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6"/>
  <workbookPr hidePivotFieldList="1"/>
  <mc:AlternateContent xmlns:mc="http://schemas.openxmlformats.org/markup-compatibility/2006">
    <mc:Choice Requires="x15">
      <x15ac:absPath xmlns:x15ac="http://schemas.microsoft.com/office/spreadsheetml/2010/11/ac" url="https://senvionwindtechnologypvtltd-my.sharepoint.com/personal/mukesh_nakum_senvion_in/Documents/Desktop/DGR/27-07-2025/"/>
    </mc:Choice>
  </mc:AlternateContent>
  <xr:revisionPtr revIDLastSave="39" documentId="8_{CF76E33F-368D-4382-8D2C-C926C3BE82B6}" xr6:coauthVersionLast="47" xr6:coauthVersionMax="47" xr10:uidLastSave="{B8673A36-50B5-476E-9ED9-EA107DA58DC2}"/>
  <bookViews>
    <workbookView xWindow="-108" yWindow="-108" windowWidth="23256" windowHeight="12456" tabRatio="718" firstSheet="7" activeTab="7"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4219"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36" i="18" l="1"/>
  <c r="B1636" i="18"/>
  <c r="C1636" i="18"/>
  <c r="E1636" i="18"/>
  <c r="H1636" i="18"/>
  <c r="I1636" i="18"/>
  <c r="J1636" i="18"/>
  <c r="R1636" i="18"/>
  <c r="S1636" i="18"/>
  <c r="T1636" i="18"/>
  <c r="W1636" i="18"/>
  <c r="AA1636" i="18"/>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W1631" i="18" s="1"/>
  <c r="T1632" i="18"/>
  <c r="AA1632" i="18" s="1"/>
  <c r="T1633" i="18"/>
  <c r="AA1633" i="18" s="1"/>
  <c r="T1634" i="18"/>
  <c r="AA1634" i="18" s="1"/>
  <c r="T1635" i="18"/>
  <c r="AA1635" i="18" s="1"/>
  <c r="B125" i="1"/>
  <c r="C125" i="1"/>
  <c r="D125" i="1"/>
  <c r="E125" i="1"/>
  <c r="BF125" i="1"/>
  <c r="BM125" i="1" s="1"/>
  <c r="BG125" i="1"/>
  <c r="BL125" i="1"/>
  <c r="AA1631" i="18" l="1"/>
  <c r="W1635" i="18"/>
  <c r="W1634" i="18"/>
  <c r="W1630" i="18"/>
  <c r="W1632" i="18"/>
  <c r="W1633" i="18"/>
  <c r="BN125" i="1"/>
  <c r="B1625" i="18" l="1"/>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W1629" i="18" s="1"/>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W1608" i="18" s="1"/>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BN124" i="1" l="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X157" i="19"/>
  <c r="X156" i="19"/>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Q157" i="19"/>
  <c r="E155" i="19"/>
  <c r="H155" i="19"/>
  <c r="I155" i="19"/>
  <c r="J155" i="19"/>
  <c r="O155" i="19"/>
  <c r="P155" i="19"/>
  <c r="Q155" i="19"/>
  <c r="X155" i="19" s="1"/>
  <c r="T155" i="19"/>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T154" i="19" s="1"/>
  <c r="O154" i="19"/>
  <c r="P154" i="19"/>
  <c r="Q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7" i="19" l="1"/>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5" i="19" l="1"/>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<sst xmlns="http://schemas.openxmlformats.org/spreadsheetml/2006/main" count="17625" uniqueCount="2118">
  <si>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</si>
  <si>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</si>
  <si>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</si>
  <si>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</si>
  <si>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</si>
  <si>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</si>
  <si>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</si>
  <si>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</si>
  <si>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</si>
  <si>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</si>
  <si>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</si>
  <si>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</si>
  <si>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</si>
  <si>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</si>
  <si>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</si>
  <si>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</si>
  <si>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</si>
  <si>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</si>
  <si>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</si>
  <si>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</si>
  <si>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</si>
  <si>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</si>
  <si>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</si>
  <si>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</si>
  <si>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</si>
  <si>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</si>
  <si>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</si>
  <si>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</si>
  <si>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</si>
  <si>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</si>
  <si>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</si>
  <si>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</si>
  <si>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</si>
  <si>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</si>
  <si>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</si>
  <si>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</si>
  <si>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</si>
  <si>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</si>
  <si>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</si>
  <si>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</si>
  <si>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</si>
  <si>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</si>
  <si>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</si>
  <si>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</si>
  <si>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 (MTD)</t>
  </si>
  <si>
    <t>Year</t>
  </si>
  <si>
    <t>Days</t>
  </si>
  <si>
    <t>Estimated WS(m/s)</t>
  </si>
  <si>
    <t>Measured WS (m/s)</t>
  </si>
  <si>
    <t>Budgeted Energy (MWh)</t>
  </si>
  <si>
    <t>Measured Energy (MWh)</t>
  </si>
  <si>
    <t>Target CUF (%)</t>
  </si>
  <si>
    <t>Measured CUF (%)</t>
  </si>
  <si>
    <t>Target GA (%)</t>
  </si>
  <si>
    <t>Measured GA (%)</t>
  </si>
  <si>
    <t>Target MA (%)</t>
  </si>
  <si>
    <t>Measured MA (%)</t>
  </si>
  <si>
    <t>Target IGA (%)</t>
  </si>
  <si>
    <t>Measured IGA (%)</t>
  </si>
  <si>
    <t>Target PA(%)</t>
  </si>
  <si>
    <t>Measured PA (%)</t>
  </si>
  <si>
    <t>WTG Total (MWh)</t>
  </si>
  <si>
    <t>Line Losses(%)</t>
  </si>
  <si>
    <t>E_WS_Corrected</t>
  </si>
  <si>
    <t>Expected Energy</t>
  </si>
  <si>
    <t>Loss (%)</t>
  </si>
  <si>
    <t>Reactive Power (%)</t>
  </si>
  <si>
    <t>Start Date</t>
  </si>
  <si>
    <t>End Date</t>
  </si>
  <si>
    <t>TGPXIIPL Performance Summary (WTD)</t>
  </si>
  <si>
    <t>TGPXIIPL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</si>
  <si>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</si>
  <si>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</si>
  <si>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</si>
  <si>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</si>
  <si>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</si>
  <si>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</si>
  <si>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</si>
  <si>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</si>
  <si>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</si>
  <si>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</si>
  <si>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</si>
  <si>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</si>
  <si>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</si>
  <si>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</si>
  <si>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</si>
  <si>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</si>
  <si>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</si>
  <si>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</si>
  <si>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</si>
  <si>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</si>
  <si>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</si>
  <si>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</si>
  <si>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</si>
  <si>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</si>
  <si>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</si>
  <si>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</si>
  <si>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</si>
  <si>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</si>
  <si>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</si>
  <si>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</si>
  <si>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</si>
  <si>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</si>
  <si>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</si>
  <si>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</si>
  <si>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</si>
  <si>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</si>
  <si>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</si>
  <si>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</si>
  <si>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</si>
  <si>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</si>
  <si>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</si>
  <si>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TGPXIIPL Performance Summary-YTD</t>
  </si>
  <si>
    <t>Target IGA(%)</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</si>
  <si>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</si>
  <si>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</si>
  <si>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</si>
  <si>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</si>
  <si>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</si>
  <si>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</si>
  <si>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</si>
  <si>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</si>
  <si>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</si>
  <si>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</si>
  <si>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</si>
  <si>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</si>
  <si>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</si>
  <si>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</si>
  <si>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</si>
  <si>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</si>
  <si>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</si>
  <si>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</si>
  <si>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</si>
  <si>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</si>
  <si>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</si>
  <si>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</si>
  <si>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</si>
  <si>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</si>
  <si>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</si>
  <si>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</si>
  <si>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</si>
  <si>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</si>
  <si>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</si>
  <si>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</si>
  <si>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</si>
  <si>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</si>
  <si>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</si>
  <si>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</si>
  <si>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</si>
  <si>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</si>
  <si>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</si>
  <si>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</si>
  <si>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</si>
  <si>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</si>
  <si>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</si>
  <si>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</si>
  <si>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</si>
  <si>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</si>
  <si>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</si>
  <si>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</si>
  <si>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</si>
  <si>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</si>
  <si>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</si>
  <si>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</si>
  <si>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</si>
  <si>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</si>
  <si>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</si>
  <si>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</si>
  <si>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</si>
  <si>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</si>
  <si>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</si>
  <si>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</si>
  <si>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</si>
  <si>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</si>
  <si>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</si>
  <si>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</si>
  <si>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</si>
  <si>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</si>
  <si>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</si>
  <si>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</si>
  <si>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</si>
  <si>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</si>
  <si>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</si>
  <si>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</si>
  <si>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</si>
  <si>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</si>
  <si>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</si>
  <si>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</si>
  <si>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</si>
  <si>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</si>
  <si>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</si>
  <si>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</si>
  <si>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</si>
  <si>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</si>
  <si>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</si>
  <si>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</si>
  <si>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</si>
  <si>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</si>
  <si>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</si>
  <si>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</si>
  <si>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</si>
  <si>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</si>
  <si>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</si>
  <si>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</si>
  <si>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</si>
  <si>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</si>
  <si>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</si>
  <si>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</si>
  <si>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</si>
  <si>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</si>
  <si>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</si>
  <si>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</si>
  <si>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</si>
  <si>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</si>
  <si>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</si>
  <si>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</si>
  <si>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</si>
  <si>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</si>
  <si>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</si>
  <si>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</si>
  <si>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</si>
  <si>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</si>
  <si>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</si>
  <si>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</si>
  <si>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</si>
  <si>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</si>
  <si>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</si>
  <si>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</si>
  <si>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</si>
  <si>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</si>
  <si>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</si>
  <si>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</si>
  <si>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</si>
  <si>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</si>
  <si>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</si>
  <si>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</si>
  <si>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</si>
  <si>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</si>
  <si>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</si>
  <si>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</si>
  <si>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Month</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</si>
  <si>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</si>
  <si>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</si>
  <si>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</si>
  <si>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</si>
  <si>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</si>
  <si>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</si>
  <si>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</si>
  <si>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</si>
  <si>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</si>
  <si>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</si>
  <si>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</si>
  <si>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</si>
  <si>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</si>
  <si>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</si>
  <si>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</si>
  <si>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</si>
  <si>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</si>
  <si>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</si>
  <si>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</si>
  <si>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</si>
  <si>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</si>
  <si>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</si>
  <si>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</si>
  <si>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</si>
  <si>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Year_2</t>
  </si>
  <si>
    <t xml:space="preserve">Break down </t>
  </si>
  <si>
    <t>Checked related error data log then reset &amp; started WTG.</t>
  </si>
  <si>
    <t>Close</t>
  </si>
  <si>
    <t>WTG Unscheduled Maintenance</t>
  </si>
  <si>
    <t>Attend and check error related ckt than found Yaw MPCB Feedback connection loose so tight it than reset and started WTG.</t>
  </si>
  <si>
    <t>Schedule WTG PM</t>
  </si>
  <si>
    <t>WTG stop for YPM day-1 activity complate than started WTG.</t>
  </si>
  <si>
    <t>WTG Scheduled Maintenance</t>
  </si>
  <si>
    <t>Check Event log and check Data log after Reset and started  wtg</t>
  </si>
  <si>
    <t>Check  Event and check Converter Data log after Reset and started wtg</t>
  </si>
  <si>
    <t>check event log after check voltage and current data after so ok then reset and started wtg.</t>
  </si>
  <si>
    <t>Auto reset</t>
  </si>
  <si>
    <t xml:space="preserve">Auto reset </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</si>
  <si>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</si>
  <si>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</si>
  <si>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</si>
  <si>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</si>
  <si>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</si>
  <si>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</si>
  <si>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</si>
  <si>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</si>
  <si>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</si>
  <si>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</si>
  <si>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open</t>
  </si>
  <si>
    <t>auto reset</t>
  </si>
  <si>
    <t xml:space="preserve">Major BD </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</si>
  <si>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</si>
  <si>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Auto Reset</t>
  </si>
  <si>
    <t>Check Data log and check hydraulic pressure check by sam and apply Manually oil flushing after Manual Yawing CW Check pressure ok after reset and started WTG.</t>
  </si>
  <si>
    <t>Wtg Manual Stop for slip ring inspection work after reset and started wtg</t>
  </si>
  <si>
    <t>WTG Breakdown Maintenance</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</si>
  <si>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</si>
  <si>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</si>
  <si>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</si>
  <si>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 xml:space="preserve">Load Shedding </t>
  </si>
  <si>
    <t xml:space="preserve">WTG Manual stop for load shedding due to feeder-01 overloading issue </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</si>
  <si>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</si>
  <si>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</si>
  <si>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</si>
  <si>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</si>
  <si>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</si>
  <si>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</si>
  <si>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</si>
  <si>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</si>
  <si>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check event log and check all data after reboot and check so ok then reset and started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</si>
  <si>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</si>
  <si>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</si>
  <si>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</si>
  <si>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</si>
  <si>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</si>
  <si>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WTR</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</si>
  <si>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</si>
  <si>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</si>
  <si>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</si>
  <si>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</si>
  <si>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</si>
  <si>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After grid Resume time Converter RFO Single  Note so after so and Reset and start wtg</t>
  </si>
  <si>
    <t>Attend and check ckt than found FA01 Surge arrestor feedback connection loose so tight it than started Turbine.</t>
  </si>
  <si>
    <t>Connectivity issue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</si>
  <si>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</si>
  <si>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</si>
  <si>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</si>
  <si>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</si>
  <si>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</si>
  <si>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</si>
  <si>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</si>
  <si>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</si>
  <si>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</si>
  <si>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</si>
  <si>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</si>
  <si>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</si>
  <si>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</si>
  <si>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</si>
  <si>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</si>
  <si>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</si>
  <si>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</si>
  <si>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</si>
  <si>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</si>
  <si>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</si>
  <si>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</si>
  <si>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</si>
  <si>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</si>
  <si>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</si>
  <si>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</si>
  <si>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</si>
  <si>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</si>
  <si>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</si>
  <si>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</si>
  <si>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</si>
  <si>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</si>
  <si>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</si>
  <si>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OPEN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</si>
  <si>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</si>
  <si>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</si>
  <si>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</si>
  <si>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</si>
  <si>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</si>
  <si>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</si>
  <si>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</si>
  <si>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</si>
  <si>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</si>
  <si>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</si>
  <si>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</si>
  <si>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</si>
  <si>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Checked related error data log check parameter by L2 team then reset &amp; started WTG.</t>
  </si>
  <si>
    <t>WTG Manual stop for Turbine Manual stop for PPC parameter checking work</t>
  </si>
  <si>
    <t>WTG stop for Customer Audit work.</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</si>
  <si>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</si>
  <si>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</si>
  <si>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</si>
  <si>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</si>
  <si>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</si>
  <si>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</si>
  <si>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</si>
  <si>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</si>
  <si>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</si>
  <si>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</si>
  <si>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</si>
  <si>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</si>
  <si>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WTG Manual stop for load shedding due to feeder-01 overloading issue.</t>
  </si>
  <si>
    <t>Attend WTG for repeated error Sim angle 3 so check all related ckt and found QA001 contactor auxiliary 23 and 24 on loose connection so tight it and apply manually Pitching no any abnormality so reset and started WTG.</t>
  </si>
  <si>
    <t>Attend for WTG Repeated error (Wind dire.diff.level 2) so check wind vane connection after wind vane 1 &amp; 2 alignment properly after trail so ok then reset and start WTG.</t>
  </si>
  <si>
    <t>In turbine error occurred during bettry test Rotor br. Buff.volt too low so check related error data log and all perameter then apply soft reboot than started Turbine.</t>
  </si>
  <si>
    <t>After Software Update work done than start WTG.</t>
  </si>
  <si>
    <t>WTG stop for YPM activity and replace axis 1 (1.7 ohm)Flat resistor then work complated than started WTG.</t>
  </si>
  <si>
    <t>Attend turbine check connection of rotor brake pad 01 sensor its ohmic value , then remove sensor from pad check physical condition then refixed properly . Then check the temp value found normal so take the trail of  the  turbine and started .</t>
  </si>
  <si>
    <t>Attend and check error related ckt than clean rotor Brake pad and also check brake pad thickness and rotor brake pad temp.sensor connection check found ok than reset and start WTG.</t>
  </si>
  <si>
    <t>WTG stop for YPM activity complated than started WTG.</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</si>
  <si>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</si>
  <si>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Environment</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</si>
  <si>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</si>
  <si>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</si>
  <si>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</si>
  <si>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</si>
  <si>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 xml:space="preserve">Road issue </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</si>
  <si>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</si>
  <si>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</si>
  <si>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</si>
  <si>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</si>
  <si>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</si>
  <si>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</si>
  <si>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</si>
  <si>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</si>
  <si>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</si>
  <si>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</si>
  <si>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</si>
  <si>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</si>
  <si>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</si>
  <si>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</si>
  <si>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</si>
  <si>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</si>
  <si>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</si>
  <si>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</si>
  <si>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</si>
  <si>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Auto reset.</t>
  </si>
  <si>
    <t>Check temperature value, after temperature normlize started WTG.</t>
  </si>
  <si>
    <t>WTG stopped for material cannibalize work.</t>
  </si>
  <si>
    <t xml:space="preserve">Arrange material than replaced trip unit card and trial takken and started WTG. </t>
  </si>
  <si>
    <t>Attend wtg check releted circuit so found Blade no 1 1.7 ohm Flat resistor faulty after replace then reset and started wtg.</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</si>
  <si>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</si>
  <si>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</si>
  <si>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</si>
  <si>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</si>
  <si>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</si>
  <si>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Others</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</si>
  <si>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</si>
  <si>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</si>
  <si>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</si>
  <si>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</si>
  <si>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</si>
  <si>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After Filling  Nitrogen accumulator pressure set than trail taken and started wtg</t>
  </si>
  <si>
    <t>WTG manual stop for Slipring  WTR 646,658,629,633 work.</t>
  </si>
  <si>
    <t>AUTO Reset</t>
  </si>
  <si>
    <t>WTG Manual stop for WTR 656  work.</t>
  </si>
  <si>
    <t>Checked related error data log then reset &amp; start WTG.</t>
  </si>
  <si>
    <t>WTG Manual stop for WTR 629,658,656 work.</t>
  </si>
  <si>
    <t>WTG Manual stop for WTR 646,633,656,658,629 work.</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</si>
  <si>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</si>
  <si>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</si>
  <si>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ACB smart trip unit Material arrangement for another site WIP</t>
  </si>
  <si>
    <t>Turbine stop in icing (Stop) Error Occurred.But at that time turbine running shown in Fleetpro and status as online but physical in breakdown.Due to data freeze from the server so turbine stop.</t>
  </si>
  <si>
    <t>Checked related error data log then  reset &amp; start WTG.</t>
  </si>
  <si>
    <t>WTG Manual stop for WTR 633,656,658,629  work.</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</si>
  <si>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</si>
  <si>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</si>
  <si>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</si>
  <si>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ACB smart trip unit Material arrangement for another site then replace it then start wtg.</t>
  </si>
  <si>
    <t>WTG Manual stop for WTR  633,656,658,629 work.</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</si>
  <si>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</si>
  <si>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</si>
  <si>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ROW issue</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</si>
  <si>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</si>
  <si>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</si>
  <si>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</si>
  <si>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</si>
  <si>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</si>
  <si>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</si>
  <si>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</si>
  <si>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after grid resume error is occurs so Checked related error data log then reset &amp; start WTG</t>
  </si>
  <si>
    <t>After Grid charge RFO signal coming than Start WTG.</t>
  </si>
  <si>
    <t>after grid resume error is occurs so Checked related error data log then reset &amp; start WTG.</t>
  </si>
  <si>
    <t>after grid resume error is occurs so attend Checked related error data log then apply hard reboot then reset &amp; start WTG</t>
  </si>
  <si>
    <t>Checked related error data log then apply shoft reboot then reset &amp; start WTG</t>
  </si>
  <si>
    <t>after grid resume error is occurs so Checked related error data log then reset &amp; start WTG(Late start due to disconnected from scada due to jumer open at O2 14 )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</si>
  <si>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</si>
  <si>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</si>
  <si>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</si>
  <si>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</si>
  <si>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</si>
  <si>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Auto  reset</t>
  </si>
  <si>
    <t>Attend and wtg check Rotor brake pad Temp Sensor check and all connection check and tight after trail then reset and started  wtg.</t>
  </si>
  <si>
    <t>Project pending work</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</si>
  <si>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</si>
  <si>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</si>
  <si>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</si>
  <si>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</si>
  <si>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</si>
  <si>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</si>
  <si>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</si>
  <si>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</si>
  <si>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</si>
  <si>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</si>
  <si>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</si>
  <si>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</si>
  <si>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</si>
  <si>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</si>
  <si>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</si>
  <si>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</si>
  <si>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</si>
  <si>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</si>
  <si>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</si>
  <si>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</si>
  <si>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</si>
  <si>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</si>
  <si>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</si>
  <si>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</si>
  <si>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</si>
  <si>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</si>
  <si>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Customer</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</si>
  <si>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</si>
  <si>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</si>
  <si>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</si>
  <si>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</si>
  <si>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</si>
  <si>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</si>
  <si>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</si>
  <si>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</si>
  <si>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</si>
  <si>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</si>
  <si>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</si>
  <si>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</si>
  <si>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</si>
  <si>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</si>
  <si>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</si>
  <si>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</si>
  <si>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</si>
  <si>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</si>
  <si>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</si>
  <si>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</si>
  <si>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</si>
  <si>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</si>
  <si>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</si>
  <si>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</si>
  <si>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</si>
  <si>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</si>
  <si>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 xml:space="preserve">WTG Environmental </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</si>
  <si>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</si>
  <si>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</si>
  <si>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</si>
  <si>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</si>
  <si>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</si>
  <si>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</si>
  <si>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</si>
  <si>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</si>
  <si>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</si>
  <si>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</si>
  <si>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</si>
  <si>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</si>
  <si>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</si>
  <si>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</si>
  <si>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WTG Force Majeure</t>
  </si>
  <si>
    <t>check Event And Data log then apply manual DO for rotor bearing luber found is ok then reset &amp; started wtg.</t>
  </si>
  <si>
    <t>WTG manual stop for blade load sensor related parameter checking work.</t>
  </si>
  <si>
    <t>Open</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</si>
  <si>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</si>
  <si>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</si>
  <si>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</si>
  <si>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</si>
  <si>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</si>
  <si>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</si>
  <si>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Surface grinding Done and chemfering and Marking WIP (whether condition was not ok  rain and wind is very high )(As per 24 hours counted above 8.0 wind speed has been taken to as other category and below 8.0 wind speed is taken as unchedule categories)</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</si>
  <si>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</si>
  <si>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</si>
  <si>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</si>
  <si>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</si>
  <si>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</si>
  <si>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</si>
  <si>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</si>
  <si>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</si>
  <si>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</si>
  <si>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</si>
  <si>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</si>
  <si>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</si>
  <si>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Griding complete and Chamfering Completed (Weather condition was not ok rain and wind was very high)(As per 24 hours counted above 8.0 wind speed has been taken to as other category and below 8.0 wind speed is taken as unchedule categories)</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</si>
  <si>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</si>
  <si>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Weather condition was not ok rain and wind was very high(As per 24 hours counted above 8.0 wind speed has been taken to as other category and below 8.0 wind speed is taken as unchedule categories)</t>
  </si>
  <si>
    <t>Manual stop of the WTG due to a Rep  error and  QHSE audit closure tasks Releted work WIP</t>
  </si>
  <si>
    <t>Manual stop of the WTG due to a Rep  error and  QHSE audit closure tasks Releted work completed after everything checked out and restarted the WTG.</t>
  </si>
  <si>
    <t>Late reset due to Turbine Disconnect from SCADA.</t>
  </si>
  <si>
    <t>check Event And Data log than apply soft reboot then reset &amp; started wtg.</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</si>
  <si>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</si>
  <si>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</si>
  <si>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</si>
  <si>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</si>
  <si>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</si>
  <si>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After Rain stop work was started and apply heating and putty than WIP…(As per 24 hours counted above 8.0 wind speed has been taken to as other category and below 8.0 wind speed is taken as unchedule categories)</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</si>
  <si>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</si>
  <si>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Team work start but at that time heavy rain and wind speed suddenly comes so work not complated so WIP,(As per 24 hours counted above 8.0 wind speed has been taken to as other category and below 8.0 wind speed is taken as unchedule categories)</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</si>
  <si>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</si>
  <si>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</si>
  <si>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</si>
  <si>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</si>
  <si>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</si>
  <si>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</si>
  <si>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</si>
  <si>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</si>
  <si>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</si>
  <si>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</si>
  <si>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</si>
  <si>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</si>
  <si>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</si>
  <si>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</si>
  <si>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</si>
  <si>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</si>
  <si>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</si>
  <si>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</si>
  <si>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</si>
  <si>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</si>
  <si>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</si>
  <si>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</si>
  <si>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</si>
  <si>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</si>
  <si>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</si>
  <si>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</si>
  <si>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</si>
  <si>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</si>
  <si>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</si>
  <si>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</si>
  <si>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</si>
  <si>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</si>
  <si>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</si>
  <si>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</si>
  <si>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</si>
  <si>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O2-06</t>
  </si>
  <si>
    <t>Attend WTG and check ckt and found the blade bearing lubrication connection broken. Reconnected the lubrication line and applied manual DO. All parameters were found to be normal, so I took the WTG trail and started turbine.</t>
  </si>
  <si>
    <t>attend for repeated pitch error ( battery under voltage) check all related circuit then found axis 2 flat resistor faulty so replace it and check axis 3 found 2 nos chopper resistor faulty so replace it then start wtg.</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</si>
  <si>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</si>
  <si>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</si>
  <si>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</si>
  <si>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</si>
  <si>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</si>
  <si>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</si>
  <si>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</si>
  <si>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</si>
  <si>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 xml:space="preserve">Affected Feeder </t>
  </si>
  <si>
    <t>Avg Wind Speed (m/s)</t>
  </si>
  <si>
    <t>WTG Loss</t>
  </si>
  <si>
    <t>Scope</t>
  </si>
  <si>
    <t>Year_1</t>
  </si>
  <si>
    <t>O2-10 Manual stop (WTG Manual stop for USS Yard transformer oil  leakage arrests work)</t>
  </si>
  <si>
    <t>WTG Manual stop for USS Yard Transformer Oil Leakage Arrests work</t>
  </si>
  <si>
    <t>IG Breakdown Maintenance</t>
  </si>
  <si>
    <t>O2 Project</t>
  </si>
  <si>
    <t>Wind_F1</t>
  </si>
  <si>
    <t>Feeder-1 Tripped in Earth fault</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</si>
  <si>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</si>
  <si>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</si>
  <si>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Tripped in over current.</t>
  </si>
  <si>
    <t>Feeder#1 Trip in Over Current &amp; earth fault/master relay trip</t>
  </si>
  <si>
    <t>Feeder-1 shutdown</t>
  </si>
  <si>
    <t>Manual Shutdown taken for TR LV cable Inspection Work and conductor replacement work.</t>
  </si>
  <si>
    <t>Wind_F2</t>
  </si>
  <si>
    <t>Feeder-2 shutdown</t>
  </si>
  <si>
    <t>Converter torque monitor level 1(grid voltage down)</t>
  </si>
  <si>
    <t>Checked related error data log and found grid voltage down so check by BOP team ,grid volage is normalise then reset &amp; started WTG.</t>
  </si>
  <si>
    <t>Feeder-1 Shutdown taking by  for near O2_09 conductor repairing work  &amp; Conductor replacement work Note:- O2_01,26,08,25,02,05 jumper open</t>
  </si>
  <si>
    <t>O2_01 WTG Shutdown</t>
  </si>
  <si>
    <t>O2_02 WTG Shutdown</t>
  </si>
  <si>
    <t>O2_05 WTG Shutdown</t>
  </si>
  <si>
    <t>O2_08 WTG Shutdown</t>
  </si>
  <si>
    <t>O2_25 WTG Shutdown</t>
  </si>
  <si>
    <t>O2_26 WTG Shutdown</t>
  </si>
  <si>
    <t>Feeder-2 Shutdown taking by  for near O2_04 conductor repairing work,&amp; conductor replacement work Note:-O2_04,O2_07,O2_19 isolator closing work</t>
  </si>
  <si>
    <t>O2_04 WTG Shutdown</t>
  </si>
  <si>
    <t>O2_07 WTG Shutdown</t>
  </si>
  <si>
    <t>O2_19 WTG Shutdown</t>
  </si>
  <si>
    <t>O2-14 WTG Shutdown (Grid loss)</t>
  </si>
  <si>
    <t>WTG stop for HT Yard Inspection Work.</t>
  </si>
  <si>
    <t>Feeder-2 Tripped in over current.</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</si>
  <si>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</si>
  <si>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</si>
  <si>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O2_16 Grid Loss</t>
  </si>
  <si>
    <t>After grid resume time VCB OFF after PSS Team attend and charge VCB</t>
  </si>
  <si>
    <t xml:space="preserve">Trip in over current Due to Havy rain and lighting also gusty wind whether normalisation then line inspection found for panther line pin isulator damage replace with new reset and test trail and feeder charge </t>
  </si>
  <si>
    <t>Feeder-1 shutdown take for OFC Splicing work</t>
  </si>
  <si>
    <t>O2_13 Grid Loss</t>
  </si>
  <si>
    <t>O2_14 Grid Loss</t>
  </si>
  <si>
    <t>O2_25 Grid Loss</t>
  </si>
  <si>
    <t>Feeder-2 Trip in Earth fault</t>
  </si>
  <si>
    <t>Feeder-2 Trip in Earth fault after take a trial then charge it.</t>
  </si>
  <si>
    <t xml:space="preserve">Feeder-2 shutdown for O2-19 line jumper Open work </t>
  </si>
  <si>
    <t>O2_04 Grid Loss</t>
  </si>
  <si>
    <t>O2-04, O2-19 &amp; O2-07 Internal lines rectification work</t>
  </si>
  <si>
    <t>O2_07 Grid Loss</t>
  </si>
  <si>
    <t>O2_19 Grid Loss</t>
  </si>
  <si>
    <t>O2-19  Internal lines rectification work</t>
  </si>
  <si>
    <t>O2-04 &amp; O2-07 Internal lines rectification work</t>
  </si>
  <si>
    <t>O2_17 Grid Loss</t>
  </si>
  <si>
    <t>O2-17 &amp; O2-22 Internal lines rectification work</t>
  </si>
  <si>
    <t>O2_22 Grid Loss</t>
  </si>
  <si>
    <t>O2-19  Jumper open work WIP</t>
  </si>
  <si>
    <t>Feeder#1 Tripped due to Snake fault at Location no O2_13</t>
  </si>
  <si>
    <t>Feeder#1 Tripped due to snack fault at Location no O2_13</t>
  </si>
  <si>
    <t>O2-19 Grid loss</t>
  </si>
  <si>
    <t>O2-19 Internal lines rectification work</t>
  </si>
  <si>
    <t>O2-19 Isolator closing Work</t>
  </si>
  <si>
    <t>O2_19 Grid loss</t>
  </si>
  <si>
    <t>O2-19 Transformer Bushing Replacement work</t>
  </si>
  <si>
    <t>VCB OFF after BOP Team attend and check VCB wip.</t>
  </si>
  <si>
    <t>VCB OFF after BOP Team attend and check VCB then charge and start WTG</t>
  </si>
  <si>
    <t>VCB tripped by unknown person after BOP Team attend and check VCB then charge and start WTG</t>
  </si>
  <si>
    <t>Feeder#2 Trip in earth Falut/over current (O2_17,O2_22 section isolator open)</t>
  </si>
  <si>
    <t xml:space="preserve">Feeder-2 shutdown </t>
  </si>
  <si>
    <t>Feeder-2 shutdown for O2_17 &amp;O2_22 section Isolator closing work</t>
  </si>
  <si>
    <t>O2_17,O2_22 section isolator open BY BOP team</t>
  </si>
  <si>
    <t xml:space="preserve">Feeder-2 Trip in earth Falut/over current </t>
  </si>
  <si>
    <t>Feeder#2 Trip in earth Falut/over current after take a trial then charge it.</t>
  </si>
  <si>
    <t>Feeder-2 shutdown for O2_07 &amp;O2_04,O2-19 section Isolator closing work</t>
  </si>
  <si>
    <t>O2-17 WTG Shutdown</t>
  </si>
  <si>
    <t>O2-22 WTG Shutdown</t>
  </si>
  <si>
    <t>O2-07 Grid loss</t>
  </si>
  <si>
    <t>O2_07,O2_04,O2_19 section isolator open BY BOP team</t>
  </si>
  <si>
    <t>O2-04 Grid loss</t>
  </si>
  <si>
    <t xml:space="preserve">Feeder-1 shutdown </t>
  </si>
  <si>
    <t>Feeder#1 Shutdown taking by pin insulator fall down repairing work</t>
  </si>
  <si>
    <t>Feeder-1 Trip in Earth fault</t>
  </si>
  <si>
    <t>Feeder#1Trip in earth Falut/over current /master reley trip after take a trial then charge it.</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</si>
  <si>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</si>
  <si>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</si>
  <si>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</si>
  <si>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</si>
  <si>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Feeder#2 Trip in earth Falut after take a trial then charge it.</t>
  </si>
  <si>
    <t>O2-04, O2-07 and O2-19 section Isolator open by BOP team found fault and correct it then close Isotator then start WTG.</t>
  </si>
  <si>
    <t xml:space="preserve">Feeder#1 Shutdown taken by project team for section Isolator installation  work </t>
  </si>
  <si>
    <t>O2-01 WTG Shutdown (Grid loss)</t>
  </si>
  <si>
    <t>jumper open by project team at O2 14 for section Isolator installation  work.</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</si>
  <si>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</si>
  <si>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</si>
  <si>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</si>
  <si>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</si>
  <si>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</si>
  <si>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</si>
  <si>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</si>
  <si>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</si>
  <si>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</si>
  <si>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</si>
  <si>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Feeder#1 Shutdown taken by project team for section Isolator installation  work and jumper closing work at O2-14.</t>
  </si>
  <si>
    <t>Feeder-2 tripped in Earth fault after take a trial then charge it.</t>
  </si>
  <si>
    <t>jumper open by project team for section Isolator installation  work.</t>
  </si>
  <si>
    <t>jumper open by project team for section Isolator installation  work. After grid rusume start WTG</t>
  </si>
  <si>
    <t>Feefer-1 shutdown</t>
  </si>
  <si>
    <t xml:space="preserve">Feeder#1 Trip in Over Current </t>
  </si>
  <si>
    <t>Feeder#1 Trip in Over Current after take a trial then charge it.</t>
  </si>
  <si>
    <t>Feeder#1 Trip in Earth fault</t>
  </si>
  <si>
    <t>Feefer-2 shutdown</t>
  </si>
  <si>
    <t xml:space="preserve">Feeder#2 Shutdown taken by project team for section Isolator installation  work </t>
  </si>
  <si>
    <t>After grid resume found VCB tripped  so VCB Charge after reset and start wtg</t>
  </si>
  <si>
    <t>USS work for BOP.</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</si>
  <si>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</si>
  <si>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</si>
  <si>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</si>
  <si>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Feeder#2 Trip in earth Falut/over current.so take trial and charge feeder.</t>
  </si>
  <si>
    <t>Feeder#2 Trip in earth Falut/over current.so take trial and charge feeder.(Due to heavyrain and  lightning at site)</t>
  </si>
  <si>
    <t>O2-08 Grid loss</t>
  </si>
  <si>
    <t>After grid resume found VCB tripped  so VCB Charge by BOP team then after reset and start wtg</t>
  </si>
  <si>
    <t>O2-26 Grid loss</t>
  </si>
  <si>
    <t xml:space="preserve">Feeder-01 tripped in earth fault and overcurrent </t>
  </si>
  <si>
    <t>Feeder-01 Forcefully tripped by HI tech team for Punch point closing work</t>
  </si>
  <si>
    <t>IG Unscheduled Maintenance</t>
  </si>
  <si>
    <t>O2-20 Grid loss</t>
  </si>
  <si>
    <t>Feeder-1 Tripped in earth fault/Over current</t>
  </si>
  <si>
    <t>Feeder#1 Trip in earth Fault/over current.so take trial and charge feeder.</t>
  </si>
  <si>
    <t>WTG Shutdown(Grid loss)</t>
  </si>
  <si>
    <t>Feeder-2 Shutdown for OFC Cable Splicing Work.</t>
  </si>
  <si>
    <t>After VCB Charge than reset and start WTG.</t>
  </si>
  <si>
    <t>Feeder-1 Shutdown taken for O2-12 Sky lift Rope Dismental work.</t>
  </si>
  <si>
    <t>Feeder#1 Trip in earth Falut/over current.</t>
  </si>
  <si>
    <t>Feeder#1 Trip in earth Falut/over current.so take trial and charge feeder.</t>
  </si>
  <si>
    <t>O2-02 Grid loss</t>
  </si>
  <si>
    <t>After feeder-1 charge found grid voltage is single phasing so check by BOP Team WIP</t>
  </si>
  <si>
    <t>O2-05 Grid loss</t>
  </si>
  <si>
    <t>O2-25 Grid loss</t>
  </si>
  <si>
    <t>Feeder-1 shutdown for O2- 02 jumper replacement work.</t>
  </si>
  <si>
    <t>After feeder-1 charge found grid voltage is single phasing so check by BOP Team.</t>
  </si>
  <si>
    <t>WTG Manual Stop for BOP team work.BOP team Work completed then Reset and started Wtg.</t>
  </si>
  <si>
    <t xml:space="preserve">WTG Manual Stop for BOP team work in CT PT Bushing Replacement  work. </t>
  </si>
  <si>
    <t>Concumaer</t>
  </si>
  <si>
    <t>Breakdown Type</t>
  </si>
  <si>
    <t>Loss of KWH</t>
  </si>
  <si>
    <t>Curtailment Order imit.</t>
  </si>
  <si>
    <t>EGA_Including_CurtailmentOrder</t>
  </si>
  <si>
    <t>Line1</t>
  </si>
  <si>
    <t>66Kv Line shutdown taking By GETCO team from Getco end 66KV line Strengthening work.</t>
  </si>
  <si>
    <t>Manual shutdown</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</si>
  <si>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</si>
  <si>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</si>
  <si>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</si>
  <si>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</si>
  <si>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</si>
  <si>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</si>
  <si>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</si>
  <si>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</si>
  <si>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</si>
  <si>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</si>
  <si>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</si>
  <si>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</si>
  <si>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</si>
  <si>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</si>
  <si>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</si>
  <si>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</si>
  <si>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O2-11</t>
  </si>
  <si>
    <t>O2-12</t>
  </si>
  <si>
    <t>Deleyed due to other turbines restoration work</t>
  </si>
  <si>
    <t>O2-13</t>
  </si>
  <si>
    <t>O2-14</t>
  </si>
  <si>
    <t>O2-10</t>
  </si>
  <si>
    <t>O2-03</t>
  </si>
  <si>
    <t>O2-15</t>
  </si>
  <si>
    <t>O2-16</t>
  </si>
  <si>
    <t>Delayed due to turbine lift not working and lift operation delay from project team</t>
  </si>
  <si>
    <t>O2-20</t>
  </si>
  <si>
    <t>O2-09</t>
  </si>
  <si>
    <t>Delayed due to turbine access road issue</t>
  </si>
  <si>
    <t>O2-05</t>
  </si>
  <si>
    <t>O2-02</t>
  </si>
  <si>
    <t>Deleyed due to turbine access road  access issue</t>
  </si>
  <si>
    <t>O2-01</t>
  </si>
  <si>
    <t>O2-18</t>
  </si>
  <si>
    <t>O2-21</t>
  </si>
  <si>
    <t>O2-24</t>
  </si>
  <si>
    <t>O2-25</t>
  </si>
  <si>
    <t>O2-26</t>
  </si>
  <si>
    <t>O2-04</t>
  </si>
  <si>
    <t>O2-07</t>
  </si>
  <si>
    <t>O2-08</t>
  </si>
  <si>
    <t>O2-19</t>
  </si>
  <si>
    <t>O2-22</t>
  </si>
  <si>
    <t>O2-23</t>
  </si>
  <si>
    <t>O2-17</t>
  </si>
  <si>
    <t>Srl. No</t>
  </si>
  <si>
    <t>Curtailment Start Time</t>
  </si>
  <si>
    <t>Curtailment Stop Time</t>
  </si>
  <si>
    <t>Total down Hrs</t>
  </si>
  <si>
    <t>Running Generation</t>
  </si>
  <si>
    <t>Curtailment %</t>
  </si>
  <si>
    <t>Energy Loss(MW)</t>
  </si>
  <si>
    <t>After Curtailment Generation</t>
  </si>
  <si>
    <t>TGPXIIPL -PSS Frequency</t>
  </si>
  <si>
    <t>as per SLDC certailment there but actual we havent cerail</t>
  </si>
  <si>
    <t>Actual certailment</t>
  </si>
  <si>
    <t>Month Name</t>
  </si>
  <si>
    <t>Month Number</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</si>
  <si>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</si>
  <si>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</si>
  <si>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</si>
  <si>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</si>
  <si>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</si>
  <si>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</si>
  <si>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</si>
  <si>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</si>
  <si>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</si>
  <si>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</si>
  <si>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</si>
  <si>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</si>
  <si>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</si>
  <si>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</si>
  <si>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</si>
  <si>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</si>
  <si>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</si>
  <si>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</si>
  <si>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</si>
  <si>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</si>
  <si>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</si>
  <si>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</si>
  <si>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</si>
  <si>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</si>
  <si>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</si>
  <si>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</si>
  <si>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</si>
  <si>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</si>
  <si>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</si>
  <si>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</si>
  <si>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</si>
  <si>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</si>
  <si>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</si>
  <si>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</si>
  <si>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</si>
  <si>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</si>
  <si>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</si>
  <si>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</si>
  <si>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</si>
  <si>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</si>
  <si>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</si>
  <si>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</si>
  <si>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</si>
  <si>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</si>
  <si>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</si>
  <si>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</si>
  <si>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</si>
  <si>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</si>
  <si>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</si>
  <si>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</si>
  <si>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</si>
  <si>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</si>
  <si>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</si>
  <si>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</si>
  <si>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</si>
  <si>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</si>
  <si>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</si>
  <si>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</si>
  <si>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</si>
  <si>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</si>
  <si>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</si>
  <si>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</si>
  <si>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</si>
  <si>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</si>
  <si>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</si>
  <si>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</si>
  <si>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</si>
  <si>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</si>
  <si>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</si>
  <si>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</si>
  <si>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</si>
  <si>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</si>
  <si>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 Plant Equiva. Weightage</t>
  </si>
  <si>
    <t>Feeder</t>
  </si>
  <si>
    <t>TX</t>
  </si>
  <si>
    <t>MY</t>
  </si>
  <si>
    <t>Breakdown description</t>
  </si>
  <si>
    <t>System OK</t>
  </si>
  <si>
    <t>Info</t>
  </si>
  <si>
    <t>TQGXIIPL</t>
  </si>
  <si>
    <t>GEDA</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</si>
  <si>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</si>
  <si>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</si>
  <si>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</si>
  <si>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</si>
  <si>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</si>
  <si>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</si>
  <si>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</si>
  <si>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</si>
  <si>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</si>
  <si>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</si>
  <si>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</si>
  <si>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</si>
  <si>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</si>
  <si>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</si>
  <si>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</si>
  <si>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IG Force Majeure</t>
  </si>
  <si>
    <t>EG Force Majeure</t>
  </si>
  <si>
    <t>Manual stop - remote</t>
  </si>
  <si>
    <t>Stop via communica.</t>
  </si>
  <si>
    <t xml:space="preserve">Ladder issue </t>
  </si>
  <si>
    <t>Manual stop without login</t>
  </si>
  <si>
    <t>X</t>
  </si>
  <si>
    <t>WTG stop</t>
  </si>
  <si>
    <t>Wind sector stop</t>
  </si>
  <si>
    <t>Limiting wind speed exceeded</t>
  </si>
  <si>
    <t>Max. wind dir. deviation high wind sp.</t>
  </si>
  <si>
    <t>Error</t>
  </si>
  <si>
    <t>Nacelle</t>
  </si>
  <si>
    <t>Max. windspeed BP50</t>
  </si>
  <si>
    <t>Night operation</t>
  </si>
  <si>
    <t>Blade cleaning work</t>
  </si>
  <si>
    <t>Wind dir.dev. level 1</t>
  </si>
  <si>
    <t>WTG shutdown - pitch angle &amp; stormp. Ignored</t>
  </si>
  <si>
    <t>WTG shut down</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</si>
  <si>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</si>
  <si>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</si>
  <si>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</si>
  <si>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</si>
  <si>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</si>
  <si>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</si>
  <si>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</si>
  <si>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</si>
  <si>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</si>
  <si>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</si>
  <si>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</si>
  <si>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</si>
  <si>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</si>
  <si>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</si>
  <si>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</si>
  <si>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</si>
  <si>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</si>
  <si>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</si>
  <si>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</si>
  <si>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</si>
  <si>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</si>
  <si>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</si>
  <si>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</si>
  <si>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</si>
  <si>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</si>
  <si>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</si>
  <si>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</si>
  <si>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</si>
  <si>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</si>
  <si>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</si>
  <si>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</si>
  <si>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</si>
  <si>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</si>
  <si>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</si>
  <si>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</si>
  <si>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</si>
  <si>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</si>
  <si>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</si>
  <si>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</si>
  <si>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</si>
  <si>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</si>
  <si>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</si>
  <si>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</si>
  <si>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</si>
  <si>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</si>
  <si>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</si>
  <si>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</si>
  <si>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</si>
  <si>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</si>
  <si>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</si>
  <si>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</si>
  <si>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</si>
  <si>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</si>
  <si>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</si>
  <si>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</si>
  <si>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</si>
  <si>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</si>
  <si>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</si>
  <si>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</si>
  <si>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</si>
  <si>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</si>
  <si>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</si>
  <si>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</si>
  <si>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</si>
  <si>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</si>
  <si>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</si>
  <si>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</si>
  <si>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</si>
  <si>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</si>
  <si>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</si>
  <si>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</si>
  <si>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</si>
  <si>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</si>
  <si>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</si>
  <si>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</si>
  <si>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</si>
  <si>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</si>
  <si>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</si>
  <si>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</si>
  <si>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</si>
  <si>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</si>
  <si>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</si>
  <si>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</si>
  <si>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</si>
  <si>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</si>
  <si>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</si>
  <si>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</si>
  <si>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</si>
  <si>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</si>
  <si>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</si>
  <si>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</si>
  <si>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</si>
  <si>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</si>
  <si>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</si>
  <si>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</si>
  <si>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</si>
  <si>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</si>
  <si>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</si>
  <si>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</si>
  <si>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</si>
  <si>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</si>
  <si>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</si>
  <si>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</si>
  <si>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</si>
  <si>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</si>
  <si>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</si>
  <si>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</si>
  <si>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</si>
  <si>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</si>
  <si>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</si>
  <si>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</si>
  <si>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</si>
  <si>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</si>
  <si>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</si>
  <si>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</si>
  <si>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</si>
  <si>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</si>
  <si>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</si>
  <si>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</si>
  <si>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</si>
  <si>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</si>
  <si>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</si>
  <si>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</si>
  <si>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</si>
  <si>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</si>
  <si>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</si>
  <si>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</si>
  <si>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</si>
  <si>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</si>
  <si>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</si>
  <si>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</si>
  <si>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</si>
  <si>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</si>
  <si>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</si>
  <si>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</si>
  <si>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</si>
  <si>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</si>
  <si>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</si>
  <si>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</si>
  <si>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</si>
  <si>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</si>
  <si>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</si>
  <si>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</si>
  <si>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</si>
  <si>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</si>
  <si>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</si>
  <si>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</si>
  <si>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</si>
  <si>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</si>
  <si>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</si>
  <si>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</si>
  <si>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</si>
  <si>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</si>
  <si>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</si>
  <si>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</si>
  <si>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</si>
  <si>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</si>
  <si>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</si>
  <si>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</si>
  <si>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</si>
  <si>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</si>
  <si>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</si>
  <si>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</si>
  <si>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</si>
  <si>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</si>
  <si>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</si>
  <si>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</si>
  <si>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</si>
  <si>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</si>
  <si>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</si>
  <si>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</si>
  <si>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</si>
  <si>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</si>
  <si>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</si>
  <si>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</si>
  <si>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</si>
  <si>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</si>
  <si>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</si>
  <si>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</si>
  <si>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</si>
  <si>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</si>
  <si>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</si>
  <si>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</si>
  <si>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</si>
  <si>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</si>
  <si>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</si>
  <si>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</si>
  <si>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</si>
  <si>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</si>
  <si>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</si>
  <si>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</si>
  <si>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</si>
  <si>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</si>
  <si>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</si>
  <si>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</si>
  <si>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</si>
  <si>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</si>
  <si>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</si>
  <si>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</si>
  <si>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</si>
  <si>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</si>
  <si>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</si>
  <si>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</si>
  <si>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</si>
  <si>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</si>
  <si>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</si>
  <si>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</si>
  <si>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</si>
  <si>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</si>
  <si>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</si>
  <si>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</si>
  <si>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</si>
  <si>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</si>
  <si>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</si>
  <si>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</si>
  <si>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</si>
  <si>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</si>
  <si>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</si>
  <si>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</si>
  <si>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</si>
  <si>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</si>
  <si>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</si>
  <si>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</si>
  <si>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</si>
  <si>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</si>
  <si>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</si>
  <si>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</si>
  <si>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</si>
  <si>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</si>
  <si>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</si>
  <si>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</si>
  <si>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</si>
  <si>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</si>
  <si>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</si>
  <si>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</si>
  <si>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</si>
  <si>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</si>
  <si>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</si>
  <si>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</si>
  <si>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</si>
  <si>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</si>
  <si>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</si>
  <si>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</si>
  <si>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</si>
  <si>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</si>
  <si>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</si>
  <si>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</si>
  <si>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</si>
  <si>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</si>
  <si>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</si>
  <si>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</si>
  <si>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</si>
  <si>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</si>
  <si>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</si>
  <si>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</si>
  <si>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</si>
  <si>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</si>
  <si>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</si>
  <si>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</si>
  <si>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</si>
  <si>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</si>
  <si>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</si>
  <si>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</si>
  <si>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</si>
  <si>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</si>
  <si>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</si>
  <si>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</si>
  <si>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</si>
  <si>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</si>
  <si>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</si>
  <si>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</si>
  <si>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</si>
  <si>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</si>
  <si>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</si>
  <si>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</si>
  <si>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</si>
  <si>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</si>
  <si>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</si>
  <si>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</si>
  <si>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</si>
  <si>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</si>
  <si>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</si>
  <si>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</si>
  <si>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</si>
  <si>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</si>
  <si>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</si>
  <si>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</si>
  <si>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</si>
  <si>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</si>
  <si>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</si>
  <si>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</si>
  <si>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</si>
  <si>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</si>
  <si>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</si>
  <si>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</si>
  <si>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</si>
  <si>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</si>
  <si>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</si>
  <si>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</si>
  <si>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</si>
  <si>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</si>
  <si>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</si>
  <si>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</si>
  <si>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</si>
  <si>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</si>
  <si>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</si>
  <si>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</si>
  <si>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</si>
  <si>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</si>
  <si>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</si>
  <si>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</si>
  <si>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</si>
  <si>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</si>
  <si>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</si>
  <si>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</si>
  <si>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</si>
  <si>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</si>
  <si>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</si>
  <si>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</si>
  <si>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</si>
  <si>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</si>
  <si>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</si>
  <si>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</si>
  <si>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</si>
  <si>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</si>
  <si>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</si>
  <si>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</si>
  <si>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</si>
  <si>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</si>
  <si>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</si>
  <si>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</si>
  <si>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</si>
  <si>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</si>
  <si>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</si>
  <si>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</si>
  <si>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</si>
  <si>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</si>
  <si>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</si>
  <si>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</si>
  <si>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</si>
  <si>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</si>
  <si>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</si>
  <si>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</si>
  <si>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</si>
  <si>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</si>
  <si>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</si>
  <si>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</si>
  <si>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</si>
  <si>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</si>
  <si>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</si>
  <si>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</si>
  <si>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</si>
  <si>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</si>
  <si>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</si>
  <si>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</si>
  <si>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</si>
  <si>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</si>
  <si>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</si>
  <si>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</si>
  <si>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</si>
  <si>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</si>
  <si>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</si>
  <si>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</si>
  <si>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</si>
  <si>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</si>
  <si>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</si>
  <si>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</si>
  <si>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</si>
  <si>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</si>
  <si>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</si>
  <si>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</si>
  <si>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</si>
  <si>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</si>
  <si>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</si>
  <si>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</si>
  <si>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</si>
  <si>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</si>
  <si>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</si>
  <si>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</si>
  <si>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</si>
  <si>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</si>
  <si>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</si>
  <si>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</si>
  <si>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</si>
  <si>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</si>
  <si>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</si>
  <si>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</si>
  <si>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</si>
  <si>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</si>
  <si>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</si>
  <si>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</si>
  <si>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</si>
  <si>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</si>
  <si>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</si>
  <si>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</si>
  <si>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</si>
  <si>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</si>
  <si>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</si>
  <si>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</si>
  <si>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</si>
  <si>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</si>
  <si>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</si>
  <si>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</si>
  <si>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</si>
  <si>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</si>
  <si>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</si>
  <si>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</si>
  <si>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</si>
  <si>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</si>
  <si>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</si>
  <si>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</si>
  <si>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</si>
  <si>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</si>
  <si>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</si>
  <si>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</si>
  <si>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</si>
  <si>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</si>
  <si>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</si>
  <si>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</si>
  <si>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</si>
  <si>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</si>
  <si>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</si>
  <si>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</si>
  <si>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</si>
  <si>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</si>
  <si>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</si>
  <si>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</si>
  <si>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</si>
  <si>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</si>
  <si>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</si>
  <si>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</si>
  <si>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</si>
  <si>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</si>
  <si>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</si>
  <si>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</si>
  <si>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</si>
  <si>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</si>
  <si>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</si>
  <si>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</si>
  <si>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</si>
  <si>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</si>
  <si>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</si>
  <si>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</si>
  <si>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</si>
  <si>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</si>
  <si>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</si>
  <si>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</si>
  <si>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</si>
  <si>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</si>
  <si>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</si>
  <si>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</si>
  <si>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</si>
  <si>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</si>
  <si>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</si>
  <si>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</si>
  <si>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</si>
  <si>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</si>
  <si>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</si>
  <si>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</si>
  <si>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</si>
  <si>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</si>
  <si>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</si>
  <si>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</si>
  <si>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</si>
  <si>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</si>
  <si>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</si>
  <si>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</si>
  <si>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</si>
  <si>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</si>
  <si>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</si>
  <si>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</si>
  <si>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</si>
  <si>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</si>
  <si>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</si>
  <si>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</si>
  <si>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</si>
  <si>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</si>
  <si>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</si>
  <si>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</si>
  <si>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</si>
  <si>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</si>
  <si>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</si>
  <si>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</si>
  <si>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</si>
  <si>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</si>
  <si>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</si>
  <si>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</si>
  <si>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</si>
  <si>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</si>
  <si>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</si>
  <si>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</si>
  <si>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</si>
  <si>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</si>
  <si>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</si>
  <si>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</si>
  <si>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</si>
  <si>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</si>
  <si>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</si>
  <si>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</si>
  <si>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</si>
  <si>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</si>
  <si>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</si>
  <si>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</si>
  <si>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</si>
  <si>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</si>
  <si>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</si>
  <si>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</si>
  <si>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</si>
  <si>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</si>
  <si>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</si>
  <si>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</si>
  <si>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</si>
  <si>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</si>
  <si>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</si>
  <si>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</si>
  <si>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</si>
  <si>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</si>
  <si>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</si>
  <si>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</si>
  <si>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</si>
  <si>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</si>
  <si>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</si>
  <si>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</si>
  <si>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</si>
  <si>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</si>
  <si>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</si>
  <si>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</si>
  <si>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</si>
  <si>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</si>
  <si>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</si>
  <si>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</si>
  <si>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</si>
  <si>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</si>
  <si>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</si>
  <si>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</si>
  <si>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</si>
  <si>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</si>
  <si>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</si>
  <si>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</si>
  <si>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</si>
  <si>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</si>
  <si>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</si>
  <si>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</si>
  <si>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</si>
  <si>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</si>
  <si>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</si>
  <si>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</si>
  <si>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</si>
  <si>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</si>
  <si>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</si>
  <si>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</si>
  <si>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</si>
  <si>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</si>
  <si>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</si>
  <si>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</si>
  <si>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</si>
  <si>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</si>
  <si>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</si>
  <si>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</si>
  <si>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</si>
  <si>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</si>
  <si>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</si>
  <si>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</si>
  <si>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</si>
  <si>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</si>
  <si>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</si>
  <si>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</si>
  <si>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</si>
  <si>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</si>
  <si>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</si>
  <si>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</si>
  <si>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</si>
  <si>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</si>
  <si>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</si>
  <si>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</si>
  <si>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</si>
  <si>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</si>
  <si>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</si>
  <si>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</si>
  <si>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</si>
  <si>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</si>
  <si>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</si>
  <si>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</si>
  <si>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</si>
  <si>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</si>
  <si>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</si>
  <si>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</si>
  <si>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</si>
  <si>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</si>
  <si>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</si>
  <si>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</si>
  <si>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</si>
  <si>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</si>
  <si>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</si>
  <si>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</si>
  <si>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</si>
  <si>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</si>
  <si>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</si>
  <si>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</si>
  <si>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</si>
  <si>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</si>
  <si>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</si>
  <si>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</si>
  <si>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</si>
  <si>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</si>
  <si>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</si>
  <si>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</si>
  <si>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</si>
  <si>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</si>
  <si>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</si>
  <si>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</si>
  <si>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</si>
  <si>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</si>
  <si>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</si>
  <si>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</si>
  <si>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</si>
  <si>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</si>
  <si>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</si>
  <si>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</si>
  <si>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</si>
  <si>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</si>
  <si>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</si>
  <si>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</si>
  <si>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Grid loss</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</si>
  <si>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</si>
  <si>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</si>
  <si>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</si>
  <si>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</si>
  <si>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</si>
  <si>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</si>
  <si>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</si>
  <si>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</si>
  <si>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</si>
  <si>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</si>
  <si>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</si>
  <si>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</si>
  <si>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</si>
  <si>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</si>
  <si>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</si>
  <si>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</si>
  <si>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</si>
  <si>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</si>
  <si>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</si>
  <si>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</si>
  <si>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</si>
  <si>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</si>
  <si>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</si>
  <si>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</si>
  <si>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</si>
  <si>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</si>
  <si>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</si>
  <si>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</si>
  <si>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</si>
  <si>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</si>
  <si>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</si>
  <si>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</si>
  <si>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</si>
  <si>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</si>
  <si>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</si>
  <si>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</si>
  <si>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</si>
  <si>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</si>
  <si>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Voltage asymmetry</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</si>
  <si>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</si>
  <si>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</si>
  <si>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</si>
  <si>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</si>
  <si>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</si>
  <si>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</si>
  <si>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</si>
  <si>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</si>
  <si>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</si>
  <si>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</si>
  <si>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</si>
  <si>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</si>
  <si>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</si>
  <si>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</si>
  <si>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</si>
  <si>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</si>
  <si>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</si>
  <si>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</si>
  <si>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</si>
  <si>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</si>
  <si>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</si>
  <si>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</si>
  <si>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</si>
  <si>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</si>
  <si>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</si>
  <si>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</si>
  <si>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</si>
  <si>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</si>
  <si>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</si>
  <si>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</si>
  <si>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</si>
  <si>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</si>
  <si>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</si>
  <si>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</si>
  <si>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</si>
  <si>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</si>
  <si>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</si>
  <si>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</si>
  <si>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</si>
  <si>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</si>
  <si>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</si>
  <si>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</si>
  <si>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</si>
  <si>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</si>
  <si>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</si>
  <si>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</si>
  <si>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</si>
  <si>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</si>
  <si>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</si>
  <si>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</si>
  <si>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</si>
  <si>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</si>
  <si>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</si>
  <si>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</si>
  <si>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</si>
  <si>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</si>
  <si>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</si>
  <si>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</si>
  <si>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</si>
  <si>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</si>
  <si>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</si>
  <si>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</si>
  <si>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</si>
  <si>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</si>
  <si>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</si>
  <si>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</si>
  <si>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</si>
  <si>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</si>
  <si>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</si>
  <si>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</si>
  <si>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</si>
  <si>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</si>
  <si>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</si>
  <si>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</si>
  <si>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</si>
  <si>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</si>
  <si>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</si>
  <si>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</si>
  <si>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</si>
  <si>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</si>
  <si>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</si>
  <si>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</si>
  <si>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</si>
  <si>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</si>
  <si>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</si>
  <si>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</si>
  <si>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</si>
  <si>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</si>
  <si>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</si>
  <si>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</si>
  <si>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</si>
  <si>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</si>
  <si>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</si>
  <si>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</si>
  <si>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</si>
  <si>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</si>
  <si>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</si>
  <si>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</si>
  <si>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</si>
  <si>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</si>
  <si>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</si>
  <si>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</si>
  <si>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</si>
  <si>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</si>
  <si>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</si>
  <si>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</si>
  <si>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</si>
  <si>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</si>
  <si>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</si>
  <si>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</si>
  <si>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</si>
  <si>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</si>
  <si>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</si>
  <si>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</si>
  <si>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</si>
  <si>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</si>
  <si>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</si>
  <si>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</si>
  <si>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</si>
  <si>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</si>
  <si>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</si>
  <si>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</si>
  <si>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</si>
  <si>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</si>
  <si>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</si>
  <si>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</si>
  <si>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</si>
  <si>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</si>
  <si>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</si>
  <si>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</si>
  <si>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</si>
  <si>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</si>
  <si>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</si>
  <si>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</si>
  <si>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</si>
  <si>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</si>
  <si>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</si>
  <si>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</si>
  <si>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</si>
  <si>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</si>
  <si>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</si>
  <si>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</si>
  <si>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</si>
  <si>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</si>
  <si>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</si>
  <si>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</si>
  <si>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</si>
  <si>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</si>
  <si>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</si>
  <si>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</si>
  <si>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</si>
  <si>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</si>
  <si>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</si>
  <si>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</si>
  <si>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</si>
  <si>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</si>
  <si>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</si>
  <si>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</si>
  <si>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</si>
  <si>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</si>
  <si>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</si>
  <si>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</si>
  <si>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</si>
  <si>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</si>
  <si>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</si>
  <si>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</si>
  <si>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</si>
  <si>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</si>
  <si>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</si>
  <si>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</si>
  <si>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</si>
  <si>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</si>
  <si>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</si>
  <si>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</si>
  <si>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</si>
  <si>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</si>
  <si>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</si>
  <si>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</si>
  <si>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</si>
  <si>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</si>
  <si>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</si>
  <si>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</si>
  <si>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</si>
  <si>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</si>
  <si>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</si>
  <si>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</si>
  <si>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</si>
  <si>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</si>
  <si>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</si>
  <si>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</si>
  <si>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</si>
  <si>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</si>
  <si>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</si>
  <si>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</si>
  <si>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</si>
  <si>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</si>
  <si>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</si>
  <si>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</si>
  <si>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</si>
  <si>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</si>
  <si>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</si>
  <si>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</si>
  <si>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</si>
  <si>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</si>
  <si>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</si>
  <si>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</si>
  <si>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</si>
  <si>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</si>
  <si>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</si>
  <si>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</si>
  <si>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</si>
  <si>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</si>
  <si>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</si>
  <si>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</si>
  <si>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</si>
  <si>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</si>
  <si>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</si>
  <si>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</si>
  <si>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</si>
  <si>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</si>
  <si>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</si>
  <si>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</si>
  <si>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</si>
  <si>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</si>
  <si>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</si>
  <si>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</si>
  <si>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</si>
  <si>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</si>
  <si>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</si>
  <si>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</si>
  <si>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</si>
  <si>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</si>
  <si>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</si>
  <si>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</si>
  <si>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</si>
  <si>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</si>
  <si>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</si>
  <si>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</si>
  <si>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</si>
  <si>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</si>
  <si>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</si>
  <si>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</si>
  <si>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</si>
  <si>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</si>
  <si>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</si>
  <si>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</si>
  <si>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</si>
  <si>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</si>
  <si>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</si>
  <si>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</si>
  <si>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</si>
  <si>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</si>
  <si>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</si>
  <si>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</si>
  <si>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</si>
  <si>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</si>
  <si>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</si>
  <si>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</si>
  <si>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</si>
  <si>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</si>
  <si>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</si>
  <si>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</si>
  <si>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</si>
  <si>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</si>
  <si>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</si>
  <si>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</si>
  <si>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</si>
  <si>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</si>
  <si>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</si>
  <si>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</si>
  <si>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</si>
  <si>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</si>
  <si>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</si>
  <si>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</si>
  <si>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</si>
  <si>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</si>
  <si>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</si>
  <si>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</si>
  <si>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</si>
  <si>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</si>
  <si>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</si>
  <si>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</si>
  <si>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</si>
  <si>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</si>
  <si>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</si>
  <si>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</si>
  <si>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</si>
  <si>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</si>
  <si>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</si>
  <si>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</si>
  <si>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</si>
  <si>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</si>
  <si>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</si>
  <si>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</si>
  <si>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Configuration error</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</si>
  <si>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</si>
  <si>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</si>
  <si>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</si>
  <si>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</si>
  <si>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</si>
  <si>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</si>
  <si>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</si>
  <si>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</si>
  <si>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</si>
  <si>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</si>
  <si>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</si>
  <si>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</si>
  <si>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</si>
  <si>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</si>
  <si>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</si>
  <si>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</si>
  <si>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</si>
  <si>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</si>
  <si>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</si>
  <si>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</si>
  <si>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</si>
  <si>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</si>
  <si>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</si>
  <si>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</si>
  <si>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</si>
  <si>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</si>
  <si>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</si>
  <si>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</si>
  <si>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</si>
  <si>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</si>
  <si>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</si>
  <si>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</si>
  <si>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</si>
  <si>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</si>
  <si>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</si>
  <si>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</si>
  <si>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</si>
  <si>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</si>
  <si>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</si>
  <si>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</si>
  <si>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</si>
  <si>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</si>
  <si>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</si>
  <si>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</si>
  <si>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</si>
  <si>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</si>
  <si>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</si>
  <si>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</si>
  <si>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</si>
  <si>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</si>
  <si>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</si>
  <si>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</si>
  <si>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</si>
  <si>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</si>
  <si>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</si>
  <si>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</si>
  <si>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</si>
  <si>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</si>
  <si>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</si>
  <si>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</si>
  <si>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</si>
  <si>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</si>
  <si>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</si>
  <si>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</si>
  <si>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</si>
  <si>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</si>
  <si>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</si>
  <si>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</si>
  <si>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</si>
  <si>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</si>
  <si>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</si>
  <si>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</si>
  <si>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</si>
  <si>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</si>
  <si>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</si>
  <si>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</si>
  <si>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</si>
  <si>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</si>
  <si>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</si>
  <si>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</si>
  <si>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</si>
  <si>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</si>
  <si>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</si>
  <si>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</si>
  <si>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</si>
  <si>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</si>
  <si>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</si>
  <si>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</si>
  <si>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</si>
  <si>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</si>
  <si>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</si>
  <si>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</si>
  <si>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</si>
  <si>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</si>
  <si>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</si>
  <si>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</si>
  <si>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</si>
  <si>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</si>
  <si>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</si>
  <si>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</si>
  <si>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</si>
  <si>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</si>
  <si>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</si>
  <si>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</si>
  <si>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</si>
  <si>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</si>
  <si>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</si>
  <si>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</si>
  <si>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</si>
  <si>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</si>
  <si>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</si>
  <si>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</si>
  <si>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</si>
  <si>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</si>
  <si>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</si>
  <si>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</si>
  <si>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</si>
  <si>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</si>
  <si>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</si>
  <si>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</si>
  <si>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</si>
  <si>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</si>
  <si>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</si>
  <si>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</si>
  <si>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CE100001</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</si>
  <si>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</si>
  <si>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</si>
  <si>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</si>
  <si>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</si>
  <si>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</si>
  <si>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</si>
  <si>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</si>
  <si>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</si>
  <si>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</si>
  <si>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</si>
  <si>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</si>
  <si>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</si>
  <si>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</si>
  <si>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</si>
  <si>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</si>
  <si>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</si>
  <si>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</si>
  <si>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</si>
  <si>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</si>
  <si>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</si>
  <si>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</si>
  <si>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</si>
  <si>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</si>
  <si>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</si>
  <si>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</si>
  <si>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</si>
  <si>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</si>
  <si>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</si>
  <si>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</si>
  <si>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</si>
  <si>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</si>
  <si>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</si>
  <si>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</si>
  <si>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</si>
  <si>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</si>
  <si>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</si>
  <si>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</si>
  <si>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</si>
  <si>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</si>
  <si>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</si>
  <si>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</si>
  <si>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</si>
  <si>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</si>
  <si>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</si>
  <si>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</si>
  <si>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</si>
  <si>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</si>
  <si>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</si>
  <si>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</si>
  <si>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</si>
  <si>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</si>
  <si>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</si>
  <si>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</si>
  <si>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</si>
  <si>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</si>
  <si>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</si>
  <si>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</si>
  <si>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</si>
  <si>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</si>
  <si>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</si>
  <si>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Wind.dir. diff. level 2</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</si>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</sst>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_(* #,##0_);_(* \(#,##0\);_(* &quot;-&quot;??_);_(@_)"/>
    <numFmt numFmtId="173" formatCode="0.000000000000000%"/>
  </numFmts>
  <fonts count="35">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b/>
      <sz val="11"/>
      <color theme="1"/>
      <name val="Calibri"/>
      <family val="2"/>
      <scheme val="minor"/>
    </font>
    <font>
      <sz val="11"/>
      <color rgb="FF000000"/>
      <name val="Calibri"/>
      <family val="2"/>
      <scheme val="minor"/>
    </font>
    <font>
      <b/>
      <sz val="11"/>
      <color rgb="FF000000"/>
      <name val="Calibri"/>
      <family val="2"/>
      <scheme val="minor"/>
    </font>
    <font>
      <sz val="11"/>
      <color rgb="FF006100"/>
      <name val="Calibri"/>
      <family val="2"/>
      <scheme val="minor"/>
    </font>
    <font>
      <b/>
      <sz val="12"/>
      <color theme="1"/>
      <name val="Calibri"/>
      <family val="2"/>
      <scheme val="minor"/>
    </font>
    <font>
      <sz val="11"/>
      <name val="Calibri"/>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79">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style="medium">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thin">
        <color indexed="22"/>
      </left>
      <right style="thin">
        <color indexed="22"/>
      </right>
      <top style="thin">
        <color indexed="22"/>
      </top>
      <bottom style="thin">
        <color indexed="22"/>
      </bottom>
      <diagonal/>
    </border>
  </borders>
  <cellStyleXfs count="54794">
    <xf numFmtId="0" fontId="0" fillId="0" borderId="0"/>
    <xf numFmtId="164"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3"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2"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8"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164" fontId="1" fillId="0" borderId="0" applyFont="0" applyFill="0" applyBorder="0" applyAlignment="0" applyProtection="0"/>
    <xf numFmtId="0" fontId="32" fillId="26" borderId="0" applyNumberFormat="0" applyBorder="0" applyAlignment="0" applyProtection="0"/>
  </cellStyleXfs>
  <cellXfs count="379">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6"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7"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5" fontId="7" fillId="0" borderId="1" xfId="4" applyNumberFormat="1" applyFont="1" applyFill="1" applyBorder="1" applyAlignment="1">
      <alignment horizontal="center"/>
    </xf>
    <xf numFmtId="169" fontId="7" fillId="7" borderId="1" xfId="1" applyNumberFormat="1" applyFont="1" applyFill="1" applyBorder="1" applyAlignment="1">
      <alignment horizontal="center"/>
    </xf>
    <xf numFmtId="0" fontId="7" fillId="7" borderId="6" xfId="0" applyFont="1" applyFill="1" applyBorder="1" applyAlignment="1">
      <alignment horizontal="center"/>
    </xf>
    <xf numFmtId="167"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5" fontId="0" fillId="7" borderId="8" xfId="0" applyNumberFormat="1" applyFill="1" applyBorder="1" applyAlignment="1">
      <alignment horizontal="center"/>
    </xf>
    <xf numFmtId="170"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7" fontId="18" fillId="5" borderId="18" xfId="8" applyNumberFormat="1" applyFont="1" applyFill="1" applyBorder="1" applyAlignment="1">
      <alignment horizontal="left" vertical="center"/>
    </xf>
    <xf numFmtId="167" fontId="18" fillId="5" borderId="18" xfId="8" applyNumberFormat="1" applyFont="1" applyFill="1" applyBorder="1" applyAlignment="1">
      <alignment vertical="center"/>
    </xf>
    <xf numFmtId="167" fontId="18" fillId="5" borderId="19" xfId="8" applyNumberFormat="1" applyFont="1" applyFill="1" applyBorder="1" applyAlignment="1">
      <alignment vertical="center"/>
    </xf>
    <xf numFmtId="166"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6" fontId="18" fillId="5" borderId="21" xfId="8" applyNumberFormat="1" applyFont="1" applyFill="1" applyBorder="1" applyAlignment="1">
      <alignment horizontal="left" vertical="center"/>
    </xf>
    <xf numFmtId="167" fontId="18" fillId="5" borderId="22" xfId="8" applyNumberFormat="1" applyFont="1" applyFill="1" applyBorder="1" applyAlignment="1">
      <alignment vertical="center"/>
    </xf>
    <xf numFmtId="167" fontId="18" fillId="5" borderId="23" xfId="8" applyNumberFormat="1" applyFont="1" applyFill="1" applyBorder="1" applyAlignment="1">
      <alignment vertical="center"/>
    </xf>
    <xf numFmtId="0" fontId="19" fillId="5" borderId="24" xfId="0" applyFont="1" applyFill="1" applyBorder="1"/>
    <xf numFmtId="166"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5" fontId="18" fillId="5" borderId="28" xfId="2" applyNumberFormat="1" applyFont="1" applyFill="1" applyBorder="1" applyAlignment="1">
      <alignment horizontal="center" vertical="center"/>
    </xf>
    <xf numFmtId="165" fontId="19" fillId="5" borderId="28" xfId="2" applyNumberFormat="1" applyFont="1" applyFill="1" applyBorder="1" applyAlignment="1">
      <alignment horizontal="center"/>
    </xf>
    <xf numFmtId="165" fontId="18" fillId="5" borderId="30" xfId="2" applyNumberFormat="1" applyFont="1" applyFill="1" applyBorder="1" applyAlignment="1">
      <alignment horizontal="center" vertical="center"/>
    </xf>
    <xf numFmtId="165" fontId="19" fillId="5" borderId="30" xfId="2" applyNumberFormat="1" applyFont="1" applyFill="1" applyBorder="1" applyAlignment="1">
      <alignment horizontal="center"/>
    </xf>
    <xf numFmtId="165" fontId="18" fillId="5" borderId="32" xfId="2" applyNumberFormat="1" applyFont="1" applyFill="1" applyBorder="1" applyAlignment="1">
      <alignment horizontal="center" vertical="center"/>
    </xf>
    <xf numFmtId="165" fontId="19" fillId="5" borderId="32" xfId="2" applyNumberFormat="1" applyFont="1" applyFill="1" applyBorder="1" applyAlignment="1">
      <alignment horizontal="center"/>
    </xf>
    <xf numFmtId="170" fontId="18" fillId="5" borderId="28" xfId="2" applyNumberFormat="1" applyFont="1" applyFill="1" applyBorder="1" applyAlignment="1">
      <alignment horizontal="center" vertical="center"/>
    </xf>
    <xf numFmtId="170" fontId="19" fillId="5" borderId="28" xfId="2" applyNumberFormat="1" applyFont="1" applyFill="1" applyBorder="1" applyAlignment="1">
      <alignment horizontal="center"/>
    </xf>
    <xf numFmtId="170" fontId="18" fillId="5" borderId="30" xfId="2" applyNumberFormat="1" applyFont="1" applyFill="1" applyBorder="1" applyAlignment="1">
      <alignment horizontal="center" vertical="center"/>
    </xf>
    <xf numFmtId="170" fontId="19" fillId="5" borderId="30" xfId="2" applyNumberFormat="1" applyFont="1" applyFill="1" applyBorder="1" applyAlignment="1">
      <alignment horizontal="center"/>
    </xf>
    <xf numFmtId="170" fontId="18" fillId="5" borderId="32" xfId="2" applyNumberFormat="1" applyFont="1" applyFill="1" applyBorder="1" applyAlignment="1">
      <alignment horizontal="center" vertical="center"/>
    </xf>
    <xf numFmtId="170" fontId="19" fillId="5" borderId="32" xfId="2" applyNumberFormat="1" applyFont="1" applyFill="1" applyBorder="1" applyAlignment="1">
      <alignment horizontal="center"/>
    </xf>
    <xf numFmtId="20" fontId="0" fillId="0" borderId="0" xfId="0" applyNumberFormat="1"/>
    <xf numFmtId="164"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5" fontId="7" fillId="0" borderId="6" xfId="4" applyNumberFormat="1" applyFont="1" applyFill="1" applyBorder="1" applyAlignment="1">
      <alignment horizontal="center"/>
    </xf>
    <xf numFmtId="169"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3"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164" fontId="0" fillId="0" borderId="0" xfId="1" applyFont="1" applyAlignment="1">
      <alignment horizontal="center"/>
    </xf>
    <xf numFmtId="164" fontId="14" fillId="9" borderId="10" xfId="1" applyFont="1" applyFill="1" applyBorder="1" applyAlignment="1">
      <alignment horizontal="center" vertical="center" wrapText="1"/>
    </xf>
    <xf numFmtId="164" fontId="0" fillId="7" borderId="0" xfId="1" applyFont="1" applyFill="1" applyBorder="1"/>
    <xf numFmtId="164"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70" fontId="0" fillId="14" borderId="44" xfId="2" applyNumberFormat="1" applyFont="1" applyFill="1" applyBorder="1" applyAlignment="1">
      <alignment horizontal="center" vertical="center"/>
    </xf>
    <xf numFmtId="170"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164"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164" fontId="5" fillId="3" borderId="3" xfId="1" applyFont="1" applyFill="1" applyBorder="1" applyAlignment="1">
      <alignment horizontal="center" vertical="center" wrapText="1"/>
    </xf>
    <xf numFmtId="164" fontId="7" fillId="0" borderId="1" xfId="1" applyFont="1" applyFill="1" applyBorder="1" applyAlignment="1">
      <alignment horizontal="center"/>
    </xf>
    <xf numFmtId="164" fontId="7" fillId="0" borderId="6" xfId="1" applyFont="1" applyFill="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9" fontId="7" fillId="7" borderId="1" xfId="0" applyNumberFormat="1" applyFont="1" applyFill="1" applyBorder="1" applyAlignment="1">
      <alignment horizontal="center"/>
    </xf>
    <xf numFmtId="165"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9"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164" fontId="7" fillId="0" borderId="1" xfId="122" applyFont="1" applyFill="1" applyBorder="1" applyAlignment="1">
      <alignment horizontal="center"/>
    </xf>
    <xf numFmtId="1" fontId="7" fillId="0" borderId="6" xfId="0" applyNumberFormat="1" applyFont="1" applyBorder="1" applyAlignment="1">
      <alignment horizontal="center"/>
    </xf>
    <xf numFmtId="165" fontId="7" fillId="0" borderId="6" xfId="0" applyNumberFormat="1" applyFont="1" applyBorder="1" applyAlignment="1">
      <alignment horizontal="center"/>
    </xf>
    <xf numFmtId="169" fontId="7" fillId="7" borderId="6" xfId="0" applyNumberFormat="1" applyFont="1" applyFill="1" applyBorder="1" applyAlignment="1">
      <alignment horizontal="center"/>
    </xf>
    <xf numFmtId="165"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9" fontId="7" fillId="7" borderId="7" xfId="0" applyNumberFormat="1" applyFont="1" applyFill="1" applyBorder="1" applyAlignment="1">
      <alignment horizontal="center"/>
    </xf>
    <xf numFmtId="0" fontId="0" fillId="0" borderId="44" xfId="0" applyBorder="1" applyAlignment="1">
      <alignment horizontal="center" vertical="center"/>
    </xf>
    <xf numFmtId="164"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70" fontId="0" fillId="0" borderId="44" xfId="2" applyNumberFormat="1" applyFont="1" applyBorder="1" applyAlignment="1">
      <alignment horizontal="center" vertical="center"/>
    </xf>
    <xf numFmtId="170" fontId="0" fillId="0" borderId="44" xfId="0" applyNumberFormat="1" applyBorder="1" applyAlignment="1">
      <alignment horizontal="center" vertical="center"/>
    </xf>
    <xf numFmtId="164" fontId="0" fillId="0" borderId="44" xfId="1" applyFont="1" applyBorder="1" applyAlignment="1">
      <alignment horizontal="left" vertical="center"/>
    </xf>
    <xf numFmtId="166"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5"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70"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5"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5"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5"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6"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70"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67" fontId="18" fillId="5" borderId="18" xfId="8" applyNumberFormat="1" applyFont="1" applyFill="1" applyBorder="1" applyAlignment="1" applyProtection="1">
      <alignment horizontal="left" vertical="center"/>
      <protection locked="0"/>
    </xf>
    <xf numFmtId="166"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8"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 fontId="7" fillId="0" borderId="0" xfId="54790" applyNumberFormat="1" applyFont="1" applyAlignment="1">
      <alignment horizontal="center" vertical="center"/>
    </xf>
    <xf numFmtId="0" fontId="0" fillId="21" borderId="56" xfId="54790" applyFont="1" applyFill="1" applyBorder="1" applyAlignment="1">
      <alignment horizontal="center" vertical="center"/>
    </xf>
    <xf numFmtId="0" fontId="0" fillId="22" borderId="56" xfId="54790" applyFont="1" applyFill="1" applyBorder="1" applyAlignment="1">
      <alignment horizontal="center" vertical="center"/>
    </xf>
    <xf numFmtId="0" fontId="29" fillId="23" borderId="44" xfId="0" applyFont="1" applyFill="1" applyBorder="1" applyAlignment="1">
      <alignment horizontal="center" vertical="center"/>
    </xf>
    <xf numFmtId="0" fontId="29" fillId="24" borderId="44" xfId="0" applyFont="1" applyFill="1" applyBorder="1" applyAlignment="1">
      <alignment horizontal="center" vertical="center"/>
    </xf>
    <xf numFmtId="15" fontId="0" fillId="0" borderId="44" xfId="0" applyNumberFormat="1" applyBorder="1" applyAlignment="1">
      <alignment horizontal="center" vertical="center"/>
    </xf>
    <xf numFmtId="15" fontId="29"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0" fillId="0" borderId="44" xfId="0" applyNumberFormat="1" applyFont="1" applyBorder="1"/>
    <xf numFmtId="15" fontId="30" fillId="0" borderId="57" xfId="0" applyNumberFormat="1" applyFont="1" applyBorder="1"/>
    <xf numFmtId="0" fontId="0" fillId="0" borderId="44" xfId="0" applyBorder="1" applyAlignment="1">
      <alignment horizontal="center"/>
    </xf>
    <xf numFmtId="0" fontId="30" fillId="0" borderId="57" xfId="0" applyFont="1" applyBorder="1"/>
    <xf numFmtId="14" fontId="0" fillId="0" borderId="44" xfId="0" applyNumberFormat="1" applyBorder="1" applyAlignment="1">
      <alignment horizontal="center" vertical="center"/>
    </xf>
    <xf numFmtId="14" fontId="29" fillId="2" borderId="44" xfId="0" applyNumberFormat="1" applyFont="1" applyFill="1" applyBorder="1" applyAlignment="1">
      <alignment horizontal="center" vertical="center"/>
    </xf>
    <xf numFmtId="0" fontId="29" fillId="23" borderId="61" xfId="0" applyFont="1" applyFill="1" applyBorder="1" applyAlignment="1">
      <alignment horizontal="center" vertical="center"/>
    </xf>
    <xf numFmtId="0" fontId="0" fillId="5" borderId="64" xfId="0" applyFill="1" applyBorder="1" applyAlignment="1">
      <alignment horizontal="center"/>
    </xf>
    <xf numFmtId="0" fontId="0" fillId="0" borderId="65" xfId="0" applyBorder="1" applyAlignment="1">
      <alignment horizontal="center" vertical="center"/>
    </xf>
    <xf numFmtId="0" fontId="29" fillId="5" borderId="22" xfId="0" applyFont="1" applyFill="1" applyBorder="1" applyAlignment="1">
      <alignment vertical="center"/>
    </xf>
    <xf numFmtId="0" fontId="0" fillId="5" borderId="23" xfId="0" applyFill="1" applyBorder="1"/>
    <xf numFmtId="15" fontId="31" fillId="25" borderId="57" xfId="0" applyNumberFormat="1" applyFont="1" applyFill="1" applyBorder="1" applyAlignment="1">
      <alignment horizontal="center" vertical="center"/>
    </xf>
    <xf numFmtId="15" fontId="31" fillId="25" borderId="44" xfId="0" applyNumberFormat="1" applyFont="1" applyFill="1" applyBorder="1" applyAlignment="1">
      <alignment horizontal="center" vertical="center"/>
    </xf>
    <xf numFmtId="0" fontId="5" fillId="3" borderId="0" xfId="104" applyFont="1" applyFill="1" applyAlignment="1">
      <alignment horizontal="center" vertical="center" wrapText="1"/>
    </xf>
    <xf numFmtId="166" fontId="5" fillId="3" borderId="0" xfId="104" applyNumberFormat="1" applyFont="1" applyFill="1" applyAlignment="1">
      <alignment horizontal="center" vertical="center" wrapText="1"/>
    </xf>
    <xf numFmtId="164"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70" fontId="0" fillId="0" borderId="0" xfId="0" applyNumberFormat="1" applyAlignment="1">
      <alignment horizontal="center" vertical="center"/>
    </xf>
    <xf numFmtId="2" fontId="0" fillId="7" borderId="8" xfId="0" applyNumberFormat="1" applyFill="1" applyBorder="1" applyAlignment="1">
      <alignment horizontal="center" vertical="center"/>
    </xf>
    <xf numFmtId="164" fontId="0" fillId="0" borderId="0" xfId="122" applyFont="1" applyFill="1" applyAlignment="1">
      <alignment horizontal="center" vertical="center"/>
    </xf>
    <xf numFmtId="9" fontId="0" fillId="0" borderId="0" xfId="0" applyNumberFormat="1" applyAlignment="1">
      <alignment horizontal="center" vertical="center"/>
    </xf>
    <xf numFmtId="171" fontId="0" fillId="0" borderId="0" xfId="0" applyNumberFormat="1" applyAlignment="1">
      <alignment vertical="center"/>
    </xf>
    <xf numFmtId="171" fontId="26" fillId="0" borderId="0" xfId="0" applyNumberFormat="1" applyFont="1" applyAlignment="1">
      <alignment vertical="center"/>
    </xf>
    <xf numFmtId="171"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67" xfId="104" applyFont="1" applyFill="1" applyBorder="1" applyAlignment="1">
      <alignment horizontal="center" vertical="center" wrapText="1"/>
    </xf>
    <xf numFmtId="0" fontId="5" fillId="3" borderId="68" xfId="104" applyFont="1" applyFill="1" applyBorder="1" applyAlignment="1">
      <alignment horizontal="center" vertical="center" wrapText="1"/>
    </xf>
    <xf numFmtId="166" fontId="5" fillId="3" borderId="68"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1"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70" fontId="0" fillId="0" borderId="0" xfId="103" applyNumberFormat="1" applyFont="1" applyFill="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164"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4" fontId="0" fillId="0" borderId="0" xfId="0" applyNumberFormat="1" applyAlignment="1">
      <alignment vertical="center"/>
    </xf>
    <xf numFmtId="2" fontId="0" fillId="7" borderId="69" xfId="0" applyNumberFormat="1" applyFill="1" applyBorder="1" applyAlignment="1">
      <alignment horizontal="center"/>
    </xf>
    <xf numFmtId="15" fontId="30" fillId="0" borderId="57" xfId="0" applyNumberFormat="1" applyFont="1" applyBorder="1" applyAlignment="1">
      <alignment horizontal="right"/>
    </xf>
    <xf numFmtId="15" fontId="0" fillId="0" borderId="44" xfId="0" applyNumberFormat="1" applyBorder="1" applyAlignment="1">
      <alignment horizontal="right" vertical="center"/>
    </xf>
    <xf numFmtId="165" fontId="0" fillId="0" borderId="0" xfId="0" applyNumberFormat="1" applyAlignment="1">
      <alignment horizontal="center" vertical="center"/>
    </xf>
    <xf numFmtId="2" fontId="0" fillId="7" borderId="70"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0" xfId="0" applyNumberFormat="1" applyFill="1" applyBorder="1" applyAlignment="1">
      <alignment horizontal="center"/>
    </xf>
    <xf numFmtId="2" fontId="0" fillId="7" borderId="71" xfId="0" applyNumberFormat="1" applyFill="1" applyBorder="1" applyAlignment="1">
      <alignment horizontal="center"/>
    </xf>
    <xf numFmtId="0" fontId="33"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32" fillId="17" borderId="44" xfId="54793" applyNumberFormat="1" applyFill="1" applyBorder="1" applyAlignment="1">
      <alignment horizontal="center" vertical="center"/>
    </xf>
    <xf numFmtId="20" fontId="32" fillId="17" borderId="44" xfId="54793" applyNumberFormat="1" applyFill="1" applyBorder="1" applyAlignment="1">
      <alignment horizontal="center"/>
    </xf>
    <xf numFmtId="0" fontId="32" fillId="17" borderId="44" xfId="54793" applyFill="1" applyBorder="1" applyAlignment="1">
      <alignment horizontal="center"/>
    </xf>
    <xf numFmtId="9" fontId="32" fillId="17" borderId="44" xfId="54793" applyNumberFormat="1" applyFill="1" applyBorder="1" applyAlignment="1">
      <alignment horizontal="center"/>
    </xf>
    <xf numFmtId="2" fontId="32" fillId="17" borderId="44" xfId="54793" applyNumberFormat="1" applyFill="1" applyBorder="1" applyAlignment="1">
      <alignment horizontal="center" vertical="center"/>
    </xf>
    <xf numFmtId="0" fontId="32" fillId="17" borderId="44" xfId="54793" applyFill="1" applyBorder="1" applyAlignment="1">
      <alignment horizontal="center" vertical="center"/>
    </xf>
    <xf numFmtId="0" fontId="32" fillId="17" borderId="44" xfId="54793" applyFill="1" applyBorder="1"/>
    <xf numFmtId="0" fontId="32"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5" fontId="34" fillId="0" borderId="1" xfId="0" applyNumberFormat="1" applyFont="1" applyBorder="1" applyAlignment="1">
      <alignment horizontal="center"/>
    </xf>
    <xf numFmtId="165" fontId="34" fillId="0" borderId="1" xfId="4" applyNumberFormat="1" applyFont="1" applyFill="1" applyBorder="1" applyAlignment="1">
      <alignment horizontal="center"/>
    </xf>
    <xf numFmtId="169" fontId="34" fillId="7" borderId="1" xfId="0" applyNumberFormat="1" applyFont="1" applyFill="1" applyBorder="1" applyAlignment="1">
      <alignment horizontal="center"/>
    </xf>
    <xf numFmtId="165"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9" fontId="34" fillId="7" borderId="1" xfId="1" applyNumberFormat="1" applyFont="1" applyFill="1" applyBorder="1" applyAlignment="1">
      <alignment horizontal="center"/>
    </xf>
    <xf numFmtId="169" fontId="34" fillId="7" borderId="5" xfId="0" applyNumberFormat="1" applyFont="1" applyFill="1" applyBorder="1" applyAlignment="1">
      <alignment horizontal="center"/>
    </xf>
    <xf numFmtId="10" fontId="34" fillId="0" borderId="1" xfId="1" applyNumberFormat="1" applyFont="1" applyFill="1" applyBorder="1" applyAlignment="1">
      <alignment horizontal="center"/>
    </xf>
    <xf numFmtId="164" fontId="34" fillId="0" borderId="1" xfId="1" applyFont="1" applyFill="1" applyBorder="1" applyAlignment="1">
      <alignment horizontal="center"/>
    </xf>
    <xf numFmtId="10" fontId="34"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164" fontId="0" fillId="0" borderId="44" xfId="1" applyFont="1" applyBorder="1" applyAlignment="1">
      <alignment horizontal="center" vertical="center"/>
    </xf>
    <xf numFmtId="0" fontId="23" fillId="0" borderId="44" xfId="0" applyFont="1" applyBorder="1" applyAlignment="1">
      <alignment horizontal="center" vertical="center"/>
    </xf>
    <xf numFmtId="0" fontId="29" fillId="23" borderId="60" xfId="0" applyFont="1" applyFill="1" applyBorder="1" applyAlignment="1">
      <alignment horizontal="center" vertical="center"/>
    </xf>
    <xf numFmtId="0" fontId="29" fillId="23" borderId="61" xfId="0" applyFont="1" applyFill="1" applyBorder="1" applyAlignment="1">
      <alignment horizontal="center" vertical="center"/>
    </xf>
    <xf numFmtId="0" fontId="29" fillId="24" borderId="60" xfId="0" applyFont="1" applyFill="1" applyBorder="1" applyAlignment="1">
      <alignment horizontal="center" vertical="center" wrapText="1"/>
    </xf>
    <xf numFmtId="0" fontId="29" fillId="24" borderId="61" xfId="0" applyFont="1" applyFill="1" applyBorder="1" applyAlignment="1">
      <alignment horizontal="center" vertical="center" wrapText="1"/>
    </xf>
    <xf numFmtId="0" fontId="29" fillId="24" borderId="62" xfId="0" applyFont="1" applyFill="1" applyBorder="1" applyAlignment="1">
      <alignment horizontal="center" vertical="center" wrapText="1"/>
    </xf>
    <xf numFmtId="0" fontId="29" fillId="17" borderId="66" xfId="0" applyFont="1" applyFill="1" applyBorder="1" applyAlignment="1">
      <alignment horizontal="center" vertical="center"/>
    </xf>
    <xf numFmtId="0" fontId="29" fillId="17" borderId="22" xfId="0" applyFont="1" applyFill="1" applyBorder="1" applyAlignment="1">
      <alignment horizontal="center" vertical="center"/>
    </xf>
    <xf numFmtId="0" fontId="29" fillId="17" borderId="58" xfId="0" applyFont="1" applyFill="1" applyBorder="1" applyAlignment="1">
      <alignment horizontal="center" vertical="center"/>
    </xf>
    <xf numFmtId="0" fontId="29" fillId="17" borderId="63" xfId="0" applyFont="1" applyFill="1" applyBorder="1" applyAlignment="1">
      <alignment horizontal="center" vertical="center"/>
    </xf>
    <xf numFmtId="0" fontId="29" fillId="17" borderId="64" xfId="0" applyFont="1" applyFill="1" applyBorder="1" applyAlignment="1">
      <alignment horizontal="center" vertical="center"/>
    </xf>
    <xf numFmtId="0" fontId="29" fillId="17" borderId="59" xfId="0" applyFont="1" applyFill="1" applyBorder="1" applyAlignment="1">
      <alignment horizontal="center" vertical="center"/>
    </xf>
    <xf numFmtId="0" fontId="29" fillId="17" borderId="38" xfId="0" applyFont="1" applyFill="1" applyBorder="1" applyAlignment="1">
      <alignment horizontal="center" vertical="center"/>
    </xf>
    <xf numFmtId="0" fontId="29" fillId="17" borderId="57" xfId="0" applyFont="1" applyFill="1" applyBorder="1" applyAlignment="1">
      <alignment horizontal="center" vertical="center"/>
    </xf>
    <xf numFmtId="0" fontId="29" fillId="17" borderId="59" xfId="0" applyFont="1" applyFill="1" applyBorder="1" applyAlignment="1">
      <alignment horizontal="center" vertical="center" wrapText="1"/>
    </xf>
    <xf numFmtId="0" fontId="29" fillId="17" borderId="38" xfId="0" applyFont="1" applyFill="1" applyBorder="1" applyAlignment="1">
      <alignment horizontal="center" vertical="center" wrapText="1"/>
    </xf>
    <xf numFmtId="0" fontId="29" fillId="17" borderId="57" xfId="0" applyFont="1" applyFill="1" applyBorder="1" applyAlignment="1">
      <alignment horizontal="center" vertical="center" wrapText="1"/>
    </xf>
    <xf numFmtId="0" fontId="33" fillId="23" borderId="44" xfId="0" applyFont="1" applyFill="1" applyBorder="1" applyAlignment="1">
      <alignment horizontal="center" vertical="center"/>
    </xf>
    <xf numFmtId="0" fontId="33" fillId="23" borderId="38" xfId="0" applyFont="1" applyFill="1" applyBorder="1" applyAlignment="1">
      <alignment horizontal="center" vertical="center"/>
    </xf>
    <xf numFmtId="0" fontId="33" fillId="23" borderId="57" xfId="0" applyFont="1" applyFill="1" applyBorder="1" applyAlignment="1">
      <alignment horizontal="center" vertical="center"/>
    </xf>
    <xf numFmtId="0" fontId="0" fillId="0" borderId="0" xfId="0" applyAlignment="1">
      <alignment horizontal="center" vertical="center"/>
    </xf>
    <xf numFmtId="0" fontId="29" fillId="23" borderId="72" xfId="0" applyFont="1" applyFill="1" applyBorder="1" applyAlignment="1">
      <alignment horizontal="center" vertical="center" wrapText="1"/>
    </xf>
    <xf numFmtId="0" fontId="29" fillId="23" borderId="73" xfId="0" applyFont="1" applyFill="1" applyBorder="1" applyAlignment="1">
      <alignment horizontal="center" vertical="center" wrapText="1"/>
    </xf>
    <xf numFmtId="0" fontId="29" fillId="23" borderId="74" xfId="0" applyFont="1" applyFill="1" applyBorder="1" applyAlignment="1">
      <alignment horizontal="center" vertical="center" wrapText="1"/>
    </xf>
    <xf numFmtId="0" fontId="29" fillId="24" borderId="72" xfId="0" applyFont="1" applyFill="1" applyBorder="1" applyAlignment="1">
      <alignment horizontal="center" vertical="center"/>
    </xf>
    <xf numFmtId="0" fontId="29" fillId="24" borderId="73" xfId="0" applyFont="1" applyFill="1" applyBorder="1" applyAlignment="1">
      <alignment horizontal="center" vertical="center"/>
    </xf>
    <xf numFmtId="0" fontId="29" fillId="24" borderId="75" xfId="0" applyFont="1" applyFill="1" applyBorder="1" applyAlignment="1">
      <alignment horizontal="center" vertical="center"/>
    </xf>
    <xf numFmtId="0" fontId="29" fillId="23" borderId="74" xfId="0" applyFont="1" applyFill="1" applyBorder="1" applyAlignment="1">
      <alignment horizontal="center" vertical="center"/>
    </xf>
    <xf numFmtId="0" fontId="29" fillId="24" borderId="74" xfId="0" applyFont="1" applyFill="1" applyBorder="1" applyAlignment="1">
      <alignment horizontal="center" vertical="center"/>
    </xf>
    <xf numFmtId="0" fontId="29" fillId="24" borderId="72" xfId="0" applyFont="1" applyFill="1" applyBorder="1" applyAlignment="1">
      <alignment horizontal="center" vertical="center"/>
    </xf>
    <xf numFmtId="0" fontId="0" fillId="24" borderId="76" xfId="0" applyFill="1" applyBorder="1" applyAlignment="1">
      <alignment vertical="center" wrapText="1"/>
    </xf>
    <xf numFmtId="1" fontId="0" fillId="0" borderId="72" xfId="0" applyNumberFormat="1" applyBorder="1" applyAlignment="1">
      <alignment horizontal="center"/>
    </xf>
    <xf numFmtId="0" fontId="0" fillId="0" borderId="76" xfId="0" applyBorder="1"/>
    <xf numFmtId="0" fontId="0" fillId="0" borderId="77" xfId="0" applyBorder="1" applyAlignment="1">
      <alignment horizontal="center" vertical="center"/>
    </xf>
    <xf numFmtId="172" fontId="24" fillId="0" borderId="78" xfId="1" applyNumberFormat="1" applyFont="1" applyBorder="1" applyAlignment="1">
      <alignment horizontal="left" vertical="top" wrapText="1"/>
    </xf>
    <xf numFmtId="0" fontId="26" fillId="0" borderId="44" xfId="0" applyFont="1" applyBorder="1" applyAlignment="1">
      <alignment horizontal="center" vertical="center"/>
    </xf>
    <xf numFmtId="164" fontId="0" fillId="0" borderId="44" xfId="1" applyFont="1" applyBorder="1" applyAlignment="1">
      <alignment horizontal="center"/>
    </xf>
    <xf numFmtId="0" fontId="22" fillId="0" borderId="44" xfId="0" applyFont="1" applyBorder="1" applyAlignment="1">
      <alignment horizontal="left"/>
    </xf>
    <xf numFmtId="0" fontId="0" fillId="19" borderId="44" xfId="0" applyFill="1" applyBorder="1" applyAlignment="1">
      <alignment horizontal="left"/>
    </xf>
    <xf numFmtId="0" fontId="0" fillId="19" borderId="44" xfId="0" applyFill="1" applyBorder="1"/>
    <xf numFmtId="0" fontId="0" fillId="17" borderId="44" xfId="0" applyFill="1" applyBorder="1" applyAlignment="1">
      <alignment horizontal="left"/>
    </xf>
    <xf numFmtId="0" fontId="0" fillId="17" borderId="44" xfId="0" applyFill="1" applyBorder="1"/>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4"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70"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5"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4"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5"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6"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bottom style="dotted">
          <color theme="2" tint="-9.9948118533890809E-2"/>
        </bottom>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7" formatCode="hh:mm"/>
      <alignment horizontal="center" vertical="bottom" textRotation="0" wrapText="0" indent="0" justifyLastLine="0" shrinkToFit="0" readingOrder="0"/>
    </dxf>
    <dxf>
      <numFmt numFmtId="177"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78" formatCode="dd/mmm/yy"/>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1"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1"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1" formatCode="h:mm;@"/>
      <alignment horizontal="general" vertical="center" textRotation="0" wrapText="0" indent="0" justifyLastLine="0" shrinkToFit="0" readingOrder="0"/>
    </dxf>
    <dxf>
      <numFmt numFmtId="171"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178" formatCode="dd/mmm/yy"/>
      <alignment horizontal="center" vertical="center" textRotation="0" wrapText="0" indent="0" justifyLastLine="0" shrinkToFit="0" readingOrder="0"/>
    </dxf>
    <dxf>
      <numFmt numFmtId="175"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5"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8"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006100"/>
      </font>
      <fill>
        <patternFill>
          <bgColor rgb="FFC6EF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70"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5"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5"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42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36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64">
      <pivotArea type="all" dataOnly="0" outline="0" fieldPosition="0"/>
    </format>
    <format dxfId="365">
      <pivotArea outline="0" collapsedLevelsAreSubtotals="1" fieldPosition="0"/>
    </format>
    <format dxfId="366">
      <pivotArea field="11" type="button" dataOnly="0" labelOnly="1" outline="0" axis="axisRow" fieldPosition="0"/>
    </format>
    <format dxfId="367">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6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69">
      <pivotArea dataOnly="0" labelOnly="1" grandRow="1" outline="0" fieldPosition="0"/>
    </format>
    <format dxfId="370">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62" dataDxfId="361" totalsRowDxfId="360" headerRowBorderDxfId="358" tableBorderDxfId="359" totalsRowBorderDxfId="357">
  <autoFilter ref="A1:AS369" xr:uid="{3B203726-2095-49D8-A694-A659B4A14C0A}"/>
  <tableColumns count="45">
    <tableColumn id="1" xr3:uid="{705FD7CF-F4D9-4BE9-AB61-F11F2AB5C4B9}" name="Date" dataDxfId="355" totalsRowDxfId="356" dataCellStyle="Normal 26"/>
    <tableColumn id="2" xr3:uid="{16363D35-8AA0-455E-A1CA-ED847A6C02E3}" name="Financial Year" dataDxfId="353" totalsRowDxfId="354" dataCellStyle="Normal 26">
      <calculatedColumnFormula>YEAR(Table13[[#This Row],[Date]])+IF(MONTH(Table13[[#This Row],[Date]])&gt;=4,1,0)</calculatedColumnFormula>
    </tableColumn>
    <tableColumn id="3" xr3:uid="{1390B74D-7B2D-42F3-A035-0FBEDF0B10C2}" name="Calendar Year" dataDxfId="351" totalsRowDxfId="352" dataCellStyle="Normal 26">
      <calculatedColumnFormula>YEAR(Table13[[#This Row],[Date]])</calculatedColumnFormula>
    </tableColumn>
    <tableColumn id="4" xr3:uid="{F2788154-3A0B-4E18-B30E-611DC851EC4C}" name="Month Year" dataDxfId="349" totalsRowDxfId="350" dataCellStyle="Normal 26">
      <calculatedColumnFormula>Table13[[#This Row],[Date]]-DAY(Table13[[#This Row],[Date]])+1</calculatedColumnFormula>
    </tableColumn>
    <tableColumn id="5" xr3:uid="{40B25B3A-DCDA-488A-B89D-2172FC6E810D}" name="Days" dataDxfId="347" totalsRowDxfId="348" dataCellStyle="Normal 26">
      <calculatedColumnFormula>DAY(EOMONTH(A2,0))</calculatedColumnFormula>
    </tableColumn>
    <tableColumn id="6" xr3:uid="{3E574EA2-59F5-45E3-B4FD-CD2A8A05CBC7}" name="Operating Hours" dataDxfId="346" dataCellStyle="Percent"/>
    <tableColumn id="7" xr3:uid="{9B04C0E9-9B44-46F2-AAAC-99A13B1D6041}" name="GHI-UP (KWh/m2)" dataDxfId="344" totalsRowDxfId="345" dataCellStyle="Percent"/>
    <tableColumn id="8" xr3:uid="{1373399C-6314-49A4-B026-5F2184F3E97E}" name="GHI-Down(KWh/m2)" dataDxfId="342" totalsRowDxfId="343" dataCellStyle="Percent"/>
    <tableColumn id="9" xr3:uid="{E95C0369-ACF4-42FF-8C92-A919410C1BE0}" name="POA-UP(KWh/m2)" dataDxfId="340" totalsRowDxfId="341" dataCellStyle="Percent"/>
    <tableColumn id="10" xr3:uid="{074FFD75-7963-466E-8F66-6C331B10447F}" name="POA-Down(KWh/m2)" dataDxfId="338" totalsRowDxfId="339" dataCellStyle="Percent"/>
    <tableColumn id="11" xr3:uid="{1DE943E8-31C6-4D50-B608-348FCF8E093F}" name="Amb_Temp(°C)" dataDxfId="336" totalsRowDxfId="337" dataCellStyle="Percent"/>
    <tableColumn id="12" xr3:uid="{EB8E181F-7E07-47AE-A4DD-738DE3B85C3C}" name="Mod_Temp(°C)" dataDxfId="334" totalsRowDxfId="335" dataCellStyle="Percent"/>
    <tableColumn id="13" xr3:uid="{E1CF4A35-DFC3-4868-BAA8-8C7ED9EA0C85}" name="WS_Avg(m/s)" dataDxfId="332" totalsRowDxfId="333" dataCellStyle="Percent">
      <calculatedColumnFormula>IFERROR(_xlfn.XLOOKUP($A2,Input_Raw!$A:$A,Input_Raw!BG:BG),"")</calculatedColumnFormula>
    </tableColumn>
    <tableColumn id="14" xr3:uid="{EE2D8B57-491A-47E5-B6BD-11062961E6F0}" name="WS_Max(m/s)" dataDxfId="330" totalsRowDxfId="331" dataCellStyle="Percent">
      <calculatedColumnFormula>IFERROR(_xlfn.XLOOKUP($A2,Input_Raw!$A:$A,Input_Raw!BH:BH),"")</calculatedColumnFormula>
    </tableColumn>
    <tableColumn id="15" xr3:uid="{49CD36B9-8034-41A6-949A-F33A9C190CAE}" name="PA(%)" dataDxfId="328" totalsRowDxfId="329" dataCellStyle="Percent">
      <calculatedColumnFormula>IFERROR(P2*Q2,"")</calculatedColumnFormula>
    </tableColumn>
    <tableColumn id="16" xr3:uid="{CFFFBF91-C5C4-4EA5-89B6-B4B65554A854}" name="MA (%)" dataDxfId="326" totalsRowDxfId="327" dataCellStyle="Percent">
      <calculatedColumnFormula>IFERROR(1-SUMIF(WTG_BD!$F:$F,$A2,WTG_BD!$AA:$AA)/($AA2+SUMIF(WTG_BD!$F:$F,$A2,WTG_BD!$AA:$AA)),"")</calculatedColumnFormula>
    </tableColumn>
    <tableColumn id="17" xr3:uid="{6EC851D4-317B-45FD-A762-B7EA924F771D}" name="IGA (%)" dataDxfId="324" totalsRowDxfId="325" dataCellStyle="Percent">
      <calculatedColumnFormula>IFERROR(1-SUMIF(IGA_BD!$F:$F,$A2,IGA_BD!$X:$X)/($AA2+SUMIF(IGA_BD!$F:$F,$A2,IGA_BD!$X:$X)),"")</calculatedColumnFormula>
    </tableColumn>
    <tableColumn id="18" xr3:uid="{C2BF5D2C-8FFF-4B03-8D95-1CFC2F9E1C3C}" name="EGA(%)" dataDxfId="322" totalsRowDxfId="323" dataCellStyle="Percent">
      <calculatedColumnFormula>IFERROR(1-SUMIF(Grid_BD!$F:$F,$A2,Grid_BD!$Y:$Y)/($AA2+SUMIF(Grid_BD!$F:$F,$A2,Grid_BD!$Y:$Y)),"")</calculatedColumnFormula>
    </tableColumn>
    <tableColumn id="19" xr3:uid="{566B512C-B113-40A2-94BB-2617AA87E089}" name="EMA (%)" dataDxfId="320" totalsRowDxfId="321"/>
    <tableColumn id="20" xr3:uid="{DE4C2B6D-BC8A-4840-A763-70000C433E49}" name="TA (%)" dataDxfId="318" totalsRowDxfId="319" dataCellStyle="Percent"/>
    <tableColumn id="21" xr3:uid="{F49287D7-24FD-492A-A36B-025592863436}" name="PR(%)" dataDxfId="316" totalsRowDxfId="317" dataCellStyle="Percent"/>
    <tableColumn id="22" xr3:uid="{790135BD-1827-4F48-8C4B-81408FB6FEC8}" name="WPR(%)" dataDxfId="314" totalsRowDxfId="315"/>
    <tableColumn id="23" xr3:uid="{34747593-2E53-47B6-AC4C-50AEFAD7CA1B}" name="CUF(%)" dataDxfId="312" totalsRowDxfId="313" dataCellStyle="Percent">
      <calculatedColumnFormula>IFERROR(AA2/(24*AR2*1000),"")</calculatedColumnFormula>
    </tableColumn>
    <tableColumn id="24" xr3:uid="{DC60EB18-9B4D-43A2-9DCD-BA99856C93CC}" name="Gen_Exp (kWh)" dataDxfId="310" totalsRowDxfId="311">
      <calculatedColumnFormula>IFERROR(_xlfn.XLOOKUP($A2,Input_Raw!$A:$A,Input_Raw!$BF:$BF),"")</calculatedColumnFormula>
    </tableColumn>
    <tableColumn id="25" xr3:uid="{FCB2C3D7-76EC-4403-B7D3-EFFC79DC7BA2}" name="Mtr_Export (kWh)" dataDxfId="308" totalsRowDxfId="309">
      <calculatedColumnFormula>IFERROR(_xlfn.XLOOKUP($A2,Input_Raw!$A:$A,Input_Raw!BJ:BJ),"")</calculatedColumnFormula>
    </tableColumn>
    <tableColumn id="26" xr3:uid="{A380AC68-BAC1-4677-B3C2-0894809CD125}" name="Mtr_Import (kWh)" dataDxfId="306" totalsRowDxfId="307">
      <calculatedColumnFormula>IFERROR(_xlfn.XLOOKUP($A2,Input_Raw!$A:$A,Input_Raw!BK:BK),"")</calculatedColumnFormula>
    </tableColumn>
    <tableColumn id="27" xr3:uid="{FB83C712-41C4-4247-B29A-CE54B551534B}" name="Mtr_Net_Exp (KWh)" dataDxfId="304" totalsRowDxfId="305">
      <calculatedColumnFormula>IFERROR(_xlfn.XLOOKUP($A2,Input_Raw!$A:$A,Input_Raw!BL:BL),"")</calculatedColumnFormula>
    </tableColumn>
    <tableColumn id="28" xr3:uid="{7567A9BC-6328-4031-9C98-102C880E7577}" name="Operational Capacity (MW)" dataDxfId="302" totalsRowDxfId="303">
      <calculatedColumnFormula>IFERROR(_xlfn.XLOOKUP($A2,Input_Raw!$A:$A,Input_Raw!$BO:$BO),"")</calculatedColumnFormula>
    </tableColumn>
    <tableColumn id="29" xr3:uid="{39B755A2-C2AA-40DE-8DED-E1FAD90A52A5}" name="Bugt_Resource" dataDxfId="300" totalsRowDxfId="301">
      <calculatedColumnFormula>IFERROR(_xlfn.XLOOKUP($D2,'Modelling New'!$D:$D,'Modelling New'!$J:$J),"")</calculatedColumnFormula>
    </tableColumn>
    <tableColumn id="30" xr3:uid="{381AFA7E-59C4-43FD-B534-0DF6008B2E88}" name="Bugt_Energy" dataDxfId="298" totalsRowDxfId="299">
      <calculatedColumnFormula>IFERROR(_xlfn.XLOOKUP($D2,'Modelling New'!$D:$D,'Modelling New'!$T:$T)*1000,"")</calculatedColumnFormula>
    </tableColumn>
    <tableColumn id="43" xr3:uid="{E00139FA-9ED7-4115-95B1-11177798B34C}" name="Bugt PR" dataDxfId="296" totalsRowDxfId="297" dataCellStyle="Percent"/>
    <tableColumn id="42" xr3:uid="{C612A941-EAFE-4B11-8D8F-63D54297C987}" name="Bugt CUF" dataDxfId="294" totalsRowDxfId="295" dataCellStyle="Percent">
      <calculatedColumnFormula>IFERROR(_xlfn.XLOOKUP($D2,'Modelling New'!$D:$D,'Modelling New'!$W:$W),"")</calculatedColumnFormula>
    </tableColumn>
    <tableColumn id="31" xr3:uid="{57C61731-0943-47AC-8DB3-61259FFDC808}" name="Bugt_PA" dataDxfId="292" totalsRowDxfId="293" dataCellStyle="Percent">
      <calculatedColumnFormula>IFERROR(_xlfn.XLOOKUP($D2,'Modelling New'!$D:$D,'Modelling New'!$AE:$AE),"")</calculatedColumnFormula>
    </tableColumn>
    <tableColumn id="32" xr3:uid="{C299B541-2E78-49DD-8C21-39C5413D071A}" name="Bugt_EGA" dataDxfId="290" totalsRowDxfId="291" dataCellStyle="Percent">
      <calculatedColumnFormula>IFERROR(_xlfn.XLOOKUP($D2,'Modelling New'!$D:$D,'Modelling New'!$AF:$AF),"")</calculatedColumnFormula>
    </tableColumn>
    <tableColumn id="33" xr3:uid="{4714D985-200B-40F5-8116-57A077631B30}" name="Expected Energy" dataDxfId="288" totalsRowDxfId="289">
      <calculatedColumnFormula>IFERROR(_xlfn.XLOOKUP($A2,Input_Raw!$A:$A,Input_Raw!$BQ:$BQ),"")</calculatedColumnFormula>
    </tableColumn>
    <tableColumn id="34" xr3:uid="{68D11CAE-E236-4ECC-BEAA-217185C7D4D1}" name="Actual Energy WPR" dataDxfId="286" totalsRowDxfId="287"/>
    <tableColumn id="35" xr3:uid="{709793E2-5DB1-426B-807B-D9163BC8FECB}" name="RA (%)" dataDxfId="284" totalsRowDxfId="285"/>
    <tableColumn id="36" xr3:uid="{9D99B4A8-D998-4B32-830F-7D329EDEA246}" name="Mod Clean Dry (Num)" dataDxfId="282" totalsRowDxfId="283"/>
    <tableColumn id="37" xr3:uid="{02AD2357-FB80-4F40-A01C-F728E3C4C416}" name="Mod Clean Wet (Num)" dataDxfId="280" totalsRowDxfId="281"/>
    <tableColumn id="38" xr3:uid="{24D2C4F4-D950-485D-B2B4-CF833F040436}" name="Line Loss(%)" dataDxfId="278" totalsRowDxfId="279" dataCellStyle="Percent">
      <calculatedColumnFormula>IFERROR(_xlfn.XLOOKUP($A2,Input_Raw!$A:$A,Input_Raw!$BN:$BN),"")</calculatedColumnFormula>
    </tableColumn>
    <tableColumn id="39" xr3:uid="{F9570959-FC2B-48EC-908E-E10800BCF798}" name="Reactive Power (%)" dataDxfId="277" dataCellStyle="Percent">
      <calculatedColumnFormula>IFERROR((_xlfn.XLOOKUP($A2,'WTG Reactive Power'!$A:$A,'WTG Reactive Power'!$AE:$AE))/Table13[[#This Row],[Gen_Exp (kWh)]],"")</calculatedColumnFormula>
    </tableColumn>
    <tableColumn id="40" xr3:uid="{83E5D3E3-9409-493A-9B6C-4ADE3C8EF9CC}" name="Bugt Line loss (%) (Wind)" dataDxfId="275" totalsRowDxfId="276" dataCellStyle="Percent">
      <calculatedColumnFormula>IFERROR(_xlfn.XLOOKUP($D2,'Modelling New'!$D:$D,'Modelling New'!$AK:$AK),"")</calculatedColumnFormula>
    </tableColumn>
    <tableColumn id="41" xr3:uid="{8DCD2425-ADE4-4C1C-8933-405229A26755}" name="Bugt Reactive Power (%) (Wind)" dataDxfId="273" totalsRowDxfId="274" dataCellStyle="Percent">
      <calculatedColumnFormula>IFERROR(_xlfn.XLOOKUP($D2,'Modelling New'!$D:$D,'Modelling New'!$AL:$AL),"")</calculatedColumnFormula>
    </tableColumn>
    <tableColumn id="44" xr3:uid="{05591DD1-A073-42EA-A959-07FCFBB8ADE0}" name="Bugt Capacity" dataDxfId="271" totalsRowDxfId="272">
      <calculatedColumnFormula>IFERROR(_xlfn.XLOOKUP($D2,'Modelling New'!$D:$D,'Modelling New'!$N:$N),"")</calculatedColumnFormula>
    </tableColumn>
    <tableColumn id="45" xr3:uid="{7EC4DB5A-A5BC-427B-B698-14E21E469B16}" name="CC*Bugt" dataDxfId="269" totalsRowDxfId="270"/>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6" dataDxfId="265" headerRowBorderDxfId="263" tableBorderDxfId="264" totalsRowBorderDxfId="262" headerRowCellStyle="Normal 26 41">
  <autoFilter ref="A2:AE1463" xr:uid="{4DC08A22-E01B-48CE-BE9C-5FC092550DC6}"/>
  <tableColumns count="31">
    <tableColumn id="1" xr3:uid="{ACB6CB24-01C3-4845-B48D-85E627AB1A4F}" name="Date" dataDxfId="261"/>
    <tableColumn id="2" xr3:uid="{ABBC9620-5F02-4CF8-9D7F-18C126FFC41C}" name="Financial Year" dataDxfId="260">
      <calculatedColumnFormula>YEAR(Table7[[#This Row],[Date]])+IF(MONTH(Table7[[#This Row],[Date]])&gt;=4,1,0)</calculatedColumnFormula>
    </tableColumn>
    <tableColumn id="3" xr3:uid="{84D5E5CD-4942-41AF-B524-8C256B6D7361}" name="Calendar Year" dataDxfId="259">
      <calculatedColumnFormula>YEAR(Table7[[#This Row],[Date]])</calculatedColumnFormula>
    </tableColumn>
    <tableColumn id="4" xr3:uid="{FDCFEA7C-40C0-47BE-A0AE-A54B0F94824F}" name="Month Year" dataDxfId="258">
      <calculatedColumnFormula>A3-DAY(A3)+1</calculatedColumnFormula>
    </tableColumn>
    <tableColumn id="5" xr3:uid="{75294AFB-21A0-451B-A425-C195445CB294}" name="O2_01 (kVArh)" dataDxfId="257"/>
    <tableColumn id="6" xr3:uid="{29612D5D-2560-4ABD-898B-B540FC202862}" name="O2_02 (kVArh)" dataDxfId="256"/>
    <tableColumn id="7" xr3:uid="{99D9E24D-3581-4232-B3A7-03034AF1B7DE}" name="O2_03 (kVArh)" dataDxfId="255"/>
    <tableColumn id="8" xr3:uid="{6B7D2F3D-4B30-4BA4-A3C2-382FE7F571F3}" name="O2_04 (kVArh)" dataDxfId="254"/>
    <tableColumn id="9" xr3:uid="{28A32976-D1B0-45E8-BEF8-F625AF1ADF94}" name="O2_05 (kVArh)" dataDxfId="253"/>
    <tableColumn id="10" xr3:uid="{959B6CD4-6FD5-4874-A0B1-CCE2AB0AE9E0}" name="O2_06 (kVArh)" dataDxfId="252"/>
    <tableColumn id="11" xr3:uid="{B87B74E5-9519-4F60-BBF5-A3CA4E597E49}" name="O2_07 (kVArh)" dataDxfId="251"/>
    <tableColumn id="12" xr3:uid="{A635D73D-3204-4C8E-B959-D307BDD9E9A3}" name="O2_08 (kVArh)" dataDxfId="250"/>
    <tableColumn id="13" xr3:uid="{FB3CBF94-1329-4A9A-BC83-867331DFAC71}" name="O2_09 (kVArh)" dataDxfId="249"/>
    <tableColumn id="14" xr3:uid="{50DB09C8-7F55-4B9D-976E-4C1D640D8B08}" name="O2_10 (kVArh)" dataDxfId="248"/>
    <tableColumn id="15" xr3:uid="{49A11A47-5C35-4084-BEE2-426A5DA7FF8D}" name="O2_11 (kVArh)" dataDxfId="247"/>
    <tableColumn id="16" xr3:uid="{08249619-8B69-45D3-AA4D-65AFA6D2DA7F}" name="O2_12 (kVArh)" dataDxfId="246"/>
    <tableColumn id="17" xr3:uid="{514D9A36-EC85-40E2-9AF4-71759C9A9D4E}" name="O2_13 (kVArh)" dataDxfId="245"/>
    <tableColumn id="18" xr3:uid="{E899BE02-845D-4D2A-9FD0-C878A8445801}" name="O2_14 (kVArh)" dataDxfId="244"/>
    <tableColumn id="19" xr3:uid="{CAE561BD-4EB1-4C45-A3CB-885E3E9BA77C}" name="O2_15 (kVArh)" dataDxfId="243"/>
    <tableColumn id="20" xr3:uid="{FAE4A78C-462B-4364-B625-6891CF184EFD}" name="O2_16 (kVArh)" dataDxfId="242"/>
    <tableColumn id="21" xr3:uid="{B6EAD221-A25B-4373-9345-BE426F314EB6}" name="O2_17 (kVArh)" dataDxfId="241"/>
    <tableColumn id="22" xr3:uid="{05868037-A13A-4C9A-A200-401D58AF1D0D}" name="O2_18 (kVArh)" dataDxfId="240"/>
    <tableColumn id="23" xr3:uid="{F31A914E-EFBB-4C0E-A2E2-1EE1BA168AF4}" name="O2_19 (kVArh)" dataDxfId="239"/>
    <tableColumn id="24" xr3:uid="{779C400E-DCA5-40DA-912F-B9437C3B36B7}" name="O2_20 (kVArh)" dataDxfId="238"/>
    <tableColumn id="25" xr3:uid="{1C5C5DFB-E3EA-4ECF-B6E5-B84B23C5C620}" name="O2_21 (kVArh)" dataDxfId="237"/>
    <tableColumn id="26" xr3:uid="{312920C7-23F6-4EFD-AA6A-6762AF9DA41D}" name="O2_22 (kVArh)" dataDxfId="236"/>
    <tableColumn id="27" xr3:uid="{926D1C0C-7EB4-4B9F-9565-F4558055BF89}" name="O2_23 (kVArh)" dataDxfId="235"/>
    <tableColumn id="28" xr3:uid="{9CC8DEFA-F976-4DD4-AEB0-9F951DE2FC51}" name="O2_24 (kVArh)" dataDxfId="234"/>
    <tableColumn id="29" xr3:uid="{4E9CC7EF-2B3E-4F59-A168-33588553E7A0}" name="O2_25 (kVArh)" dataDxfId="233"/>
    <tableColumn id="30" xr3:uid="{42FD0C79-3407-4013-A60A-AE42F543EC4F}" name="O2_26 (kVArh)" dataDxfId="232"/>
    <tableColumn id="51" xr3:uid="{6954A3A8-42CB-4A55-931E-846DAA8841FE}" name="Total Reactive Power (kVArh)" dataDxfId="231">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25" totalsRowShown="0" headerRowDxfId="230" dataDxfId="229" headerRowBorderDxfId="227" tableBorderDxfId="228" totalsRowBorderDxfId="226">
  <tableColumns count="70">
    <tableColumn id="5" xr3:uid="{00000000-0010-0000-0100-000005000000}" name="Date" dataDxfId="225" dataCellStyle="Normal 27"/>
    <tableColumn id="1" xr3:uid="{00000000-0010-0000-0100-000001000000}" name="Finacial Year" dataDxfId="224">
      <calculatedColumnFormula>YEAR(Input_Raw[[#This Row],[Date]])+IF(MONTH(Input_Raw[[#This Row],[Date]])&gt;=4,1,0)</calculatedColumnFormula>
    </tableColumn>
    <tableColumn id="2" xr3:uid="{00000000-0010-0000-0100-000002000000}" name="Calendor Year" dataDxfId="223">
      <calculatedColumnFormula>YEAR(Input_Raw[[#This Row],[Date]])</calculatedColumnFormula>
    </tableColumn>
    <tableColumn id="3" xr3:uid="{00000000-0010-0000-0100-000003000000}" name="Month Year" dataDxfId="222">
      <calculatedColumnFormula>A5-DAY(A5)+1</calculatedColumnFormula>
    </tableColumn>
    <tableColumn id="4" xr3:uid="{00000000-0010-0000-0100-000004000000}" name="Days" dataDxfId="221">
      <calculatedColumnFormula>DAY(EOMONTH(Input_Raw[[#This Row],[Date]],0))</calculatedColumnFormula>
    </tableColumn>
    <tableColumn id="6" xr3:uid="{00000000-0010-0000-0100-000006000000}" name="O2_01" dataDxfId="220"/>
    <tableColumn id="7" xr3:uid="{00000000-0010-0000-0100-000007000000}" name="O2_02" dataDxfId="219"/>
    <tableColumn id="8" xr3:uid="{00000000-0010-0000-0100-000008000000}" name="O2_03" dataDxfId="218"/>
    <tableColumn id="9" xr3:uid="{00000000-0010-0000-0100-000009000000}" name="O2_04" dataDxfId="217"/>
    <tableColumn id="10" xr3:uid="{00000000-0010-0000-0100-00000A000000}" name="O2_05" dataDxfId="216"/>
    <tableColumn id="11" xr3:uid="{00000000-0010-0000-0100-00000B000000}" name="O2_06" dataDxfId="215"/>
    <tableColumn id="12" xr3:uid="{00000000-0010-0000-0100-00000C000000}" name="O2_07" dataDxfId="214"/>
    <tableColumn id="13" xr3:uid="{00000000-0010-0000-0100-00000D000000}" name="O2_08" dataDxfId="213"/>
    <tableColumn id="14" xr3:uid="{00000000-0010-0000-0100-00000E000000}" name="O2_09" dataDxfId="212"/>
    <tableColumn id="15" xr3:uid="{00000000-0010-0000-0100-00000F000000}" name="O2_10" dataDxfId="211"/>
    <tableColumn id="16" xr3:uid="{00000000-0010-0000-0100-000010000000}" name="O2_11" dataDxfId="210"/>
    <tableColumn id="17" xr3:uid="{00000000-0010-0000-0100-000011000000}" name="O2_12" dataDxfId="209"/>
    <tableColumn id="18" xr3:uid="{00000000-0010-0000-0100-000012000000}" name="O2_13" dataDxfId="208"/>
    <tableColumn id="19" xr3:uid="{00000000-0010-0000-0100-000013000000}" name="O2_14" dataDxfId="207"/>
    <tableColumn id="20" xr3:uid="{00000000-0010-0000-0100-000014000000}" name="O2_15" dataDxfId="206"/>
    <tableColumn id="21" xr3:uid="{00000000-0010-0000-0100-000015000000}" name="O2_16" dataDxfId="205"/>
    <tableColumn id="22" xr3:uid="{00000000-0010-0000-0100-000016000000}" name="O2_17" dataDxfId="204"/>
    <tableColumn id="23" xr3:uid="{00000000-0010-0000-0100-000017000000}" name="O2_18" dataDxfId="203"/>
    <tableColumn id="24" xr3:uid="{00000000-0010-0000-0100-000018000000}" name="O2_19" dataDxfId="202"/>
    <tableColumn id="25" xr3:uid="{00000000-0010-0000-0100-000019000000}" name="O2_20" dataDxfId="201"/>
    <tableColumn id="26" xr3:uid="{00000000-0010-0000-0100-00001A000000}" name="O2_21" dataDxfId="200"/>
    <tableColumn id="27" xr3:uid="{00000000-0010-0000-0100-00001B000000}" name="O2_22" dataDxfId="199"/>
    <tableColumn id="28" xr3:uid="{00000000-0010-0000-0100-00001C000000}" name="O2_23" dataDxfId="198"/>
    <tableColumn id="78" xr3:uid="{00000000-0010-0000-0100-00004E000000}" name="O2_24" dataDxfId="197" dataCellStyle="Percent 2"/>
    <tableColumn id="79" xr3:uid="{00000000-0010-0000-0100-00004F000000}" name="O2_25" dataDxfId="196" dataCellStyle="Percent 2"/>
    <tableColumn id="80" xr3:uid="{00000000-0010-0000-0100-000050000000}" name="O2_26" dataDxfId="195" dataCellStyle="Percent 2"/>
    <tableColumn id="29" xr3:uid="{00000000-0010-0000-0100-00001D000000}" name="WS_O2_01" dataDxfId="194"/>
    <tableColumn id="30" xr3:uid="{00000000-0010-0000-0100-00001E000000}" name="WS_O2_02" dataDxfId="193"/>
    <tableColumn id="31" xr3:uid="{00000000-0010-0000-0100-00001F000000}" name="WS_O2_03" dataDxfId="192"/>
    <tableColumn id="32" xr3:uid="{00000000-0010-0000-0100-000020000000}" name="WS_O2_04" dataDxfId="191"/>
    <tableColumn id="33" xr3:uid="{00000000-0010-0000-0100-000021000000}" name="WS_O2_05" dataDxfId="190"/>
    <tableColumn id="34" xr3:uid="{00000000-0010-0000-0100-000022000000}" name="WS_O2_06" dataDxfId="189"/>
    <tableColumn id="35" xr3:uid="{00000000-0010-0000-0100-000023000000}" name="WS_O2_07" dataDxfId="188"/>
    <tableColumn id="36" xr3:uid="{00000000-0010-0000-0100-000024000000}" name="WS_O2_08" dataDxfId="187"/>
    <tableColumn id="37" xr3:uid="{00000000-0010-0000-0100-000025000000}" name="WS_O2_09" dataDxfId="186"/>
    <tableColumn id="38" xr3:uid="{00000000-0010-0000-0100-000026000000}" name="WS_O2_10" dataDxfId="185"/>
    <tableColumn id="39" xr3:uid="{00000000-0010-0000-0100-000027000000}" name="WS_O2_11" dataDxfId="184"/>
    <tableColumn id="40" xr3:uid="{00000000-0010-0000-0100-000028000000}" name="WS_O2_12" dataDxfId="183"/>
    <tableColumn id="41" xr3:uid="{00000000-0010-0000-0100-000029000000}" name="WS_O2_13" dataDxfId="182"/>
    <tableColumn id="42" xr3:uid="{00000000-0010-0000-0100-00002A000000}" name="WS_O2_14" dataDxfId="181"/>
    <tableColumn id="43" xr3:uid="{00000000-0010-0000-0100-00002B000000}" name="WS_O2_15" dataDxfId="180"/>
    <tableColumn id="44" xr3:uid="{00000000-0010-0000-0100-00002C000000}" name="WS_O2_16" dataDxfId="179"/>
    <tableColumn id="45" xr3:uid="{00000000-0010-0000-0100-00002D000000}" name="WS_O2_17" dataDxfId="178"/>
    <tableColumn id="46" xr3:uid="{00000000-0010-0000-0100-00002E000000}" name="WS_O2_18" dataDxfId="177"/>
    <tableColumn id="47" xr3:uid="{00000000-0010-0000-0100-00002F000000}" name="WS_O2_19" dataDxfId="176"/>
    <tableColumn id="48" xr3:uid="{00000000-0010-0000-0100-000030000000}" name="WS_O2_20" dataDxfId="175"/>
    <tableColumn id="49" xr3:uid="{00000000-0010-0000-0100-000031000000}" name="WS_O2_21" dataDxfId="174"/>
    <tableColumn id="50" xr3:uid="{00000000-0010-0000-0100-000032000000}" name="WS_O2_22" dataDxfId="173"/>
    <tableColumn id="51" xr3:uid="{00000000-0010-0000-0100-000033000000}" name="WS_O2_23" dataDxfId="172"/>
    <tableColumn id="119" xr3:uid="{00000000-0010-0000-0100-000077000000}" name="WS_O2_24" dataDxfId="171" dataCellStyle="Percent 2"/>
    <tableColumn id="120" xr3:uid="{00000000-0010-0000-0100-000078000000}" name="WS_O2_25" dataDxfId="170" dataCellStyle="Percent 2"/>
    <tableColumn id="121" xr3:uid="{00000000-0010-0000-0100-000079000000}" name="WS_O2_26" dataDxfId="169" dataCellStyle="Percent 2"/>
    <tableColumn id="106" xr3:uid="{00000000-0010-0000-0100-00006A000000}" name="WTG Total Gneration (KWh)" dataDxfId="168">
      <calculatedColumnFormula>SUM(Input_Raw[[#This Row],[O2_01]:[O2_26]])</calculatedColumnFormula>
    </tableColumn>
    <tableColumn id="107" xr3:uid="{00000000-0010-0000-0100-00006B000000}" name="Wind Speed Average cumulative (m/S)2" dataDxfId="167">
      <calculatedColumnFormula>IFERROR(AVERAGE(Input_Raw[[#This Row],[WS_O2_01]:[WS_O2_26]]),"")</calculatedColumnFormula>
    </tableColumn>
    <tableColumn id="108" xr3:uid="{00000000-0010-0000-0100-00006C000000}" name="Wind Speed Max (m/S)" dataDxfId="166"/>
    <tableColumn id="109" xr3:uid="{00000000-0010-0000-0100-00006D000000}" name="Rain (mm)" dataDxfId="165"/>
    <tableColumn id="55" xr3:uid="{A6A75E11-2BDA-4644-B995-2D59ACDA9E94}" name="66 kV_Wind_F1_Export_reading" dataDxfId="164" dataCellStyle="Percent 2"/>
    <tableColumn id="54" xr3:uid="{9ED1A810-6C94-4727-BE14-2E322D5A7920}" name="66 kV_Wind_F1_Import_reading" dataDxfId="163" dataCellStyle="Percent 2"/>
    <tableColumn id="157" xr3:uid="{00000000-0010-0000-0100-00009D000000}" name="66 kV_Wind_Net_Export (KWh)" dataDxfId="162" dataCellStyle="Comma">
      <calculatedColumnFormula>Input_Raw[[#This Row],[66 kV_Wind_F1_Export_reading]]-Input_Raw[[#This Row],[66 kV_Wind_F1_Import_reading]]</calculatedColumnFormula>
    </tableColumn>
    <tableColumn id="105" xr3:uid="{00000000-0010-0000-0100-000069000000}" name="66 kV Line Loss (%)" dataDxfId="161">
      <calculatedColumnFormula>Input_Raw[[#This Row],[WTG Total Gneration (KWh)]]-Input_Raw[[#This Row],[66 kV_Wind_F1_Export_reading]]</calculatedColumnFormula>
    </tableColumn>
    <tableColumn id="52" xr3:uid="{A44405FF-F245-46C9-894C-A2AECCC6C7B8}" name="66 kV Line Loss (%)." dataDxfId="160"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59" dataCellStyle="Comma">
      <calculatedColumnFormula>#REF!/1000</calculatedColumnFormula>
    </tableColumn>
    <tableColumn id="57" xr3:uid="{00000000-0010-0000-0100-000039000000}" name="Forecasting Penalties (INR)" dataDxfId="158" dataCellStyle="Comma"/>
    <tableColumn id="58" xr3:uid="{EB2529EC-424A-471A-A5F0-D17D72C20948}" name="Expected Power as per power curve. (MWh)" dataDxfId="157" dataCellStyle="Comma"/>
    <tableColumn id="56" xr3:uid="{A1891D73-E063-4361-A73E-F02CE65C38DF}" name="Reactive Energy (MVArH)" dataDxfId="156"/>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36" totalsRowShown="0" headerRowDxfId="154">
  <autoFilter ref="A1:AD1636" xr:uid="{CDAF7152-D30F-4073-B5F4-077C1A879F47}"/>
  <tableColumns count="30">
    <tableColumn id="1" xr3:uid="{59A4B587-CA65-408A-92FF-86B0FDB0228E}" name="Sr. No." dataDxfId="153"/>
    <tableColumn id="2" xr3:uid="{9317FE46-20A9-4632-A8A1-FEF736E59178}" name="Financial Year" dataDxfId="152">
      <calculatedColumnFormula>YEAR(Table6[[#This Row],[Date]])+IF(MONTH(Table6[[#This Row],[Date]])&gt;=4,1,0)</calculatedColumnFormula>
    </tableColumn>
    <tableColumn id="3" xr3:uid="{4DFE9A25-2C03-4567-B60E-D47773D459A4}" name="Calendar Year" dataDxfId="151">
      <calculatedColumnFormula>YEAR(Table6[[#This Row],[Date]])</calculatedColumnFormula>
    </tableColumn>
    <tableColumn id="4" xr3:uid="{25C6A8BE-8308-489D-B06C-026B5D66DD24}" name="Operating Year" dataDxfId="150"/>
    <tableColumn id="5" xr3:uid="{B4B2FB9F-D8F2-409E-811C-4B050D2C2DFE}" name="Month" dataDxfId="149">
      <calculatedColumnFormula>Table6[[#This Row],[Date]]-DAY(Table6[[#This Row],[Date]])+1</calculatedColumnFormula>
    </tableColumn>
    <tableColumn id="6" xr3:uid="{EF254E6E-4E76-4903-8920-3BDA818C132D}" name="Date" dataDxfId="148"/>
    <tableColumn id="7" xr3:uid="{13985CB1-7725-4015-A485-0E84ABA5DD31}" name="Affected WTG" dataDxfId="147"/>
    <tableColumn id="8" xr3:uid="{A25D901E-D793-481C-97F4-7A27113895AE}" name="SPV" dataDxfId="146">
      <calculatedColumnFormula>IFERROR(_xlfn.XLOOKUP(Table6[[#This Row],[Affected WTG]],'Basic Data'!$A:$A,'Basic Data'!$B:$B),"")</calculatedColumnFormula>
    </tableColumn>
    <tableColumn id="9" xr3:uid="{BF7E0764-6802-4209-A9BE-A913FBF50487}" name="Consumer" dataDxfId="145">
      <calculatedColumnFormula>IFERROR(_xlfn.XLOOKUP(Table6[[#This Row],[Affected WTG]],'Basic Data'!$A:$A,'Basic Data'!$C:$C),"")</calculatedColumnFormula>
    </tableColumn>
    <tableColumn id="10" xr3:uid="{245B5B18-21EB-45B3-822B-2459C27643CE}" name="Plant Equivalent Weightage" dataDxfId="144">
      <calculatedColumnFormula>IFERROR(_xlfn.XLOOKUP(Table6[[#This Row],[Affected WTG]],'Basic Data'!$A:$A,'Basic Data'!$E:$E),"")</calculatedColumnFormula>
    </tableColumn>
    <tableColumn id="11" xr3:uid="{7EA9002D-B4D9-4E8A-AC8E-C420663303B0}" name="Error Code" dataDxfId="143"/>
    <tableColumn id="12" xr3:uid="{47F135E7-FF3B-4DF5-AD33-46302D81E77F}" name="Error Text" dataDxfId="142">
      <calculatedColumnFormula>IFERROR(_xlfn.XLOOKUP(Table6[[#This Row],[Error Code]],'Basic Data'!$AA:$AA,'Basic Data'!$AB:$AB),"Incorrect Error Code")</calculatedColumnFormula>
    </tableColumn>
    <tableColumn id="13" xr3:uid="{85CC91F3-1AD7-4A0E-8C38-9F591156D104}" name="Breakdown Description" dataDxfId="141"/>
    <tableColumn id="14" xr3:uid="{D95626F7-F5BA-4EFE-90CE-D2B52AE9521D}" name="Stoppage Type" dataDxfId="140"/>
    <tableColumn id="15" xr3:uid="{22BB039D-7209-4841-9B37-751BFC35B630}" name="Fault Start TimeStamp" dataDxfId="139"/>
    <tableColumn id="16" xr3:uid="{7198957F-C097-46EC-ADCB-F8C870F30146}" name="Work Start TimeStamp" dataDxfId="138"/>
    <tableColumn id="17" xr3:uid="{A096C516-83D3-477C-A64E-B7B8C3E125C7}" name="Fault Clearance time" dataDxfId="137"/>
    <tableColumn id="18" xr3:uid="{580D313D-095A-4F4E-AE15-8399CB48A6F2}" name="Response Time" dataDxfId="136">
      <calculatedColumnFormula>IF(Table6[[#This Row],[Work Start TimeStamp]]="","",(Table6[[#This Row],[Work Start TimeStamp]]-Table6[[#This Row],[Fault Start TimeStamp]])*24)</calculatedColumnFormula>
    </tableColumn>
    <tableColumn id="19" xr3:uid="{CEB6A735-0A91-42DD-AA1F-98AD8E9BE615}" name="Resolution Time" dataDxfId="135">
      <calculatedColumnFormula>(Table6[[#This Row],[Fault Clearance time]]-Table6[[#This Row],[Work Start TimeStamp]])*24</calculatedColumnFormula>
    </tableColumn>
    <tableColumn id="20" xr3:uid="{72567A33-C5A5-4FDB-934B-D23DAF951CC8}" name="Breakdown Time" dataDxfId="134">
      <calculatedColumnFormula>(Table6[[#This Row],[Fault Clearance time]]-Table6[[#This Row],[Fault Start TimeStamp]])*24</calculatedColumnFormula>
    </tableColumn>
    <tableColumn id="21" xr3:uid="{E802F8B6-7FEE-495F-8799-6A9D8FCB9E16}" name="Action taken" dataDxfId="133"/>
    <tableColumn id="22" xr3:uid="{914C56BC-8559-4DCD-BE27-78B756090213}" name="Status" dataDxfId="132"/>
    <tableColumn id="23" xr3:uid="{458EB129-5578-4488-8969-52143E9BC6FD}" name="Plant Equivalent breakdown" dataDxfId="131" dataCellStyle="Comma 10">
      <calculatedColumnFormula>IFERROR(Table6[[#This Row],[Breakdown Time]]*Table6[[#This Row],[Plant Equivalent Weightage]],"")</calculatedColumnFormula>
    </tableColumn>
    <tableColumn id="24" xr3:uid="{F6D5A84F-0BE5-4864-9719-94D1DF4A5D62}" name="Fault Category" dataDxfId="130" dataCellStyle="Comma 10"/>
    <tableColumn id="25" xr3:uid="{714DD876-1B9F-4785-831D-E57A06D3DF04}" name="Paired WTG for Enegy based MA" dataDxfId="129"/>
    <tableColumn id="26" xr3:uid="{0A87C204-08C5-43B0-893F-1D224BA209E6}" name="Paired WTG Generation for loss calculation" dataDxfId="128"/>
    <tableColumn id="27" xr3:uid="{E77115D5-A011-4559-B4C0-A22B69969C79}" name="Estimated Energy Loss (kWh)" dataDxfId="127">
      <calculatedColumnFormula>(Table6[[#This Row],[Paired WTG Generation for loss calculation]]/24)*Table6[[#This Row],[Breakdown Time]]</calculatedColumnFormula>
    </tableColumn>
    <tableColumn id="28" xr3:uid="{A654E51C-9537-408A-B17D-BA7C4589E75E}" name="Special Remarks" dataDxfId="126"/>
    <tableColumn id="29" xr3:uid="{82D4EE00-F0E1-4502-96D3-67F45F17BC83}" name="PTW No." dataDxfId="125"/>
    <tableColumn id="30" xr3:uid="{2876B1B1-3AB1-49F7-A04D-4FC5BC282127}" name="Job Card No." dataDxfId="124"/>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7" totalsRowShown="0" headerRowDxfId="123" dataDxfId="122" headerRowBorderDxfId="121" headerRowCellStyle="Normal 26 2 2">
  <autoFilter ref="A1:AA157" xr:uid="{90B19A6E-4FEA-4966-BE48-B1C8FD5EDFAD}"/>
  <tableColumns count="27">
    <tableColumn id="1" xr3:uid="{ABDD85C5-AE5D-4F7E-A82B-ABD9F6112851}" name="Sr. No." dataDxfId="120"/>
    <tableColumn id="2" xr3:uid="{59A19B14-1E2F-4097-BEE1-8EC68F9936B6}" name="Financial Year" dataDxfId="119">
      <calculatedColumnFormula>YEAR(Table10[[#This Row],[Date]])+IF(MONTH(Table10[[#This Row],[Date]])&gt;=4,1,0)</calculatedColumnFormula>
    </tableColumn>
    <tableColumn id="3" xr3:uid="{49C214C5-F423-423B-B4C9-9AC2B0A417F6}" name="Calendar Year" dataDxfId="118">
      <calculatedColumnFormula>YEAR(Table10[[#This Row],[Date]])</calculatedColumnFormula>
    </tableColumn>
    <tableColumn id="4" xr3:uid="{6AFBFF87-01D6-43F9-8F4C-1C4997EF44ED}" name="Operating Year" dataDxfId="117"/>
    <tableColumn id="5" xr3:uid="{98EE08A6-A204-4913-86EB-F8B4A72E92F9}" name="Month" dataDxfId="116">
      <calculatedColumnFormula>Table10[[#This Row],[Date]]-DAY(Table10[[#This Row],[Date]])+1</calculatedColumnFormula>
    </tableColumn>
    <tableColumn id="6" xr3:uid="{C68BCCF8-615F-47C5-BB55-921F8BC07112}" name="Date" dataDxfId="115"/>
    <tableColumn id="7" xr3:uid="{5E6CA8CB-FBC4-4F92-AA2F-C700ED4D6B05}" name="Affected Feeder " dataDxfId="114"/>
    <tableColumn id="8" xr3:uid="{800AC32F-94ED-45E5-A251-7B94DB4F184D}" name="SPV" dataDxfId="113">
      <calculatedColumnFormula>IFERROR(_xlfn.XLOOKUP(Table10[[#This Row],[Affected Feeder ]],'Basic Data'!$A$43:$A$70,'Basic Data'!$B$43:$B$70),"")</calculatedColumnFormula>
    </tableColumn>
    <tableColumn id="9" xr3:uid="{71E6597E-5F33-43F3-B7D9-289396EAC5A7}" name="Consumer" dataDxfId="112">
      <calculatedColumnFormula>IFERROR(_xlfn.XLOOKUP(Table10[[#This Row],[Affected Feeder ]],'Basic Data'!$A$43:$A$70,'Basic Data'!$C$43:$C$70),"")</calculatedColumnFormula>
    </tableColumn>
    <tableColumn id="10" xr3:uid="{FF39B1F2-AECF-4349-82C5-B6A7EAB3740D}" name="Plant Equivalent Weightage" dataDxfId="111" dataCellStyle="Percent 3 2">
      <calculatedColumnFormula>IFERROR(_xlfn.XLOOKUP(Table10[[#This Row],[Affected Feeder ]],'Basic Data'!$A$43:$A$70,'Basic Data'!$E$43:$E$70),"")</calculatedColumnFormula>
    </tableColumn>
    <tableColumn id="11" xr3:uid="{300E1201-2B5B-4BAD-B30C-BBA1A3D7AB4F}" name="Breakdown Description" dataDxfId="110"/>
    <tableColumn id="12" xr3:uid="{8CAA594A-0319-4851-96BF-8D8759A94B9C}" name="Fault Start TimeStamp" dataDxfId="109"/>
    <tableColumn id="13" xr3:uid="{D54BD547-A257-469D-AB89-231C102E10B2}" name="Work Start TimeStamp" dataDxfId="108"/>
    <tableColumn id="14" xr3:uid="{830A0985-7870-48B9-8CDD-48044799C39E}" name="Fault Clearance time" dataDxfId="107"/>
    <tableColumn id="15" xr3:uid="{A0480672-FDDD-42F0-A5F7-83D3D70F2D69}" name="Response Time" dataDxfId="106">
      <calculatedColumnFormula>(Table10[[#This Row],[Work Start TimeStamp]]-Table10[[#This Row],[Fault Start TimeStamp]])*24</calculatedColumnFormula>
    </tableColumn>
    <tableColumn id="16" xr3:uid="{0CD73E3D-7DAE-462B-B883-BD76761DDF92}" name="Resolution Time" dataDxfId="105">
      <calculatedColumnFormula>IF(Table10[[#This Row],[Work Start TimeStamp]]="","",(Table10[[#This Row],[Fault Clearance time]]-Table10[[#This Row],[Work Start TimeStamp]])*24)</calculatedColumnFormula>
    </tableColumn>
    <tableColumn id="17" xr3:uid="{9E4645AB-968B-4173-8912-7A519BCC8D0C}" name="Breakdown Time" dataDxfId="104">
      <calculatedColumnFormula>(Table10[[#This Row],[Fault Clearance time]]-Table10[[#This Row],[Fault Start TimeStamp]])*24</calculatedColumnFormula>
    </tableColumn>
    <tableColumn id="18" xr3:uid="{BABE9442-DD46-45CB-B188-8F364D382079}" name="Action taken" dataDxfId="103"/>
    <tableColumn id="19" xr3:uid="{B51BACA6-B25D-4876-8001-EA5CE1D59C08}" name="Status" dataDxfId="102"/>
    <tableColumn id="20" xr3:uid="{F43EC0A3-EE84-4823-8DFA-E31FDEA6B5CC}" name="Plant Equivalent breakdown" dataDxfId="101">
      <calculatedColumnFormula>IFERROR(Table10[[#This Row],[Breakdown Time]]*Table10[[#This Row],[Plant Equivalent Weightage]],"")</calculatedColumnFormula>
    </tableColumn>
    <tableColumn id="21" xr3:uid="{E0BBAECE-6A93-47DE-8DBD-D43A8E8926BF}" name="Fault Category" dataDxfId="100"/>
    <tableColumn id="27" xr3:uid="{4491C9A4-775D-4CB5-9437-4E88A71A7013}" name="Avg Wind Speed (m/s)" dataDxfId="99">
      <calculatedColumnFormula>IFERROR(_xlfn.XLOOKUP(Table10[[#This Row],[Date]],'Daily KPI'!$A:$A,'Daily KPI'!$M:$M),"")</calculatedColumnFormula>
    </tableColumn>
    <tableColumn id="26" xr3:uid="{3C8E3925-7BBD-454E-A943-64C1F53B8B83}" name="WTG Loss" dataDxfId="98"/>
    <tableColumn id="22" xr3:uid="{201AD2AF-3FFE-44B0-A818-C49DA8122BA9}" name="Estimated Energy Loss (kWh)" dataDxfId="97">
      <calculatedColumnFormula>Table10[[#This Row],[WTG Loss]]*13*Table10[[#This Row],[Breakdown Time]]</calculatedColumnFormula>
    </tableColumn>
    <tableColumn id="23" xr3:uid="{2683EA11-87A0-402E-A50B-902FBB3D1A4D}" name="Scope" dataDxfId="96"/>
    <tableColumn id="24" xr3:uid="{619305FB-E83A-4616-A4CE-8787A2AAF01F}" name="PTW No." dataDxfId="95"/>
    <tableColumn id="25" xr3:uid="{762D92F3-93A7-401D-A76B-F3E9E69EA6A4}" name="Job Card No." dataDxfId="94"/>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3">
  <autoFilter ref="A1:AC3" xr:uid="{82A21A78-3C3B-4AB6-8D62-D85B42693A51}"/>
  <tableColumns count="29">
    <tableColumn id="1" xr3:uid="{DC70BBA5-85C4-4B98-B743-3774286DAB23}" name="Sr. No." dataDxfId="92"/>
    <tableColumn id="2" xr3:uid="{0EB49E92-A0E1-4B27-B662-8F3AE7607852}" name="Financial Year" dataDxfId="91">
      <calculatedColumnFormula>YEAR(Table11[[#This Row],[Date]])+IF(MONTH(Table11[[#This Row],[Date]])&gt;=4,1,0)</calculatedColumnFormula>
    </tableColumn>
    <tableColumn id="3" xr3:uid="{365A6775-C44F-4942-BB42-69D3FC36AF38}" name="Calendar Year" dataDxfId="90">
      <calculatedColumnFormula>YEAR(Table11[[#This Row],[Date]])</calculatedColumnFormula>
    </tableColumn>
    <tableColumn id="4" xr3:uid="{09FFB000-AFAA-41B6-9506-F14F9DB8C375}" name="Operating Year" dataDxfId="89"/>
    <tableColumn id="5" xr3:uid="{C69F96DA-6685-4CBA-9BEB-1BD608B8970C}" name="Month" dataDxfId="88">
      <calculatedColumnFormula>Table11[[#This Row],[Date]]-DAY(Table11[[#This Row],[Date]])+1</calculatedColumnFormula>
    </tableColumn>
    <tableColumn id="6" xr3:uid="{D6A029A7-760F-484E-BCD5-D0716C4DCDA6}" name="Date" dataDxfId="87"/>
    <tableColumn id="7" xr3:uid="{7BE72951-95C0-483D-8D06-96AAF43AEAD5}" name="Affected Feeder "/>
    <tableColumn id="8" xr3:uid="{10951C08-7D12-4139-9242-26048626934D}" name="SPV" dataDxfId="86">
      <calculatedColumnFormula>IFERROR(_xlfn.XLOOKUP(Table11[[#This Row],[Affected Feeder ]],'Basic Data'!$A$82:$A$83,'Basic Data'!$B$82:$B$83),"")</calculatedColumnFormula>
    </tableColumn>
    <tableColumn id="9" xr3:uid="{0FF06368-5290-4FD6-9E74-5A50FEEC8FAA}" name="Concumaer" dataDxfId="85">
      <calculatedColumnFormula>IFERROR(_xlfn.XLOOKUP(Table11[[#This Row],[Affected Feeder ]],'Basic Data'!$A$82:$A$83,'Basic Data'!$C$82:$C$83),"")</calculatedColumnFormula>
    </tableColumn>
    <tableColumn id="10" xr3:uid="{68093E37-0629-4D48-9292-D3509D73EB20}" name="Plant Equivalent Weightage" dataDxfId="84"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3"/>
    <tableColumn id="14" xr3:uid="{111F57AF-48BE-4B72-9102-CC1F38666545}" name="Work Start TimeStamp" dataDxfId="82"/>
    <tableColumn id="15" xr3:uid="{07CFFC5F-8917-4521-9F7A-9B9A7FED21E2}" name="Fault Clearance time" dataDxfId="81"/>
    <tableColumn id="16" xr3:uid="{52311DDF-3763-419B-90CD-6C31244C94C6}" name="Response Time" dataDxfId="80">
      <calculatedColumnFormula>(Table11[[#This Row],[Work Start TimeStamp]]-Table11[[#This Row],[Fault Start TimeStamp]])*24</calculatedColumnFormula>
    </tableColumn>
    <tableColumn id="17" xr3:uid="{113582A9-78F5-4F5C-BF39-3375770974B5}" name="Resolution Time" dataDxfId="79">
      <calculatedColumnFormula>IF(Table11[[#This Row],[Work Start TimeStamp]]="","",(Table11[[#This Row],[Fault Clearance time]]-Table11[[#This Row],[Work Start TimeStamp]])*24)</calculatedColumnFormula>
    </tableColumn>
    <tableColumn id="18" xr3:uid="{17E64C6E-10A8-4550-AFA9-CE1069F6C71E}" name="Breakdown Time" dataDxfId="78">
      <calculatedColumnFormula>(Table11[[#This Row],[Fault Clearance time]]-Table11[[#This Row],[Fault Start TimeStamp]])*24</calculatedColumnFormula>
    </tableColumn>
    <tableColumn id="19" xr3:uid="{69FCC2D4-2572-403C-8DE2-96EFEBBF8585}" name="Action taken" dataDxfId="77"/>
    <tableColumn id="20" xr3:uid="{8097CC26-F316-4214-9C7D-AFB45BD4F270}" name="Status" dataDxfId="76"/>
    <tableColumn id="21" xr3:uid="{DD7EC5C5-D1E1-4DD6-8188-B19D2B7947A8}" name="Plant Equivalent breakdown" dataDxfId="75" dataCellStyle="Comma 10">
      <calculatedColumnFormula>IFERROR(Table11[[#This Row],[Breakdown Time]]*Table11[[#This Row],[Plant Equivalent Weightage]],"")</calculatedColumnFormula>
    </tableColumn>
    <tableColumn id="22" xr3:uid="{A3E15FEE-AB7F-441D-B3C0-A4EC5D22A066}" name="Fault Category" dataDxfId="74" dataCellStyle="Comma 10"/>
    <tableColumn id="23" xr3:uid="{E0823B4F-BDFA-465B-A645-035CC97E2AF2}" name="Paired WTG for Enegy based MA" dataDxfId="73" dataCellStyle="Comma 10"/>
    <tableColumn id="29" xr3:uid="{F624405E-B795-47AB-AC7D-E1E775D55EBD}" name="Loss of KWH" dataDxfId="72" dataCellStyle="Comma 10"/>
    <tableColumn id="24" xr3:uid="{AB70B879-EDE1-4720-B7F3-68CEAF7F8D77}" name="Estimated Energy Loss (kWh)" dataDxfId="71">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0"/>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69" dataDxfId="68" headerRowBorderDxfId="66" tableBorderDxfId="67" totalsRowBorderDxfId="65">
  <tableColumns count="40">
    <tableColumn id="1" xr3:uid="{F3EAD0E3-ABF7-4CDB-A960-698D22A7C417}" name="Sr. No." dataDxfId="64"/>
    <tableColumn id="2" xr3:uid="{B0418144-A78E-4D40-82DA-F0797A0658EE}" name="Month Name" dataDxfId="63" dataCellStyle="Comma 42"/>
    <tableColumn id="3" xr3:uid="{AD83A0A0-0B3B-44B7-87DC-777728711627}" name="Month Number" dataDxfId="62"/>
    <tableColumn id="4" xr3:uid="{B8409966-3B87-4F3E-8AB4-BBBF13B97CF4}" name="Month" dataDxfId="61" dataCellStyle="Comma 42"/>
    <tableColumn id="5" xr3:uid="{020A7E51-D788-4A7F-B286-953BF006A013}" name="CY" dataDxfId="60">
      <calculatedColumnFormula>YEAR(D2)</calculatedColumnFormula>
    </tableColumn>
    <tableColumn id="6" xr3:uid="{D8F8960C-185A-4A0C-8CC5-D991E57F98D4}" name="FY" dataDxfId="59"/>
    <tableColumn id="7" xr3:uid="{417B0174-CD1A-40CD-BC93-E0D7DD62FB38}" name="No. of Days in Month" dataDxfId="58">
      <calculatedColumnFormula>DAY(EOMONTH(D2,0))</calculatedColumnFormula>
    </tableColumn>
    <tableColumn id="8" xr3:uid="{3E645F0B-A4D1-41DD-A694-97379182AD95}" name="GHI" dataDxfId="57"/>
    <tableColumn id="9" xr3:uid="{5DB390D2-8A76-40A0-9307-5C1D6F211C19}" name="POA" dataDxfId="56"/>
    <tableColumn id="10" xr3:uid="{D78EE0DB-78A5-412A-B6BF-7BBC695BF3FD}" name="WS" dataDxfId="55"/>
    <tableColumn id="11" xr3:uid="{AED4DA74-841F-472F-AB20-9EFF4203A7FB}" name="Tamb" dataDxfId="54"/>
    <tableColumn id="12" xr3:uid="{F5BBF801-F550-4711-A0E3-A7D7BECD7EE1}" name="Tmod" dataDxfId="53"/>
    <tableColumn id="13" xr3:uid="{7CFAD92B-8CC6-4C09-9D02-7BDBC917F8B8}" name="Egrid (MWh)" dataDxfId="52"/>
    <tableColumn id="14" xr3:uid="{9BE849CD-3487-4CF3-A1D2-2A24370F630B}" name="Bugt_Capacity" dataDxfId="51"/>
    <tableColumn id="15" xr3:uid="{FB833210-75D4-4A91-9FA4-A12E87659459}" name="PR" dataDxfId="50"/>
    <tableColumn id="16" xr3:uid="{9F8724A7-7007-42B9-AE65-78B7958D81F8}" name="Daily POA" dataDxfId="49"/>
    <tableColumn id="17" xr3:uid="{9B00B68D-96A7-4056-B81D-6A390998F3AA}" name="Days Operated" dataDxfId="48">
      <calculatedColumnFormula>COUNTIFS('Daily KPI'!$D:$D,D2,'Daily KPI'!$M:$M,"&gt;0")</calculatedColumnFormula>
    </tableColumn>
    <tableColumn id="18" xr3:uid="{47B38392-BF91-4396-BD38-DB17B7724AC1}" name="MTD POA" dataDxfId="47"/>
    <tableColumn id="27" xr3:uid="{1EF95AD3-2089-4CAD-AC1C-6780FD0FC541}" name="YTD POA" dataDxfId="46"/>
    <tableColumn id="19" xr3:uid="{8A4F8C6F-E3C3-43C3-9C96-E2DEBEBBA816}" name="Daily Energy (MWh)" dataDxfId="45">
      <calculatedColumnFormula>IFERROR(M2/G2,"")</calculatedColumnFormula>
    </tableColumn>
    <tableColumn id="20" xr3:uid="{8D3A9F5A-0A06-4829-B655-974587229718}" name="MTD Energy (MWh)" dataDxfId="44">
      <calculatedColumnFormula>IFERROR(M2/G2*Q2,"")</calculatedColumnFormula>
    </tableColumn>
    <tableColumn id="28" xr3:uid="{0125BB0D-BA97-4D7A-91F1-AE991FF818F5}" name="YTD Energy (MWh)" dataDxfId="43">
      <calculatedColumnFormula>SUMIF($F$2:F2,F2,$U$2:U2)</calculatedColumnFormula>
    </tableColumn>
    <tableColumn id="38" xr3:uid="{DD55C7C7-3436-4C49-B5F2-AAFF7AA20C25}" name="Bugt CUF (%)" dataDxfId="42" dataCellStyle="Percent">
      <calculatedColumnFormula>IFERROR(T2/(24*N2),"")</calculatedColumnFormula>
    </tableColumn>
    <tableColumn id="37" xr3:uid="{B24E7B0E-4AE3-4B81-A6C9-3448BC554FD8}" name="Bugt CUF (%) MTD" dataDxfId="41" dataCellStyle="Percent">
      <calculatedColumnFormula>IFERROR(U2/(24*N2*Q2),"")</calculatedColumnFormula>
    </tableColumn>
    <tableColumn id="36" xr3:uid="{0AC1542C-AEB6-4BDB-897E-D6C42C46B3B9}" name="Bugt CUF (%)YTD" dataDxfId="40" dataCellStyle="Percent">
      <calculatedColumnFormula>IFERROR(V2/(24*N2*SUMIFS($Q:$Q,$F:$F,$F2,$D:$D,"&lt;="&amp;D2)),"")</calculatedColumnFormula>
    </tableColumn>
    <tableColumn id="21" xr3:uid="{7C1B4714-C254-456B-B100-9EC1C72BD599}" name="Ave. Cap MTD" dataDxfId="39">
      <calculatedColumnFormula>IFERROR(AVERAGEIF('Daily KPI'!D:D,Table14[[#This Row],[Month]],'Daily KPI'!AB:AB),"")</calculatedColumnFormula>
    </tableColumn>
    <tableColumn id="29" xr3:uid="{7F2C1AEA-E207-4994-B3DA-BDA20D42FEE5}" name="Ave. Cap YTD" dataDxfId="38">
      <calculatedColumnFormula>IFERROR(AVERAGEIF($F$2:F2,F2,$Z$2:Z2),"")</calculatedColumnFormula>
    </tableColumn>
    <tableColumn id="22" xr3:uid="{27549171-6290-4BB7-963C-DDEFB44328AE}" name="CC Energy MTD" dataDxfId="37"/>
    <tableColumn id="31" xr3:uid="{B5ECE3E1-4173-43BF-B30D-2632825553C7}" name="WS MTD" dataDxfId="36">
      <calculatedColumnFormula>Table14[[#This Row],[WS]]</calculatedColumnFormula>
    </tableColumn>
    <tableColumn id="23" xr3:uid="{CE44927B-EB28-4500-A875-830BB0EDA955}" name="WS YTD" dataDxfId="35">
      <calculatedColumnFormula>AVERAGEIF($F$2:F2,F2,$AC$2:AC2)</calculatedColumnFormula>
    </tableColumn>
    <tableColumn id="24" xr3:uid="{3CA46770-B3A9-4121-9A41-CB5FDADD7A99}" name="Bugt PA" dataDxfId="34" dataCellStyle="Percent 43">
      <calculatedColumnFormula>IFERROR(AH2*AI2,"")</calculatedColumnFormula>
    </tableColumn>
    <tableColumn id="25" xr3:uid="{27AE7DB1-ADAE-4170-9A8C-9A81C818637A}" name="Bugt EGA" dataDxfId="33" dataCellStyle="Percent 43"/>
    <tableColumn id="35" xr3:uid="{14F4482D-54A4-43FA-9E36-D5A1F5AB6C01}" name="Bugt TA" dataDxfId="32" dataCellStyle="Percent"/>
    <tableColumn id="26" xr3:uid="{26D16F7D-638E-4781-A79E-286264B083D9}" name="Bugt MA" dataDxfId="31" dataCellStyle="Percent"/>
    <tableColumn id="30" xr3:uid="{D0DFBEA8-C2B4-4D9F-ACA7-4B000241429B}" name="Bugt IGA" dataDxfId="30" dataCellStyle="Percent"/>
    <tableColumn id="32" xr3:uid="{BDEA05FD-D9DB-4545-9B4F-8D011B0EA073}" name="Corelation" dataDxfId="29" dataCellStyle="Percent"/>
    <tableColumn id="33" xr3:uid="{C39425F2-CD42-4837-9608-6796E3119220}" name="Bugt Line loss" dataDxfId="28" dataCellStyle="Percent"/>
    <tableColumn id="34" xr3:uid="{E764C683-347B-45FE-8518-FC18586A1B69}" name="Bugt Reactive Power" dataDxfId="27" dataCellStyle="Percent"/>
    <tableColumn id="39" xr3:uid="{82F4ADC2-8437-4A24-BC06-681830409DE4}" name="Bugt Capacity" dataDxfId="26" dataCellStyle="Percent"/>
    <tableColumn id="40" xr3:uid="{4B56E650-7441-46E9-9963-09648AE0B34D}" name="CC*Bugt" dataDxfId="25"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4" headerRowBorderDxfId="22" tableBorderDxfId="23" totalsRowBorderDxfId="21">
  <autoFilter ref="B2:R367" xr:uid="{00000000-0009-0000-0100-000005000000}"/>
  <tableColumns count="17">
    <tableColumn id="5" xr3:uid="{00000000-0010-0000-0500-000005000000}" name="Date" dataDxfId="20"/>
    <tableColumn id="1" xr3:uid="{00000000-0010-0000-0500-000001000000}" name="FY" dataDxfId="19">
      <calculatedColumnFormula>YEAR(Modelling[[#This Row],[Date]])+IF(MONTH(Modelling[[#This Row],[Date]])&gt;=4,1,0)</calculatedColumnFormula>
    </tableColumn>
    <tableColumn id="2" xr3:uid="{00000000-0010-0000-0500-000002000000}" name="Year" dataDxfId="18">
      <calculatedColumnFormula>YEAR(B3)</calculatedColumnFormula>
    </tableColumn>
    <tableColumn id="3" xr3:uid="{00000000-0010-0000-0500-000003000000}" name="Month" dataDxfId="17"/>
    <tableColumn id="4" xr3:uid="{00000000-0010-0000-0500-000004000000}" name="Days" dataDxfId="16">
      <calculatedColumnFormula>DAY(EOMONTH(Modelling[[#This Row],[Date]],0))</calculatedColumnFormula>
    </tableColumn>
    <tableColumn id="9" xr3:uid="{00000000-0010-0000-0500-000009000000}" name="E_Grid daily_x000a_MWh" dataDxfId="15">
      <calculatedColumnFormula>VLOOKUP(MONTH(Modelling[[#This Row],[Date]]),$W$3:$Z$14,4,0)/1000/Modelling[[#This Row],[Days]]</calculatedColumnFormula>
    </tableColumn>
    <tableColumn id="10" xr3:uid="{00000000-0010-0000-0500-00000A000000}" name="E_Grid MTD_x000a_MWh" dataDxfId="14">
      <calculatedColumnFormula>SUM($G$3:G3)</calculatedColumnFormula>
    </tableColumn>
    <tableColumn id="11" xr3:uid="{00000000-0010-0000-0500-00000B000000}" name="E_Grid YTD_x000a_MWh" dataDxfId="13">
      <calculatedColumnFormula>SUM($G$3:G3)</calculatedColumnFormula>
    </tableColumn>
    <tableColumn id="12" xr3:uid="{00000000-0010-0000-0500-00000C000000}" name="WS Daily" dataDxfId="12">
      <calculatedColumnFormula>VLOOKUP(MONTH(Modelling[[#This Row],[Date]]),$W$3:$Y$14,3,0)</calculatedColumnFormula>
    </tableColumn>
    <tableColumn id="13" xr3:uid="{00000000-0010-0000-0500-00000D000000}" name="WS MTD" dataDxfId="11">
      <calculatedColumnFormula>VLOOKUP(MONTH(Modelling[[#This Row],[Date]]),$W$3:$Y$14,3,0)</calculatedColumnFormula>
    </tableColumn>
    <tableColumn id="14" xr3:uid="{00000000-0010-0000-0500-00000E000000}" name="WS YTD" dataDxfId="10">
      <calculatedColumnFormula>AVERAGE(J$3:J3)</calculatedColumnFormula>
    </tableColumn>
    <tableColumn id="15" xr3:uid="{00000000-0010-0000-0500-00000F000000}" name="CUF Daily" dataDxfId="9">
      <calculatedColumnFormula>G3/P3/24</calculatedColumnFormula>
    </tableColumn>
    <tableColumn id="16" xr3:uid="{00000000-0010-0000-0500-000010000000}" name="CUF MTD" dataDxfId="8">
      <calculatedColumnFormula>H3/(24*S3)/Q3</calculatedColumnFormula>
    </tableColumn>
    <tableColumn id="17" xr3:uid="{00000000-0010-0000-0500-000011000000}" name="CUF YTD" dataDxfId="7" dataCellStyle="Percent">
      <calculatedColumnFormula>I3/(24*T3)/R3</calculatedColumnFormula>
    </tableColumn>
    <tableColumn id="8" xr3:uid="{5FDBD18B-4977-43D6-A68F-BC660B0985B2}" name="Day Capacity" dataDxfId="6" dataCellStyle="Comma">
      <calculatedColumnFormula>_xlfn.XLOOKUP(MONTH(B3),W:W,AA:AA)</calculatedColumnFormula>
    </tableColumn>
    <tableColumn id="6" xr3:uid="{7D5C94FB-6082-4947-8B71-814D66EE14FF}" name="MTD Capacity" dataDxfId="5"/>
    <tableColumn id="7" xr3:uid="{8518E365-5C36-471F-94CA-B1844743DC26}" name="YTD Capacity" dataDxfId="4">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opLeftCell="A3" zoomScale="70" zoomScaleNormal="70" workbookViewId="0">
      <selection activeCell="J6" sqref="J6"/>
    </sheetView>
  </sheetViews>
  <sheetFormatPr defaultColWidth="9" defaultRowHeight="14.45"/>
  <cols>
    <col min="1" max="1" width="30.85546875" style="37" bestFit="1" customWidth="1"/>
    <col min="2" max="2" width="22.42578125" style="38" customWidth="1"/>
    <col min="3" max="3" width="13.42578125" style="38" customWidth="1"/>
    <col min="4" max="4" width="12" style="39" customWidth="1"/>
    <col min="5" max="5" width="22.140625" style="37" customWidth="1"/>
    <col min="6" max="6" width="31.42578125" style="38" customWidth="1"/>
    <col min="7" max="7" width="11.42578125" style="38" customWidth="1"/>
    <col min="8" max="8" width="14.42578125" style="38" customWidth="1"/>
    <col min="9" max="9" width="11" style="38" customWidth="1"/>
    <col min="10" max="10" width="11.42578125" style="38" customWidth="1"/>
    <col min="11" max="11" width="10.42578125" style="38" customWidth="1"/>
    <col min="12" max="16384" width="9" style="38"/>
  </cols>
  <sheetData>
    <row r="1" spans="1:18" ht="8.25" customHeight="1" thickBot="1"/>
    <row r="2" spans="1:18" ht="25.5" customHeight="1">
      <c r="A2" s="143" t="s">
        <v>0</v>
      </c>
      <c r="B2" s="144"/>
      <c r="C2" s="144"/>
      <c r="D2" s="144"/>
      <c r="E2" s="144"/>
      <c r="F2" s="145"/>
    </row>
    <row r="3" spans="1:18">
      <c r="A3" s="40" t="s">
        <v>1</v>
      </c>
      <c r="B3" s="221">
        <v>45839</v>
      </c>
      <c r="C3" s="42"/>
      <c r="D3" s="42"/>
      <c r="E3" s="42"/>
      <c r="F3" s="43"/>
    </row>
    <row r="4" spans="1:18">
      <c r="A4" s="40" t="s">
        <v>2</v>
      </c>
      <c r="B4" s="222">
        <v>45865</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330">
        <v>1</v>
      </c>
      <c r="B10" s="56" t="s">
        <v>13</v>
      </c>
      <c r="C10" s="57">
        <f>_xlfn.XLOOKUP($B$4,'Daily KPI'!$A:$A,'Daily KPI'!$AD:$AD)/1000</f>
        <v>963.88316796059144</v>
      </c>
      <c r="D10" s="58">
        <f>_xlfn.XLOOKUP($B$4,'Daily KPI'!$A:$A,'Daily KPI'!$AA:$AA)/1000</f>
        <v>1390.05</v>
      </c>
      <c r="E10" s="59">
        <f>D10/C10-1</f>
        <v>0.44213536059676528</v>
      </c>
      <c r="F10" s="223"/>
    </row>
    <row r="11" spans="1:18">
      <c r="A11" s="331"/>
      <c r="B11" s="60" t="s">
        <v>14</v>
      </c>
      <c r="C11" s="61">
        <f>MonthlyKPI!$E$4</f>
        <v>26024.845534935968</v>
      </c>
      <c r="D11" s="62">
        <f>MonthlyKPI!F4</f>
        <v>17221.05</v>
      </c>
      <c r="E11" s="63">
        <f>D11/C11-1</f>
        <v>-0.33828425698502917</v>
      </c>
      <c r="F11" s="224"/>
    </row>
    <row r="12" spans="1:18" ht="15" thickBot="1">
      <c r="A12" s="332"/>
      <c r="B12" s="64" t="s">
        <v>15</v>
      </c>
      <c r="C12" s="65">
        <f>AnnualKPI!$E$4</f>
        <v>99176.113568039436</v>
      </c>
      <c r="D12" s="66">
        <f>AnnualKPI!F4</f>
        <v>81152.100000000006</v>
      </c>
      <c r="E12" s="67">
        <f>D12/C12-1</f>
        <v>-0.18173744583844897</v>
      </c>
      <c r="F12" s="225"/>
    </row>
    <row r="13" spans="1:18">
      <c r="A13" s="330">
        <v>2</v>
      </c>
      <c r="B13" s="56" t="s">
        <v>16</v>
      </c>
      <c r="C13" s="68">
        <f>_xlfn.XLOOKUP($B$3,'Modelling New'!$D:$D,'Modelling New'!$J:$J)</f>
        <v>8.18</v>
      </c>
      <c r="D13" s="69">
        <f>_xlfn.XLOOKUP($B$4,'Daily KPI'!$A:$A,'Daily KPI'!$M:$M)</f>
        <v>9.2480769230769244</v>
      </c>
      <c r="E13" s="59">
        <f t="shared" ref="E13:E39" si="0">(D13-C13)/(C13)</f>
        <v>0.13057175098739912</v>
      </c>
      <c r="F13" s="223"/>
    </row>
    <row r="14" spans="1:18">
      <c r="A14" s="331"/>
      <c r="B14" s="60" t="s">
        <v>17</v>
      </c>
      <c r="C14" s="70">
        <f>MonthlyKPI!C4</f>
        <v>8.18</v>
      </c>
      <c r="D14" s="71">
        <f>MonthlyKPI!D4</f>
        <v>6.6309644193164674</v>
      </c>
      <c r="E14" s="63">
        <f t="shared" si="0"/>
        <v>-0.18936865289529736</v>
      </c>
      <c r="F14" s="224"/>
    </row>
    <row r="15" spans="1:18" ht="15" thickBot="1">
      <c r="A15" s="332"/>
      <c r="B15" s="64" t="s">
        <v>18</v>
      </c>
      <c r="C15" s="72">
        <f>AnnualKPI!C4</f>
        <v>7.2925000000000004</v>
      </c>
      <c r="D15" s="73">
        <f>AnnualKPI!D4</f>
        <v>6.796724147342351</v>
      </c>
      <c r="E15" s="67">
        <f t="shared" si="0"/>
        <v>-6.7984347296215206E-2</v>
      </c>
      <c r="F15" s="225"/>
    </row>
    <row r="16" spans="1:18">
      <c r="A16" s="330">
        <v>3</v>
      </c>
      <c r="B16" s="56" t="s">
        <v>19</v>
      </c>
      <c r="C16" s="74">
        <f>_xlfn.XLOOKUP($B$3,'Modelling New'!$D:$D,'Modelling New'!$AE:$AE)</f>
        <v>0.96029999999999993</v>
      </c>
      <c r="D16" s="75">
        <f>_xlfn.XLOOKUP($B$4,'Daily KPI'!$A:$A,'Daily KPI'!$O:$O)</f>
        <v>0.99822012124880233</v>
      </c>
      <c r="E16" s="59">
        <f t="shared" si="0"/>
        <v>3.9487786367595958E-2</v>
      </c>
      <c r="F16" s="223"/>
      <c r="H16" s="100"/>
    </row>
    <row r="17" spans="1:6">
      <c r="A17" s="331"/>
      <c r="B17" s="60" t="s">
        <v>20</v>
      </c>
      <c r="C17" s="76">
        <f>_xlfn.XLOOKUP($B$3,'Modelling New'!$D:$D,'Modelling New'!$AE:$AE)</f>
        <v>0.96029999999999993</v>
      </c>
      <c r="D17" s="77">
        <f>MonthlyKPI!P4</f>
        <v>0.96979290269252338</v>
      </c>
      <c r="E17" s="63">
        <f t="shared" si="0"/>
        <v>9.8853511324830303E-3</v>
      </c>
      <c r="F17" s="224"/>
    </row>
    <row r="18" spans="1:6" ht="15" thickBot="1">
      <c r="A18" s="332"/>
      <c r="B18" s="64" t="s">
        <v>21</v>
      </c>
      <c r="C18" s="78">
        <f>_xlfn.XLOOKUP($B$3,'Modelling New'!$D:$D,'Modelling New'!$AE:$AE)</f>
        <v>0.96029999999999993</v>
      </c>
      <c r="D18" s="79">
        <f>AnnualKPI!P4</f>
        <v>0.94652608040452901</v>
      </c>
      <c r="E18" s="67">
        <f t="shared" si="0"/>
        <v>-1.4343350614881723E-2</v>
      </c>
      <c r="F18" s="225"/>
    </row>
    <row r="19" spans="1:6">
      <c r="A19" s="330">
        <v>4</v>
      </c>
      <c r="B19" s="56" t="s">
        <v>22</v>
      </c>
      <c r="C19" s="74">
        <f>_xlfn.XLOOKUP($B$3,'Modelling New'!$D:$D,'Modelling New'!$AF:$AF)</f>
        <v>0.995</v>
      </c>
      <c r="D19" s="75">
        <f>_xlfn.XLOOKUP($B$4,'Daily KPI'!$A:$A,'Daily KPI'!$R:$R)</f>
        <v>1</v>
      </c>
      <c r="E19" s="59">
        <f t="shared" si="0"/>
        <v>5.0251256281407079E-3</v>
      </c>
      <c r="F19" s="223"/>
    </row>
    <row r="20" spans="1:6">
      <c r="A20" s="331"/>
      <c r="B20" s="60" t="s">
        <v>23</v>
      </c>
      <c r="C20" s="76">
        <f>_xlfn.XLOOKUP($B$3,'Modelling New'!$D:$D,'Modelling New'!$AF:$AF)</f>
        <v>0.995</v>
      </c>
      <c r="D20" s="77">
        <f>MonthlyKPI!J4</f>
        <v>1</v>
      </c>
      <c r="E20" s="63">
        <f t="shared" si="0"/>
        <v>5.0251256281407079E-3</v>
      </c>
      <c r="F20" s="224"/>
    </row>
    <row r="21" spans="1:6" ht="15" thickBot="1">
      <c r="A21" s="332"/>
      <c r="B21" s="64" t="s">
        <v>24</v>
      </c>
      <c r="C21" s="78">
        <f>_xlfn.XLOOKUP($B$3,'Modelling New'!$D:$D,'Modelling New'!$AF:$AF)</f>
        <v>0.995</v>
      </c>
      <c r="D21" s="79">
        <f>AnnualKPI!J4</f>
        <v>1</v>
      </c>
      <c r="E21" s="67">
        <f t="shared" si="0"/>
        <v>5.0251256281407079E-3</v>
      </c>
      <c r="F21" s="225"/>
    </row>
    <row r="22" spans="1:6">
      <c r="A22" s="330">
        <v>5</v>
      </c>
      <c r="B22" s="56" t="s">
        <v>25</v>
      </c>
      <c r="C22" s="74">
        <f>_xlfn.XLOOKUP($B$3,'Modelling New'!$D:$D,'Modelling New'!$AI:$AI)</f>
        <v>0.99</v>
      </c>
      <c r="D22" s="75">
        <f>_xlfn.XLOOKUP($B$4,'Daily KPI'!$A:$A,'Daily KPI'!$Q:$Q)</f>
        <v>1</v>
      </c>
      <c r="E22" s="59">
        <f t="shared" si="0"/>
        <v>1.0101010101010111E-2</v>
      </c>
      <c r="F22" s="223"/>
    </row>
    <row r="23" spans="1:6">
      <c r="A23" s="331"/>
      <c r="B23" s="60" t="s">
        <v>26</v>
      </c>
      <c r="C23" s="76">
        <f>_xlfn.XLOOKUP($B$3,'Modelling New'!$D:$D,'Modelling New'!$AI:$AI)</f>
        <v>0.99</v>
      </c>
      <c r="D23" s="77">
        <f>MonthlyKPI!N4</f>
        <v>0.99615872376967529</v>
      </c>
      <c r="E23" s="63">
        <f t="shared" si="0"/>
        <v>6.220933100682122E-3</v>
      </c>
      <c r="F23" s="224"/>
    </row>
    <row r="24" spans="1:6" ht="15" thickBot="1">
      <c r="A24" s="332"/>
      <c r="B24" s="64" t="s">
        <v>27</v>
      </c>
      <c r="C24" s="78">
        <f>_xlfn.XLOOKUP($B$3,'Modelling New'!$D:$D,'Modelling New'!$AI:$AI)</f>
        <v>0.99</v>
      </c>
      <c r="D24" s="79">
        <f>AnnualKPI!N4</f>
        <v>0.97486052504273113</v>
      </c>
      <c r="E24" s="67">
        <f t="shared" si="0"/>
        <v>-1.5292398946736225E-2</v>
      </c>
      <c r="F24" s="225"/>
    </row>
    <row r="25" spans="1:6">
      <c r="A25" s="330">
        <v>6</v>
      </c>
      <c r="B25" s="56" t="s">
        <v>28</v>
      </c>
      <c r="C25" s="75">
        <f>_xlfn.XLOOKUP($B$3,'Modelling New'!$D:$D,'Modelling New'!$AH:$AH)</f>
        <v>0.97</v>
      </c>
      <c r="D25" s="75">
        <f>_xlfn.XLOOKUP($B$4,'Daily KPI'!$A:$A,'Daily KPI'!$P:$P)</f>
        <v>0.99822012124880233</v>
      </c>
      <c r="E25" s="59">
        <f t="shared" ref="E25:E27" si="1">(D25-C25)/(C25)</f>
        <v>2.9092908503919955E-2</v>
      </c>
      <c r="F25" s="223"/>
    </row>
    <row r="26" spans="1:6">
      <c r="A26" s="331"/>
      <c r="B26" s="60" t="s">
        <v>29</v>
      </c>
      <c r="C26" s="77">
        <f>_xlfn.XLOOKUP($B$3,'Modelling New'!$D:$D,'Modelling New'!$AH:$AH)</f>
        <v>0.97</v>
      </c>
      <c r="D26" s="77">
        <f>MonthlyKPI!$L$4</f>
        <v>0.9735325099825678</v>
      </c>
      <c r="E26" s="63">
        <f t="shared" si="1"/>
        <v>3.6417628686266205E-3</v>
      </c>
      <c r="F26" s="224"/>
    </row>
    <row r="27" spans="1:6" ht="15" thickBot="1">
      <c r="A27" s="332"/>
      <c r="B27" s="64" t="s">
        <v>30</v>
      </c>
      <c r="C27" s="79">
        <f>_xlfn.XLOOKUP($B$3,'Modelling New'!$D:$D,'Modelling New'!$AH:$AH)</f>
        <v>0.97</v>
      </c>
      <c r="D27" s="79">
        <f>AnnualKPI!$L$4</f>
        <v>0.97093487333794737</v>
      </c>
      <c r="E27" s="67">
        <f t="shared" si="1"/>
        <v>9.6378694633752072E-4</v>
      </c>
      <c r="F27" s="225"/>
    </row>
    <row r="28" spans="1:6">
      <c r="A28" s="330">
        <v>7</v>
      </c>
      <c r="B28" s="56" t="s">
        <v>31</v>
      </c>
      <c r="C28" s="74">
        <f>_xlfn.XLOOKUP($B$4,'Daily KPI'!$A:$A,'Daily KPI'!$AF:$AF)</f>
        <v>0.57210539408867012</v>
      </c>
      <c r="D28" s="75">
        <f>_xlfn.XLOOKUP($B$4,'Daily KPI'!$A:$A,'Daily KPI'!$W:$W)</f>
        <v>0.82505341880341865</v>
      </c>
      <c r="E28" s="59">
        <f t="shared" si="0"/>
        <v>0.44213536059676506</v>
      </c>
      <c r="F28" s="223"/>
    </row>
    <row r="29" spans="1:6">
      <c r="A29" s="331"/>
      <c r="B29" s="60" t="s">
        <v>32</v>
      </c>
      <c r="C29" s="76">
        <f>MonthlyKPI!$G$4</f>
        <v>0.57210539408867001</v>
      </c>
      <c r="D29" s="77">
        <f>MonthlyKPI!H4</f>
        <v>0.37857114593225705</v>
      </c>
      <c r="E29" s="63">
        <f t="shared" si="0"/>
        <v>-0.33828425698502906</v>
      </c>
      <c r="F29" s="224"/>
    </row>
    <row r="30" spans="1:6" ht="15" thickBot="1">
      <c r="A30" s="332"/>
      <c r="B30" s="64" t="s">
        <v>33</v>
      </c>
      <c r="C30" s="78">
        <f>AnnualKPI!$G$4</f>
        <v>0.49885775089755374</v>
      </c>
      <c r="D30" s="79">
        <f>AnnualKPI!H4</f>
        <v>0.40819661741271918</v>
      </c>
      <c r="E30" s="67">
        <f t="shared" si="0"/>
        <v>-0.18173744583844881</v>
      </c>
      <c r="F30" s="225"/>
    </row>
    <row r="31" spans="1:6">
      <c r="A31" s="330">
        <v>8</v>
      </c>
      <c r="B31" s="56" t="s">
        <v>34</v>
      </c>
      <c r="C31" s="210">
        <f>_xlfn.XLOOKUP($B$4,'Daily KPI'!$A:$A,'Daily KPI'!$AP:$AP)</f>
        <v>0.05</v>
      </c>
      <c r="D31" s="211">
        <f>_xlfn.XLOOKUP($B$4,'Daily KPI'!$A:$A,'Daily KPI'!$AN:$AN)</f>
        <v>3.557423591087084E-2</v>
      </c>
      <c r="E31" s="59">
        <f>-(D31-C31)/(C31)</f>
        <v>0.28851528178258323</v>
      </c>
      <c r="F31" s="226"/>
    </row>
    <row r="32" spans="1:6">
      <c r="A32" s="331"/>
      <c r="B32" s="60" t="s">
        <v>35</v>
      </c>
      <c r="C32" s="212">
        <f>_xlfn.XLOOKUP($B$3,'Modelling New'!$D:$D,'Modelling New'!$AK:$AK)</f>
        <v>0.05</v>
      </c>
      <c r="D32" s="213">
        <f>MonthlyKPI!$U$4</f>
        <v>2.6274727865336051E-2</v>
      </c>
      <c r="E32" s="63">
        <f t="shared" ref="E32:E33" si="2">-(D32-C32)/(C32)</f>
        <v>0.47450544269327904</v>
      </c>
      <c r="F32" s="227"/>
    </row>
    <row r="33" spans="1:7" ht="15" thickBot="1">
      <c r="A33" s="332"/>
      <c r="B33" s="64" t="s">
        <v>36</v>
      </c>
      <c r="C33" s="214">
        <f>_xlfn.XLOOKUP($B$3,'Modelling New'!$D:$D,'Modelling New'!$AK:$AK)</f>
        <v>0.05</v>
      </c>
      <c r="D33" s="215">
        <f>AnnualKPI!$R$4</f>
        <v>3.43142594698315E-2</v>
      </c>
      <c r="E33" s="67">
        <f t="shared" si="2"/>
        <v>0.31371481060337003</v>
      </c>
      <c r="F33" s="228"/>
      <c r="G33" s="209"/>
    </row>
    <row r="34" spans="1:7">
      <c r="A34" s="330">
        <v>9</v>
      </c>
      <c r="B34" s="56" t="s">
        <v>37</v>
      </c>
      <c r="C34" s="74">
        <f>_xlfn.XLOOKUP($B$4,'Daily KPI'!$A:$A,'Daily KPI'!$AQ:$AQ)</f>
        <v>0.05</v>
      </c>
      <c r="D34" s="211">
        <f>_xlfn.XLOOKUP($B$4,'Daily KPI'!$A:$A,'Daily KPI'!$AO:$AO)</f>
        <v>3.122004490315849E-3</v>
      </c>
      <c r="E34" s="59">
        <f>-(D34-C34)/(C34)</f>
        <v>0.93755991019368301</v>
      </c>
      <c r="F34" s="226"/>
      <c r="G34" s="209"/>
    </row>
    <row r="35" spans="1:7">
      <c r="A35" s="331"/>
      <c r="B35" s="60" t="s">
        <v>38</v>
      </c>
      <c r="C35" s="76">
        <f>_xlfn.XLOOKUP($B$3,'Modelling New'!$D:$D,'Modelling New'!$AL:$AL)</f>
        <v>0.05</v>
      </c>
      <c r="D35" s="217">
        <f>MonthlyKPI!$V$4</f>
        <v>8.5681765531551869E-3</v>
      </c>
      <c r="E35" s="63">
        <f>-(D35-C35)/(C35)</f>
        <v>0.82863646893689635</v>
      </c>
      <c r="F35" s="227"/>
      <c r="G35" s="209"/>
    </row>
    <row r="36" spans="1:7" ht="15" thickBot="1">
      <c r="A36" s="332"/>
      <c r="B36" s="64" t="s">
        <v>39</v>
      </c>
      <c r="C36" s="78">
        <f>_xlfn.XLOOKUP($B$3,'Modelling New'!$D:$D,'Modelling New'!$AL:$AL)</f>
        <v>0.05</v>
      </c>
      <c r="D36" s="215">
        <f>AnnualKPI!$S$4</f>
        <v>7.9531023515452947E-3</v>
      </c>
      <c r="E36" s="67">
        <f>-(D36-C36)/(C36)</f>
        <v>0.84093795296909413</v>
      </c>
      <c r="F36" s="228"/>
      <c r="G36" s="209"/>
    </row>
    <row r="37" spans="1:7">
      <c r="A37" s="330">
        <v>10</v>
      </c>
      <c r="B37" s="56" t="s">
        <v>40</v>
      </c>
      <c r="C37" s="201">
        <f>IFERROR(_xlfn.XLOOKUP($B$4,'Daily KPI'!$A:$A,'Daily KPI'!$AI:$AI),"")</f>
        <v>0</v>
      </c>
      <c r="D37" s="202">
        <f>IFERROR(_xlfn.XLOOKUP($B$4,'Daily KPI'!A:A,'Daily KPI'!$X:$X)/1000,"")</f>
        <v>1441.3240000000001</v>
      </c>
      <c r="E37" s="59" t="e">
        <f t="shared" si="0"/>
        <v>#DIV/0!</v>
      </c>
      <c r="F37" s="226"/>
      <c r="G37" s="209"/>
    </row>
    <row r="38" spans="1:7">
      <c r="A38" s="331"/>
      <c r="B38" s="60" t="s">
        <v>41</v>
      </c>
      <c r="C38" s="203">
        <f>MonthlyKPI!$T$4</f>
        <v>17226.570000000003</v>
      </c>
      <c r="D38" s="204">
        <f>IFERROR(SUMIF('Daily KPI'!D:D,$B$3,'Daily KPI'!$X:$X)/1000,"")</f>
        <v>17696.618999999999</v>
      </c>
      <c r="E38" s="63">
        <f t="shared" si="0"/>
        <v>2.7286279276721677E-2</v>
      </c>
      <c r="F38" s="227"/>
      <c r="G38" s="209"/>
    </row>
    <row r="39" spans="1:7" ht="15" thickBot="1">
      <c r="A39" s="332"/>
      <c r="B39" s="64" t="s">
        <v>42</v>
      </c>
      <c r="C39" s="205">
        <f>AnnualKPI!$Q$4</f>
        <v>86650.774499999985</v>
      </c>
      <c r="D39" s="206">
        <f>IFERROR(SUMIFS('Daily KPI'!$X:$X,'Daily KPI'!$A:$A,"&gt;="&amp;O2Summary!$B$6,'Daily KPI'!$A:$A,"&lt;="&amp;O2Summary!$B$4)/1000,"")</f>
        <v>83836.546000000002</v>
      </c>
      <c r="E39" s="67">
        <f t="shared" si="0"/>
        <v>-3.2477822803534014E-2</v>
      </c>
      <c r="F39" s="228"/>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2578125" defaultRowHeight="29.25" customHeight="1"/>
  <cols>
    <col min="1" max="1" width="15" bestFit="1" customWidth="1"/>
    <col min="2" max="3" width="12.42578125" customWidth="1"/>
    <col min="4" max="4" width="12" customWidth="1"/>
    <col min="5" max="5" width="14.42578125" customWidth="1"/>
    <col min="6" max="16" width="12.42578125" customWidth="1"/>
    <col min="17" max="17" width="12" customWidth="1"/>
    <col min="18" max="18" width="14.42578125" bestFit="1" customWidth="1"/>
    <col min="19" max="19" width="10.140625" customWidth="1"/>
    <col min="20" max="20" width="12.42578125" customWidth="1"/>
  </cols>
  <sheetData>
    <row r="1" spans="1:22" ht="29.25" customHeight="1">
      <c r="A1" s="32" t="s">
        <v>43</v>
      </c>
      <c r="B1" s="33">
        <f>O2Summary!B4</f>
        <v>45865</v>
      </c>
      <c r="C1" s="34">
        <v>0</v>
      </c>
      <c r="D1" s="34">
        <v>0</v>
      </c>
      <c r="E1" s="34">
        <v>0</v>
      </c>
      <c r="F1" s="34">
        <v>0</v>
      </c>
    </row>
    <row r="2" spans="1:22" ht="29.25" customHeight="1">
      <c r="A2" s="333" t="s">
        <v>44</v>
      </c>
      <c r="B2" s="334"/>
      <c r="C2" s="334"/>
      <c r="D2" s="334"/>
      <c r="E2" s="334"/>
      <c r="F2" s="334"/>
      <c r="G2" s="334"/>
      <c r="H2" s="334"/>
      <c r="I2" s="334"/>
      <c r="J2" s="334"/>
      <c r="K2" s="334"/>
      <c r="L2" s="334"/>
      <c r="M2" s="334"/>
      <c r="N2" s="334"/>
      <c r="O2" s="334"/>
      <c r="P2" s="334"/>
      <c r="Q2" s="334"/>
      <c r="R2" s="334"/>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14" t="s">
        <v>61</v>
      </c>
      <c r="R3" s="114" t="s">
        <v>62</v>
      </c>
      <c r="S3" s="114" t="s">
        <v>63</v>
      </c>
      <c r="T3" s="198" t="s">
        <v>64</v>
      </c>
      <c r="U3" s="198" t="s">
        <v>65</v>
      </c>
      <c r="V3" s="198" t="s">
        <v>66</v>
      </c>
    </row>
    <row r="4" spans="1:22" s="35" customFormat="1" ht="29.25" customHeight="1">
      <c r="A4" s="115">
        <f>O2Summary!B3</f>
        <v>45839</v>
      </c>
      <c r="B4" s="116">
        <f>DAY(B1)</f>
        <v>27</v>
      </c>
      <c r="C4" s="117">
        <f>IFERROR(_xlfn.XLOOKUP($A$4,'Modelling New'!$D:$D,'Modelling New'!$AC:$AC),"")</f>
        <v>8.18</v>
      </c>
      <c r="D4" s="118">
        <f>AVERAGEIF('Daily KPI'!$D:$D,$A$4,'Daily KPI'!$M:$M)</f>
        <v>6.6309644193164674</v>
      </c>
      <c r="E4" s="116">
        <f>IFERROR(_xlfn.XLOOKUP($A$4,'Modelling New'!$D:$D,'Modelling New'!$U:$U),"")</f>
        <v>26024.845534935968</v>
      </c>
      <c r="F4" s="119">
        <f>SUMIFS('Daily KPI'!$AA:$AA,'Daily KPI'!$D:$D,$A$4)/1000</f>
        <v>17221.05</v>
      </c>
      <c r="G4" s="120">
        <f>IFERROR(_xlfn.XLOOKUP($A$4,'Modelling New'!$D:$D,'Modelling New'!$X:$X),"")</f>
        <v>0.57210539408867001</v>
      </c>
      <c r="H4" s="121">
        <f>F4/(24*B4*(_xlfn.XLOOKUP($B$1,'Daily KPI'!$A:$A,'Daily KPI'!$AR:$AR)))</f>
        <v>0.37857114593225705</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0.9735325099825678</v>
      </c>
      <c r="M4" s="120">
        <f>_xlfn.XLOOKUP($A$4,'Modelling New'!$D:$D,'Modelling New'!$AI:$AI)</f>
        <v>0.99</v>
      </c>
      <c r="N4" s="121">
        <f>AVERAGEIFS('Daily KPI'!$Q:$Q,'Daily KPI'!$A:$A,"&lt;="&amp;MonthlyKPI!$B$1,'Daily KPI'!$D:$D,$A$4)</f>
        <v>0.99615872376967529</v>
      </c>
      <c r="O4" s="120">
        <f>K4*M4</f>
        <v>0.96029999999999993</v>
      </c>
      <c r="P4" s="122">
        <f>L4*N4</f>
        <v>0.96979290269252338</v>
      </c>
      <c r="Q4" s="116">
        <f>SUMIFS('Daily KPI'!$X:$X,'Daily KPI'!$D:$D,$A$4)/1000</f>
        <v>17696.618999999999</v>
      </c>
      <c r="R4" s="122">
        <f>Q4/F4-1</f>
        <v>2.7615563510935637E-2</v>
      </c>
      <c r="S4" s="116">
        <f>SUMIFS(Input_Raw!BQ:BQ,Input_Raw!A:A,"&gt;="&amp;A4,Input_Raw!A:A,"&lt;="&amp;B1)</f>
        <v>17226.570000000003</v>
      </c>
      <c r="T4" s="119">
        <f>SUMIFS('Daily KPI'!$AI:$AI,'Daily KPI'!$D:$D,$A$4)</f>
        <v>17226.570000000003</v>
      </c>
      <c r="U4" s="200">
        <f>IFERROR(AVERAGEIFS('Daily KPI'!$AN:$AN,'Daily KPI'!$D:$D,MonthlyKPI!$A$4,'Daily KPI'!$A:$A,"&lt;="&amp;MonthlyKPI!$B$1),"")</f>
        <v>2.6274727865336051E-2</v>
      </c>
      <c r="V4" s="199">
        <f>AVERAGEIFS('Daily KPI'!$AO:$AO,'Daily KPI'!$A:$A,"&lt;="&amp;MonthlyKPI!$B$1,'Daily KPI'!$D:$D,$A$4)</f>
        <v>8.5681765531551869E-3</v>
      </c>
    </row>
    <row r="6" spans="1:22" ht="29.25" customHeight="1">
      <c r="Q6" s="2"/>
    </row>
    <row r="7" spans="1:22" ht="29.25" customHeight="1">
      <c r="A7" s="32" t="s">
        <v>67</v>
      </c>
      <c r="B7" s="33">
        <f>B8-6</f>
        <v>45859</v>
      </c>
      <c r="D7" s="36"/>
      <c r="F7" s="36"/>
    </row>
    <row r="8" spans="1:22" ht="29.25" customHeight="1">
      <c r="A8" s="32" t="s">
        <v>68</v>
      </c>
      <c r="B8" s="33">
        <f>B1</f>
        <v>45865</v>
      </c>
    </row>
    <row r="9" spans="1:22" ht="29.25" customHeight="1">
      <c r="A9" s="333" t="s">
        <v>69</v>
      </c>
      <c r="B9" s="334"/>
      <c r="C9" s="334"/>
      <c r="D9" s="334"/>
      <c r="E9" s="334"/>
      <c r="F9" s="334"/>
      <c r="G9" s="334"/>
      <c r="H9" s="334"/>
      <c r="I9" s="334"/>
      <c r="J9" s="334"/>
      <c r="K9" s="334"/>
      <c r="L9" s="334"/>
      <c r="M9" s="334"/>
      <c r="N9" s="334"/>
      <c r="O9" s="334"/>
      <c r="P9" s="334"/>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57</v>
      </c>
      <c r="N10" s="114" t="s">
        <v>58</v>
      </c>
      <c r="O10" s="114" t="s">
        <v>59</v>
      </c>
      <c r="P10" s="114" t="s">
        <v>60</v>
      </c>
      <c r="Q10" s="114" t="s">
        <v>63</v>
      </c>
    </row>
    <row r="11" spans="1:22" s="35" customFormat="1" ht="29.25" customHeight="1">
      <c r="A11" s="115">
        <f>A4</f>
        <v>45839</v>
      </c>
      <c r="B11" s="116">
        <f>(B8-B7)+1</f>
        <v>7</v>
      </c>
      <c r="C11" s="117">
        <f>IFERROR(_xlfn.XLOOKUP($A$11,'Modelling New'!$D:$D,'Modelling New'!$AC:$AC),"")</f>
        <v>8.18</v>
      </c>
      <c r="D11" s="118">
        <f>AVERAGEIFS('Daily KPI'!$M:$M,'Daily KPI'!$A:$A,"&gt;="&amp;$B$7,'Daily KPI'!$A:$A,"&lt;="&amp;$B$8)</f>
        <v>6.6828193403846283</v>
      </c>
      <c r="E11" s="116">
        <f>SUMIFS('Daily KPI'!$AD:$AD,'Daily KPI'!$A:$A,"&gt;="&amp;$B$7,'Daily KPI'!$A:$A,"&lt;="&amp;$B$8)/1000</f>
        <v>6747.1821757241405</v>
      </c>
      <c r="F11" s="119">
        <f>SUMIFS('Daily KPI'!$AA:$AA,'Daily KPI'!$A:$A,"&gt;="&amp;$B$7,'Daily KPI'!$A:$A,"&lt;="&amp;$B$8)/1000</f>
        <v>4834.3500000000004</v>
      </c>
      <c r="G11" s="120">
        <f>E11/(24*$B$11*'Basic Data'!$K$3)</f>
        <v>0.57210539408866989</v>
      </c>
      <c r="H11" s="121">
        <f>F11/(24*B11*'Basic Data'!$K$3)</f>
        <v>0.40991300366300348</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0.98988250054649907</v>
      </c>
      <c r="M11" s="120">
        <f>_xlfn.XLOOKUP($A$4,'Modelling New'!$D:$D,'Modelling New'!$AI:$AI)</f>
        <v>0.99</v>
      </c>
      <c r="N11" s="121">
        <f>AVERAGEIFS('Daily KPI'!$Q:$Q,'Daily KPI'!$A:$A,"&gt;="&amp;$B$7,'Daily KPI'!$A:$A,"&lt;="&amp;$B$8)</f>
        <v>0.99821961758240418</v>
      </c>
      <c r="O11" s="120">
        <f>K11*M11</f>
        <v>0.96029999999999993</v>
      </c>
      <c r="P11" s="122">
        <f>L11*N11</f>
        <v>0.98812013114704034</v>
      </c>
      <c r="Q11" s="116">
        <f>SUMIFS(Input_Raw!BQ:BQ,Input_Raw!A:A,"&gt;="&amp;B7,Input_Raw!A:A,"&lt;="&amp;B8)</f>
        <v>3676.0199999999995</v>
      </c>
    </row>
    <row r="14" spans="1:22" ht="29.25" customHeight="1">
      <c r="A14" s="32" t="s">
        <v>67</v>
      </c>
      <c r="B14" s="33">
        <f>B15-29</f>
        <v>45836</v>
      </c>
      <c r="D14" s="36"/>
      <c r="F14" s="36"/>
    </row>
    <row r="15" spans="1:22" ht="29.25" customHeight="1">
      <c r="A15" s="32" t="s">
        <v>68</v>
      </c>
      <c r="B15" s="33">
        <f>B8</f>
        <v>45865</v>
      </c>
    </row>
    <row r="16" spans="1:22" ht="29.25" customHeight="1">
      <c r="A16" s="333" t="s">
        <v>70</v>
      </c>
      <c r="B16" s="334"/>
      <c r="C16" s="334"/>
      <c r="D16" s="334"/>
      <c r="E16" s="334"/>
      <c r="F16" s="334"/>
      <c r="G16" s="334"/>
      <c r="H16" s="334"/>
      <c r="I16" s="334"/>
      <c r="J16" s="334"/>
      <c r="K16" s="334"/>
      <c r="L16" s="334"/>
      <c r="M16" s="334"/>
      <c r="N16" s="334"/>
      <c r="O16" s="334"/>
      <c r="P16" s="334"/>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57</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6.9481945448591196</v>
      </c>
      <c r="E18" s="116">
        <f>SUMIFS('Daily KPI'!$AD:$AD,'Daily KPI'!$A:$A,"&gt;="&amp;$B$14,'Daily KPI'!$A:$A,"&lt;="&amp;$B$15)/1000</f>
        <v>28429.685358029572</v>
      </c>
      <c r="F18" s="119">
        <f>SUMIFS('Daily KPI'!$X:$X,'Daily KPI'!$A:$A,"&gt;="&amp;$B$14,'Daily KPI'!$A:$A,"&lt;="&amp;$B$15)/1000</f>
        <v>21857.735000000001</v>
      </c>
      <c r="G18" s="120">
        <f>E18/(24*$B$18*'Basic Data'!$K$3)</f>
        <v>0.56247399014778332</v>
      </c>
      <c r="H18" s="121">
        <f>F18/(24*B18*'Basic Data'!$K$3)</f>
        <v>0.43244964783159212</v>
      </c>
      <c r="I18" s="120">
        <v>0.997</v>
      </c>
      <c r="J18" s="121">
        <f>AVERAGEIFS('Daily KPI'!$R:$R,'Daily KPI'!$A:$A,"&gt;="&amp;$B$14,'Daily KPI'!$A:$A,"&lt;="&amp;$B$15)</f>
        <v>1</v>
      </c>
      <c r="K18" s="120">
        <v>0.98599999999999999</v>
      </c>
      <c r="L18" s="121">
        <f>AVERAGEIFS('Daily KPI'!$P:$P,'Daily KPI'!$A:$A,"&gt;="&amp;$B$14,'Daily KPI'!$A:$A,"&lt;="&amp;$B$15)</f>
        <v>0.97091912047350548</v>
      </c>
      <c r="M18" s="120">
        <v>0.995</v>
      </c>
      <c r="N18" s="121">
        <f>AVERAGEIFS('Daily KPI'!$Q:$Q,'Daily KPI'!$A:$A,"&gt;="&amp;$B$14,'Daily KPI'!$A:$A,"&lt;="&amp;$B$15)</f>
        <v>0.9965428513927076</v>
      </c>
      <c r="O18" s="120">
        <f>K18*M18</f>
        <v>0.98107</v>
      </c>
      <c r="P18" s="122">
        <f>L18*N18</f>
        <v>0.96756250878836692</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bottomRight" activeCell="I109" sqref="I109"/>
      <selection pane="bottomLeft" activeCell="AB39" sqref="AB39"/>
      <selection pane="topRight" activeCell="AB39" sqref="AB39"/>
    </sheetView>
  </sheetViews>
  <sheetFormatPr defaultColWidth="8.85546875" defaultRowHeight="14.45"/>
  <cols>
    <col min="1" max="1" width="9.85546875" style="164" bestFit="1" customWidth="1"/>
    <col min="2" max="5" width="9" style="164" customWidth="1"/>
    <col min="6" max="9" width="10.140625" style="164" customWidth="1"/>
    <col min="10" max="12" width="11.140625" style="164" customWidth="1"/>
    <col min="13" max="13" width="15.140625" style="164" bestFit="1" customWidth="1"/>
    <col min="14" max="39" width="11.140625" style="164" customWidth="1"/>
    <col min="40" max="40" width="11.140625" style="178" customWidth="1"/>
    <col min="41" max="43" width="11.140625" style="164" customWidth="1"/>
    <col min="44" max="16384" width="8.85546875" style="164"/>
  </cols>
  <sheetData>
    <row r="1" spans="1:45" ht="57.6">
      <c r="A1" s="160" t="s">
        <v>71</v>
      </c>
      <c r="B1" s="161" t="s">
        <v>3</v>
      </c>
      <c r="C1" s="161" t="s">
        <v>72</v>
      </c>
      <c r="D1" s="161" t="s">
        <v>73</v>
      </c>
      <c r="E1" s="161" t="s">
        <v>46</v>
      </c>
      <c r="F1" s="162" t="s">
        <v>74</v>
      </c>
      <c r="G1" s="162" t="s">
        <v>75</v>
      </c>
      <c r="H1" s="162" t="s">
        <v>76</v>
      </c>
      <c r="I1" s="162" t="s">
        <v>77</v>
      </c>
      <c r="J1" s="162" t="s">
        <v>78</v>
      </c>
      <c r="K1" s="162" t="s">
        <v>79</v>
      </c>
      <c r="L1" s="162" t="s">
        <v>80</v>
      </c>
      <c r="M1" s="162" t="s">
        <v>81</v>
      </c>
      <c r="N1" s="162" t="s">
        <v>82</v>
      </c>
      <c r="O1" s="162" t="s">
        <v>83</v>
      </c>
      <c r="P1" s="162" t="s">
        <v>84</v>
      </c>
      <c r="Q1" s="162" t="s">
        <v>85</v>
      </c>
      <c r="R1" s="162" t="s">
        <v>86</v>
      </c>
      <c r="S1" s="162" t="s">
        <v>87</v>
      </c>
      <c r="T1" s="162" t="s">
        <v>88</v>
      </c>
      <c r="U1" s="162" t="s">
        <v>89</v>
      </c>
      <c r="V1" s="162" t="s">
        <v>90</v>
      </c>
      <c r="W1" s="162" t="s">
        <v>91</v>
      </c>
      <c r="X1" s="162" t="s">
        <v>92</v>
      </c>
      <c r="Y1" s="162" t="s">
        <v>93</v>
      </c>
      <c r="Z1" s="162" t="s">
        <v>94</v>
      </c>
      <c r="AA1" s="162" t="s">
        <v>95</v>
      </c>
      <c r="AB1" s="162" t="s">
        <v>96</v>
      </c>
      <c r="AC1" s="162" t="s">
        <v>97</v>
      </c>
      <c r="AD1" s="162" t="s">
        <v>98</v>
      </c>
      <c r="AE1" s="162" t="s">
        <v>99</v>
      </c>
      <c r="AF1" s="162" t="s">
        <v>100</v>
      </c>
      <c r="AG1" s="162" t="s">
        <v>101</v>
      </c>
      <c r="AH1" s="162" t="s">
        <v>102</v>
      </c>
      <c r="AI1" s="162" t="s">
        <v>64</v>
      </c>
      <c r="AJ1" s="162" t="s">
        <v>103</v>
      </c>
      <c r="AK1" s="162" t="s">
        <v>104</v>
      </c>
      <c r="AL1" s="162" t="s">
        <v>105</v>
      </c>
      <c r="AM1" s="162" t="s">
        <v>106</v>
      </c>
      <c r="AN1" s="163" t="s">
        <v>107</v>
      </c>
      <c r="AO1" s="162" t="s">
        <v>66</v>
      </c>
      <c r="AP1" s="162" t="s">
        <v>108</v>
      </c>
      <c r="AQ1" s="162" t="s">
        <v>109</v>
      </c>
      <c r="AR1" s="162" t="s">
        <v>110</v>
      </c>
      <c r="AS1" s="162" t="s">
        <v>111</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31">
        <f>IFERROR(_xlfn.XLOOKUP($D2,'Modelling New'!$D:$D,'Modelling New'!$N:$N),"")</f>
        <v>70.2</v>
      </c>
      <c r="AS2" s="231"/>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31">
        <f>IFERROR(_xlfn.XLOOKUP($D3,'Modelling New'!$D:$D,'Modelling New'!$N:$N),"")</f>
        <v>70.2</v>
      </c>
      <c r="AS3" s="231"/>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31">
        <f>IFERROR(_xlfn.XLOOKUP($D4,'Modelling New'!$D:$D,'Modelling New'!$N:$N),"")</f>
        <v>70.2</v>
      </c>
      <c r="AS4" s="231"/>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31">
        <f>IFERROR(_xlfn.XLOOKUP($D5,'Modelling New'!$D:$D,'Modelling New'!$N:$N),"")</f>
        <v>70.2</v>
      </c>
      <c r="AS5" s="231"/>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31">
        <f>IFERROR(_xlfn.XLOOKUP($D6,'Modelling New'!$D:$D,'Modelling New'!$N:$N),"")</f>
        <v>70.2</v>
      </c>
      <c r="AS6" s="231"/>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31">
        <f>IFERROR(_xlfn.XLOOKUP($D7,'Modelling New'!$D:$D,'Modelling New'!$N:$N),"")</f>
        <v>70.2</v>
      </c>
      <c r="AS7" s="231"/>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31">
        <f>IFERROR(_xlfn.XLOOKUP($D8,'Modelling New'!$D:$D,'Modelling New'!$N:$N),"")</f>
        <v>70.2</v>
      </c>
      <c r="AS8" s="231"/>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31">
        <f>IFERROR(_xlfn.XLOOKUP($D9,'Modelling New'!$D:$D,'Modelling New'!$N:$N),"")</f>
        <v>70.2</v>
      </c>
      <c r="AS9" s="231"/>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31">
        <f>IFERROR(_xlfn.XLOOKUP($D10,'Modelling New'!$D:$D,'Modelling New'!$N:$N),"")</f>
        <v>70.2</v>
      </c>
      <c r="AS10" s="231"/>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31">
        <f>IFERROR(_xlfn.XLOOKUP($D11,'Modelling New'!$D:$D,'Modelling New'!$N:$N),"")</f>
        <v>70.2</v>
      </c>
      <c r="AS11" s="231"/>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31">
        <f>IFERROR(_xlfn.XLOOKUP($D12,'Modelling New'!$D:$D,'Modelling New'!$N:$N),"")</f>
        <v>70.2</v>
      </c>
      <c r="AS12" s="231"/>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31">
        <f>IFERROR(_xlfn.XLOOKUP($D13,'Modelling New'!$D:$D,'Modelling New'!$N:$N),"")</f>
        <v>70.2</v>
      </c>
      <c r="AS13" s="231"/>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31">
        <f>IFERROR(_xlfn.XLOOKUP($D14,'Modelling New'!$D:$D,'Modelling New'!$N:$N),"")</f>
        <v>70.2</v>
      </c>
      <c r="AS14" s="231"/>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31">
        <f>IFERROR(_xlfn.XLOOKUP($D15,'Modelling New'!$D:$D,'Modelling New'!$N:$N),"")</f>
        <v>70.2</v>
      </c>
      <c r="AS15" s="231"/>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31">
        <f>IFERROR(_xlfn.XLOOKUP($D16,'Modelling New'!$D:$D,'Modelling New'!$N:$N),"")</f>
        <v>70.2</v>
      </c>
      <c r="AS16" s="231"/>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31">
        <f>IFERROR(_xlfn.XLOOKUP($D17,'Modelling New'!$D:$D,'Modelling New'!$N:$N),"")</f>
        <v>70.2</v>
      </c>
      <c r="AS17" s="231"/>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31">
        <f>IFERROR(_xlfn.XLOOKUP($D18,'Modelling New'!$D:$D,'Modelling New'!$N:$N),"")</f>
        <v>70.2</v>
      </c>
      <c r="AS18" s="231"/>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31">
        <f>IFERROR(_xlfn.XLOOKUP($D19,'Modelling New'!$D:$D,'Modelling New'!$N:$N),"")</f>
        <v>70.2</v>
      </c>
      <c r="AS19" s="231"/>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31">
        <f>IFERROR(_xlfn.XLOOKUP($D20,'Modelling New'!$D:$D,'Modelling New'!$N:$N),"")</f>
        <v>70.2</v>
      </c>
      <c r="AS20" s="231"/>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31">
        <f>IFERROR(_xlfn.XLOOKUP($D21,'Modelling New'!$D:$D,'Modelling New'!$N:$N),"")</f>
        <v>70.2</v>
      </c>
      <c r="AS21" s="231"/>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31">
        <f>IFERROR(_xlfn.XLOOKUP($D22,'Modelling New'!$D:$D,'Modelling New'!$N:$N),"")</f>
        <v>70.2</v>
      </c>
      <c r="AS22" s="231"/>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31">
        <f>IFERROR(_xlfn.XLOOKUP($D23,'Modelling New'!$D:$D,'Modelling New'!$N:$N),"")</f>
        <v>70.2</v>
      </c>
      <c r="AS23" s="231"/>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31">
        <f>IFERROR(_xlfn.XLOOKUP($D24,'Modelling New'!$D:$D,'Modelling New'!$N:$N),"")</f>
        <v>70.2</v>
      </c>
      <c r="AS24" s="231"/>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31">
        <f>IFERROR(_xlfn.XLOOKUP($D25,'Modelling New'!$D:$D,'Modelling New'!$N:$N),"")</f>
        <v>70.2</v>
      </c>
      <c r="AS25" s="231"/>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31">
        <f>IFERROR(_xlfn.XLOOKUP($D26,'Modelling New'!$D:$D,'Modelling New'!$N:$N),"")</f>
        <v>70.2</v>
      </c>
      <c r="AS26" s="231"/>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31">
        <f>IFERROR(_xlfn.XLOOKUP($D27,'Modelling New'!$D:$D,'Modelling New'!$N:$N),"")</f>
        <v>70.2</v>
      </c>
      <c r="AS27" s="231"/>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31">
        <f>IFERROR(_xlfn.XLOOKUP($D28,'Modelling New'!$D:$D,'Modelling New'!$N:$N),"")</f>
        <v>70.2</v>
      </c>
      <c r="AS28" s="231"/>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31">
        <f>IFERROR(_xlfn.XLOOKUP($D29,'Modelling New'!$D:$D,'Modelling New'!$N:$N),"")</f>
        <v>70.2</v>
      </c>
      <c r="AS29" s="231"/>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31">
        <f>IFERROR(_xlfn.XLOOKUP($D30,'Modelling New'!$D:$D,'Modelling New'!$N:$N),"")</f>
        <v>70.2</v>
      </c>
      <c r="AS30" s="231"/>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31">
        <f>IFERROR(_xlfn.XLOOKUP($D31,'Modelling New'!$D:$D,'Modelling New'!$N:$N),"")</f>
        <v>70.2</v>
      </c>
      <c r="AS31" s="231"/>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31">
        <f>IFERROR(_xlfn.XLOOKUP($D32,'Modelling New'!$D:$D,'Modelling New'!$N:$N),"")</f>
        <v>70.2</v>
      </c>
      <c r="AS32" s="231"/>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31">
        <f>IFERROR(_xlfn.XLOOKUP($D33,'Modelling New'!$D:$D,'Modelling New'!$N:$N),"")</f>
        <v>70.2</v>
      </c>
      <c r="AS33" s="231"/>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31">
        <f>IFERROR(_xlfn.XLOOKUP($D34,'Modelling New'!$D:$D,'Modelling New'!$N:$N),"")</f>
        <v>70.2</v>
      </c>
      <c r="AS34" s="231"/>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31">
        <f>IFERROR(_xlfn.XLOOKUP($D35,'Modelling New'!$D:$D,'Modelling New'!$N:$N),"")</f>
        <v>70.2</v>
      </c>
      <c r="AS35" s="231"/>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31">
        <f>IFERROR(_xlfn.XLOOKUP($D36,'Modelling New'!$D:$D,'Modelling New'!$N:$N),"")</f>
        <v>70.2</v>
      </c>
      <c r="AS36" s="231"/>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31">
        <f>IFERROR(_xlfn.XLOOKUP($D37,'Modelling New'!$D:$D,'Modelling New'!$N:$N),"")</f>
        <v>70.2</v>
      </c>
      <c r="AS37" s="231"/>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31">
        <f>IFERROR(_xlfn.XLOOKUP($D38,'Modelling New'!$D:$D,'Modelling New'!$N:$N),"")</f>
        <v>70.2</v>
      </c>
      <c r="AS38" s="231"/>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31">
        <f>IFERROR(_xlfn.XLOOKUP($D39,'Modelling New'!$D:$D,'Modelling New'!$N:$N),"")</f>
        <v>70.2</v>
      </c>
      <c r="AS39" s="231"/>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31">
        <f>IFERROR(_xlfn.XLOOKUP($D40,'Modelling New'!$D:$D,'Modelling New'!$N:$N),"")</f>
        <v>70.2</v>
      </c>
      <c r="AS40" s="231"/>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31">
        <f>IFERROR(_xlfn.XLOOKUP($D41,'Modelling New'!$D:$D,'Modelling New'!$N:$N),"")</f>
        <v>70.2</v>
      </c>
      <c r="AS41" s="231"/>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31">
        <f>IFERROR(_xlfn.XLOOKUP($D42,'Modelling New'!$D:$D,'Modelling New'!$N:$N),"")</f>
        <v>70.2</v>
      </c>
      <c r="AS42" s="231"/>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31">
        <f>IFERROR(_xlfn.XLOOKUP($D43,'Modelling New'!$D:$D,'Modelling New'!$N:$N),"")</f>
        <v>70.2</v>
      </c>
      <c r="AS43" s="231"/>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31">
        <f>IFERROR(_xlfn.XLOOKUP($D44,'Modelling New'!$D:$D,'Modelling New'!$N:$N),"")</f>
        <v>70.2</v>
      </c>
      <c r="AS44" s="231"/>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31">
        <f>IFERROR(_xlfn.XLOOKUP($D45,'Modelling New'!$D:$D,'Modelling New'!$N:$N),"")</f>
        <v>70.2</v>
      </c>
      <c r="AS45" s="231"/>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31">
        <f>IFERROR(_xlfn.XLOOKUP($D46,'Modelling New'!$D:$D,'Modelling New'!$N:$N),"")</f>
        <v>70.2</v>
      </c>
      <c r="AS46" s="231"/>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31">
        <f>IFERROR(_xlfn.XLOOKUP($D47,'Modelling New'!$D:$D,'Modelling New'!$N:$N),"")</f>
        <v>70.2</v>
      </c>
      <c r="AS47" s="231"/>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31">
        <f>IFERROR(_xlfn.XLOOKUP($D48,'Modelling New'!$D:$D,'Modelling New'!$N:$N),"")</f>
        <v>70.2</v>
      </c>
      <c r="AS48" s="231"/>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31">
        <f>IFERROR(_xlfn.XLOOKUP($D49,'Modelling New'!$D:$D,'Modelling New'!$N:$N),"")</f>
        <v>70.2</v>
      </c>
      <c r="AS49" s="231"/>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31">
        <f>IFERROR(_xlfn.XLOOKUP($D50,'Modelling New'!$D:$D,'Modelling New'!$N:$N),"")</f>
        <v>70.2</v>
      </c>
      <c r="AS50" s="231"/>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31">
        <f>IFERROR(_xlfn.XLOOKUP($D51,'Modelling New'!$D:$D,'Modelling New'!$N:$N),"")</f>
        <v>70.2</v>
      </c>
      <c r="AS51" s="231"/>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31">
        <f>IFERROR(_xlfn.XLOOKUP($D52,'Modelling New'!$D:$D,'Modelling New'!$N:$N),"")</f>
        <v>70.2</v>
      </c>
      <c r="AS52" s="231"/>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31">
        <f>IFERROR(_xlfn.XLOOKUP($D53,'Modelling New'!$D:$D,'Modelling New'!$N:$N),"")</f>
        <v>70.2</v>
      </c>
      <c r="AS53" s="231"/>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31">
        <f>IFERROR(_xlfn.XLOOKUP($D54,'Modelling New'!$D:$D,'Modelling New'!$N:$N),"")</f>
        <v>70.2</v>
      </c>
      <c r="AS54" s="231"/>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31">
        <f>IFERROR(_xlfn.XLOOKUP($D55,'Modelling New'!$D:$D,'Modelling New'!$N:$N),"")</f>
        <v>70.2</v>
      </c>
      <c r="AS55" s="231"/>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31">
        <f>IFERROR(_xlfn.XLOOKUP($D56,'Modelling New'!$D:$D,'Modelling New'!$N:$N),"")</f>
        <v>70.2</v>
      </c>
      <c r="AS56" s="231"/>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31">
        <f>IFERROR(_xlfn.XLOOKUP($D57,'Modelling New'!$D:$D,'Modelling New'!$N:$N),"")</f>
        <v>70.2</v>
      </c>
      <c r="AS57" s="231"/>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31">
        <f>IFERROR(_xlfn.XLOOKUP($D58,'Modelling New'!$D:$D,'Modelling New'!$N:$N),"")</f>
        <v>70.2</v>
      </c>
      <c r="AS58" s="231"/>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31">
        <f>IFERROR(_xlfn.XLOOKUP($D59,'Modelling New'!$D:$D,'Modelling New'!$N:$N),"")</f>
        <v>70.2</v>
      </c>
      <c r="AS59" s="231"/>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31">
        <f>IFERROR(_xlfn.XLOOKUP($D60,'Modelling New'!$D:$D,'Modelling New'!$N:$N),"")</f>
        <v>70.2</v>
      </c>
      <c r="AS60" s="231"/>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31">
        <f>IFERROR(_xlfn.XLOOKUP($D61,'Modelling New'!$D:$D,'Modelling New'!$N:$N),"")</f>
        <v>70.2</v>
      </c>
      <c r="AS61" s="231"/>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31">
        <f>IFERROR(_xlfn.XLOOKUP($D62,'Modelling New'!$D:$D,'Modelling New'!$N:$N),"")</f>
        <v>70.2</v>
      </c>
      <c r="AS62" s="231"/>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31">
        <f>IFERROR(_xlfn.XLOOKUP($D63,'Modelling New'!$D:$D,'Modelling New'!$N:$N),"")</f>
        <v>70.2</v>
      </c>
      <c r="AS63" s="231"/>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31">
        <f>IFERROR(_xlfn.XLOOKUP($D64,'Modelling New'!$D:$D,'Modelling New'!$N:$N),"")</f>
        <v>70.2</v>
      </c>
      <c r="AS64" s="231"/>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31">
        <f>IFERROR(_xlfn.XLOOKUP($D65,'Modelling New'!$D:$D,'Modelling New'!$N:$N),"")</f>
        <v>70.2</v>
      </c>
      <c r="AS65" s="231"/>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31">
        <f>IFERROR(_xlfn.XLOOKUP($D66,'Modelling New'!$D:$D,'Modelling New'!$N:$N),"")</f>
        <v>70.2</v>
      </c>
      <c r="AS66" s="231"/>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31">
        <f>IFERROR(_xlfn.XLOOKUP($D67,'Modelling New'!$D:$D,'Modelling New'!$N:$N),"")</f>
        <v>70.2</v>
      </c>
      <c r="AS67" s="231"/>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31">
        <f>IFERROR(_xlfn.XLOOKUP($D68,'Modelling New'!$D:$D,'Modelling New'!$N:$N),"")</f>
        <v>70.2</v>
      </c>
      <c r="AS68" s="231"/>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31">
        <f>IFERROR(_xlfn.XLOOKUP($D69,'Modelling New'!$D:$D,'Modelling New'!$N:$N),"")</f>
        <v>70.2</v>
      </c>
      <c r="AS69" s="231"/>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31">
        <f>IFERROR(_xlfn.XLOOKUP($D70,'Modelling New'!$D:$D,'Modelling New'!$N:$N),"")</f>
        <v>70.2</v>
      </c>
      <c r="AS70" s="231"/>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31">
        <f>IFERROR(_xlfn.XLOOKUP($D71,'Modelling New'!$D:$D,'Modelling New'!$N:$N),"")</f>
        <v>70.2</v>
      </c>
      <c r="AS71" s="231"/>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31">
        <f>IFERROR(_xlfn.XLOOKUP($D72,'Modelling New'!$D:$D,'Modelling New'!$N:$N),"")</f>
        <v>70.2</v>
      </c>
      <c r="AS72" s="231"/>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31">
        <f>IFERROR(_xlfn.XLOOKUP($D73,'Modelling New'!$D:$D,'Modelling New'!$N:$N),"")</f>
        <v>70.2</v>
      </c>
      <c r="AS73" s="231"/>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31">
        <f>IFERROR(_xlfn.XLOOKUP($D74,'Modelling New'!$D:$D,'Modelling New'!$N:$N),"")</f>
        <v>70.2</v>
      </c>
      <c r="AS74" s="231"/>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31">
        <f>IFERROR(_xlfn.XLOOKUP($D75,'Modelling New'!$D:$D,'Modelling New'!$N:$N),"")</f>
        <v>70.2</v>
      </c>
      <c r="AS75" s="231"/>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31">
        <f>IFERROR(_xlfn.XLOOKUP($D76,'Modelling New'!$D:$D,'Modelling New'!$N:$N),"")</f>
        <v>70.2</v>
      </c>
      <c r="AS76" s="231"/>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31">
        <f>IFERROR(_xlfn.XLOOKUP($D77,'Modelling New'!$D:$D,'Modelling New'!$N:$N),"")</f>
        <v>70.2</v>
      </c>
      <c r="AS77" s="231"/>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31">
        <f>IFERROR(_xlfn.XLOOKUP($D78,'Modelling New'!$D:$D,'Modelling New'!$N:$N),"")</f>
        <v>70.2</v>
      </c>
      <c r="AS78" s="231"/>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31">
        <f>IFERROR(_xlfn.XLOOKUP($D79,'Modelling New'!$D:$D,'Modelling New'!$N:$N),"")</f>
        <v>70.2</v>
      </c>
      <c r="AS79" s="231"/>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31">
        <f>IFERROR(_xlfn.XLOOKUP($D80,'Modelling New'!$D:$D,'Modelling New'!$N:$N),"")</f>
        <v>70.2</v>
      </c>
      <c r="AS80" s="231"/>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31">
        <f>IFERROR(_xlfn.XLOOKUP($D81,'Modelling New'!$D:$D,'Modelling New'!$N:$N),"")</f>
        <v>70.2</v>
      </c>
      <c r="AS81" s="231"/>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31">
        <f>IFERROR(_xlfn.XLOOKUP($D82,'Modelling New'!$D:$D,'Modelling New'!$N:$N),"")</f>
        <v>70.2</v>
      </c>
      <c r="AS82" s="231"/>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31">
        <f>IFERROR(_xlfn.XLOOKUP($D83,'Modelling New'!$D:$D,'Modelling New'!$N:$N),"")</f>
        <v>70.2</v>
      </c>
      <c r="AS83" s="231"/>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31">
        <f>IFERROR(_xlfn.XLOOKUP($D84,'Modelling New'!$D:$D,'Modelling New'!$N:$N),"")</f>
        <v>70.2</v>
      </c>
      <c r="AS84" s="231"/>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31">
        <f>IFERROR(_xlfn.XLOOKUP($D85,'Modelling New'!$D:$D,'Modelling New'!$N:$N),"")</f>
        <v>70.2</v>
      </c>
      <c r="AS85" s="231"/>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31">
        <f>IFERROR(_xlfn.XLOOKUP($D86,'Modelling New'!$D:$D,'Modelling New'!$N:$N),"")</f>
        <v>70.2</v>
      </c>
      <c r="AS86" s="231"/>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31">
        <f>IFERROR(_xlfn.XLOOKUP($D87,'Modelling New'!$D:$D,'Modelling New'!$N:$N),"")</f>
        <v>70.2</v>
      </c>
      <c r="AS87" s="231"/>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31">
        <f>IFERROR(_xlfn.XLOOKUP($D88,'Modelling New'!$D:$D,'Modelling New'!$N:$N),"")</f>
        <v>70.2</v>
      </c>
      <c r="AS88" s="231"/>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31">
        <f>IFERROR(_xlfn.XLOOKUP($D89,'Modelling New'!$D:$D,'Modelling New'!$N:$N),"")</f>
        <v>70.2</v>
      </c>
      <c r="AS89" s="231"/>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31">
        <f>IFERROR(_xlfn.XLOOKUP($D90,'Modelling New'!$D:$D,'Modelling New'!$N:$N),"")</f>
        <v>70.2</v>
      </c>
      <c r="AS90" s="231"/>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31">
        <f>IFERROR(_xlfn.XLOOKUP($D91,'Modelling New'!$D:$D,'Modelling New'!$N:$N),"")</f>
        <v>70.2</v>
      </c>
      <c r="AS91" s="231"/>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31">
        <f>IFERROR(_xlfn.XLOOKUP($D92,'Modelling New'!$D:$D,'Modelling New'!$N:$N),"")</f>
        <v>70.2</v>
      </c>
      <c r="AS92" s="231"/>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31">
        <f>IFERROR(_xlfn.XLOOKUP($D93,'Modelling New'!$D:$D,'Modelling New'!$N:$N),"")</f>
        <v>70.2</v>
      </c>
      <c r="AS93" s="231"/>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31">
        <f>IFERROR(_xlfn.XLOOKUP($D94,'Modelling New'!$D:$D,'Modelling New'!$N:$N),"")</f>
        <v>70.2</v>
      </c>
      <c r="AS94" s="231"/>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31">
        <f>IFERROR(_xlfn.XLOOKUP($D95,'Modelling New'!$D:$D,'Modelling New'!$N:$N),"")</f>
        <v>70.2</v>
      </c>
      <c r="AS95" s="231"/>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31">
        <f>IFERROR(_xlfn.XLOOKUP($D96,'Modelling New'!$D:$D,'Modelling New'!$N:$N),"")</f>
        <v>70.2</v>
      </c>
      <c r="AS96" s="231"/>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31">
        <f>IFERROR(_xlfn.XLOOKUP($D97,'Modelling New'!$D:$D,'Modelling New'!$N:$N),"")</f>
        <v>70.2</v>
      </c>
      <c r="AS97" s="231"/>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31">
        <f>IFERROR(_xlfn.XLOOKUP($D98,'Modelling New'!$D:$D,'Modelling New'!$N:$N),"")</f>
        <v>70.2</v>
      </c>
      <c r="AS98" s="231"/>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31">
        <f>IFERROR(_xlfn.XLOOKUP($D99,'Modelling New'!$D:$D,'Modelling New'!$N:$N),"")</f>
        <v>70.2</v>
      </c>
      <c r="AS99" s="231"/>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31">
        <f>IFERROR(_xlfn.XLOOKUP($D100,'Modelling New'!$D:$D,'Modelling New'!$N:$N),"")</f>
        <v>70.2</v>
      </c>
      <c r="AS100" s="231"/>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31">
        <f>IFERROR(_xlfn.XLOOKUP($D101,'Modelling New'!$D:$D,'Modelling New'!$N:$N),"")</f>
        <v>70.2</v>
      </c>
      <c r="AS101" s="231"/>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31">
        <f>IFERROR(_xlfn.XLOOKUP($D102,'Modelling New'!$D:$D,'Modelling New'!$N:$N),"")</f>
        <v>70.2</v>
      </c>
      <c r="AS102" s="231"/>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31">
        <f>IFERROR(_xlfn.XLOOKUP($D103,'Modelling New'!$D:$D,'Modelling New'!$N:$N),"")</f>
        <v>70.2</v>
      </c>
      <c r="AS103" s="231"/>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31">
        <f>IFERROR(_xlfn.XLOOKUP($D104,'Modelling New'!$D:$D,'Modelling New'!$N:$N),"")</f>
        <v>70.2</v>
      </c>
      <c r="AS104" s="231"/>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31">
        <f>IFERROR(_xlfn.XLOOKUP($D105,'Modelling New'!$D:$D,'Modelling New'!$N:$N),"")</f>
        <v>70.2</v>
      </c>
      <c r="AS105" s="231"/>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31">
        <f>IFERROR(_xlfn.XLOOKUP($D106,'Modelling New'!$D:$D,'Modelling New'!$N:$N),"")</f>
        <v>70.2</v>
      </c>
      <c r="AS106" s="231"/>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31">
        <f>IFERROR(_xlfn.XLOOKUP($D107,'Modelling New'!$D:$D,'Modelling New'!$N:$N),"")</f>
        <v>70.2</v>
      </c>
      <c r="AS107" s="231"/>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31">
        <f>IFERROR(_xlfn.XLOOKUP($D108,'Modelling New'!$D:$D,'Modelling New'!$N:$N),"")</f>
        <v>70.2</v>
      </c>
      <c r="AS108" s="231"/>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31">
        <f>IFERROR(_xlfn.XLOOKUP($D109,'Modelling New'!$D:$D,'Modelling New'!$N:$N),"")</f>
        <v>70.2</v>
      </c>
      <c r="AS109" s="231"/>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31">
        <f>IFERROR(_xlfn.XLOOKUP($D110,'Modelling New'!$D:$D,'Modelling New'!$N:$N),"")</f>
        <v>70.2</v>
      </c>
      <c r="AS110" s="231"/>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31">
        <f>IFERROR(_xlfn.XLOOKUP($D111,'Modelling New'!$D:$D,'Modelling New'!$N:$N),"")</f>
        <v>70.2</v>
      </c>
      <c r="AS111" s="231"/>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31">
        <f>IFERROR(_xlfn.XLOOKUP($D112,'Modelling New'!$D:$D,'Modelling New'!$N:$N),"")</f>
        <v>70.2</v>
      </c>
      <c r="AS112" s="231"/>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31">
        <f>IFERROR(_xlfn.XLOOKUP($D113,'Modelling New'!$D:$D,'Modelling New'!$N:$N),"")</f>
        <v>70.2</v>
      </c>
      <c r="AS113" s="231"/>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31">
        <f>IFERROR(_xlfn.XLOOKUP($D114,'Modelling New'!$D:$D,'Modelling New'!$N:$N),"")</f>
        <v>70.2</v>
      </c>
      <c r="AS114" s="231"/>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31">
        <f>IFERROR(_xlfn.XLOOKUP($D115,'Modelling New'!$D:$D,'Modelling New'!$N:$N),"")</f>
        <v>70.2</v>
      </c>
      <c r="AS115" s="231"/>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31">
        <f>IFERROR(_xlfn.XLOOKUP($D116,'Modelling New'!$D:$D,'Modelling New'!$N:$N),"")</f>
        <v>70.2</v>
      </c>
      <c r="AS116" s="231"/>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31">
        <f>IFERROR(_xlfn.XLOOKUP($D117,'Modelling New'!$D:$D,'Modelling New'!$N:$N),"")</f>
        <v>70.2</v>
      </c>
      <c r="AS117" s="231"/>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31">
        <f>IFERROR(_xlfn.XLOOKUP($D118,'Modelling New'!$D:$D,'Modelling New'!$N:$N),"")</f>
        <v>70.2</v>
      </c>
      <c r="AS118" s="231"/>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31">
        <f>IFERROR(_xlfn.XLOOKUP($D119,'Modelling New'!$D:$D,'Modelling New'!$N:$N),"")</f>
        <v>70.2</v>
      </c>
      <c r="AS119" s="231"/>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31">
        <f>IFERROR(_xlfn.XLOOKUP($D120,'Modelling New'!$D:$D,'Modelling New'!$N:$N),"")</f>
        <v>70.2</v>
      </c>
      <c r="AS120" s="231"/>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31">
        <f>IFERROR(_xlfn.XLOOKUP($D121,'Modelling New'!$D:$D,'Modelling New'!$N:$N),"")</f>
        <v>70.2</v>
      </c>
      <c r="AS121" s="231"/>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9.2480769230769244</v>
      </c>
      <c r="N122" s="170">
        <f>IFERROR(_xlfn.XLOOKUP($A122,Input_Raw!$A:$A,Input_Raw!BH:BH),"")</f>
        <v>0</v>
      </c>
      <c r="O122" s="173">
        <f t="shared" si="9"/>
        <v>0.99822012124880233</v>
      </c>
      <c r="P122" s="173">
        <f>IFERROR(1-SUMIF(WTG_BD!$F:$F,$A122,WTG_BD!$AA:$AA)/($AA122+SUMIF(WTG_BD!$F:$F,$A122,WTG_BD!$AA:$AA)),"")</f>
        <v>0.99822012124880233</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1441324</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0</v>
      </c>
      <c r="AJ122" s="167"/>
      <c r="AK122" s="167"/>
      <c r="AL122" s="167"/>
      <c r="AM122" s="167"/>
      <c r="AN122" s="175">
        <f>IFERROR(_xlfn.XLOOKUP($A122,Input_Raw!$A:$A,Input_Raw!$BN:$BN),"")</f>
        <v>3.557423591087084E-2</v>
      </c>
      <c r="AO122" s="174">
        <f>IFERROR((_xlfn.XLOOKUP($A122,'WTG Reactive Power'!$A:$A,'WTG Reactive Power'!$AE:$AE))/Table13[[#This Row],[Gen_Exp (kWh)]],"")</f>
        <v>3.122004490315849E-3</v>
      </c>
      <c r="AP122" s="174">
        <f>IFERROR(_xlfn.XLOOKUP($D122,'Modelling New'!$D:$D,'Modelling New'!$AK:$AK),"")</f>
        <v>0.05</v>
      </c>
      <c r="AQ122" s="174">
        <f>IFERROR(_xlfn.XLOOKUP($D122,'Modelling New'!$D:$D,'Modelling New'!$AL:$AL),"")</f>
        <v>0.05</v>
      </c>
      <c r="AR122" s="231">
        <f>IFERROR(_xlfn.XLOOKUP($D122,'Modelling New'!$D:$D,'Modelling New'!$N:$N),"")</f>
        <v>70.2</v>
      </c>
      <c r="AS122" s="231"/>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31">
        <f>IFERROR(_xlfn.XLOOKUP($D123,'Modelling New'!$D:$D,'Modelling New'!$N:$N),"")</f>
        <v>70.2</v>
      </c>
      <c r="AS123" s="231"/>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31">
        <f>IFERROR(_xlfn.XLOOKUP($D124,'Modelling New'!$D:$D,'Modelling New'!$N:$N),"")</f>
        <v>70.2</v>
      </c>
      <c r="AS124" s="231"/>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31">
        <f>IFERROR(_xlfn.XLOOKUP($D125,'Modelling New'!$D:$D,'Modelling New'!$N:$N),"")</f>
        <v>70.2</v>
      </c>
      <c r="AS125" s="231"/>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31">
        <f>IFERROR(_xlfn.XLOOKUP($D126,'Modelling New'!$D:$D,'Modelling New'!$N:$N),"")</f>
        <v>70.2</v>
      </c>
      <c r="AS126" s="231"/>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31">
        <f>IFERROR(_xlfn.XLOOKUP($D127,'Modelling New'!$D:$D,'Modelling New'!$N:$N),"")</f>
        <v>70.2</v>
      </c>
      <c r="AS127" s="231"/>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31">
        <f>IFERROR(_xlfn.XLOOKUP($D128,'Modelling New'!$D:$D,'Modelling New'!$N:$N),"")</f>
        <v>70.2</v>
      </c>
      <c r="AS128" s="231"/>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31">
        <f>IFERROR(_xlfn.XLOOKUP($D129,'Modelling New'!$D:$D,'Modelling New'!$N:$N),"")</f>
        <v>70.2</v>
      </c>
      <c r="AS129" s="231"/>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31">
        <f>IFERROR(_xlfn.XLOOKUP($D130,'Modelling New'!$D:$D,'Modelling New'!$N:$N),"")</f>
        <v>70.2</v>
      </c>
      <c r="AS130" s="231"/>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31">
        <f>IFERROR(_xlfn.XLOOKUP($D131,'Modelling New'!$D:$D,'Modelling New'!$N:$N),"")</f>
        <v>70.2</v>
      </c>
      <c r="AS131" s="231"/>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31">
        <f>IFERROR(_xlfn.XLOOKUP($D132,'Modelling New'!$D:$D,'Modelling New'!$N:$N),"")</f>
        <v>70.2</v>
      </c>
      <c r="AS132" s="231"/>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31">
        <f>IFERROR(_xlfn.XLOOKUP($D133,'Modelling New'!$D:$D,'Modelling New'!$N:$N),"")</f>
        <v>70.2</v>
      </c>
      <c r="AS133" s="231"/>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31">
        <f>IFERROR(_xlfn.XLOOKUP($D134,'Modelling New'!$D:$D,'Modelling New'!$N:$N),"")</f>
        <v>70.2</v>
      </c>
      <c r="AS134" s="231"/>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31">
        <f>IFERROR(_xlfn.XLOOKUP($D135,'Modelling New'!$D:$D,'Modelling New'!$N:$N),"")</f>
        <v>70.2</v>
      </c>
      <c r="AS135" s="231"/>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31">
        <f>IFERROR(_xlfn.XLOOKUP($D136,'Modelling New'!$D:$D,'Modelling New'!$N:$N),"")</f>
        <v>70.2</v>
      </c>
      <c r="AS136" s="231"/>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31">
        <f>IFERROR(_xlfn.XLOOKUP($D137,'Modelling New'!$D:$D,'Modelling New'!$N:$N),"")</f>
        <v>70.2</v>
      </c>
      <c r="AS137" s="231"/>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31">
        <f>IFERROR(_xlfn.XLOOKUP($D138,'Modelling New'!$D:$D,'Modelling New'!$N:$N),"")</f>
        <v>70.2</v>
      </c>
      <c r="AS138" s="231"/>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31">
        <f>IFERROR(_xlfn.XLOOKUP($D139,'Modelling New'!$D:$D,'Modelling New'!$N:$N),"")</f>
        <v>70.2</v>
      </c>
      <c r="AS139" s="231"/>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31">
        <f>IFERROR(_xlfn.XLOOKUP($D140,'Modelling New'!$D:$D,'Modelling New'!$N:$N),"")</f>
        <v>70.2</v>
      </c>
      <c r="AS140" s="231"/>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31">
        <f>IFERROR(_xlfn.XLOOKUP($D141,'Modelling New'!$D:$D,'Modelling New'!$N:$N),"")</f>
        <v>70.2</v>
      </c>
      <c r="AS141" s="231"/>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31">
        <f>IFERROR(_xlfn.XLOOKUP($D142,'Modelling New'!$D:$D,'Modelling New'!$N:$N),"")</f>
        <v>70.2</v>
      </c>
      <c r="AS142" s="231"/>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31">
        <f>IFERROR(_xlfn.XLOOKUP($D143,'Modelling New'!$D:$D,'Modelling New'!$N:$N),"")</f>
        <v>70.2</v>
      </c>
      <c r="AS143" s="231"/>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31">
        <f>IFERROR(_xlfn.XLOOKUP($D144,'Modelling New'!$D:$D,'Modelling New'!$N:$N),"")</f>
        <v>70.2</v>
      </c>
      <c r="AS144" s="231"/>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31">
        <f>IFERROR(_xlfn.XLOOKUP($D145,'Modelling New'!$D:$D,'Modelling New'!$N:$N),"")</f>
        <v>70.2</v>
      </c>
      <c r="AS145" s="231"/>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31">
        <f>IFERROR(_xlfn.XLOOKUP($D146,'Modelling New'!$D:$D,'Modelling New'!$N:$N),"")</f>
        <v>70.2</v>
      </c>
      <c r="AS146" s="231"/>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31">
        <f>IFERROR(_xlfn.XLOOKUP($D147,'Modelling New'!$D:$D,'Modelling New'!$N:$N),"")</f>
        <v>70.2</v>
      </c>
      <c r="AS147" s="231"/>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31">
        <f>IFERROR(_xlfn.XLOOKUP($D148,'Modelling New'!$D:$D,'Modelling New'!$N:$N),"")</f>
        <v>70.2</v>
      </c>
      <c r="AS148" s="231"/>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31">
        <f>IFERROR(_xlfn.XLOOKUP($D149,'Modelling New'!$D:$D,'Modelling New'!$N:$N),"")</f>
        <v>70.2</v>
      </c>
      <c r="AS149" s="231"/>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31">
        <f>IFERROR(_xlfn.XLOOKUP($D150,'Modelling New'!$D:$D,'Modelling New'!$N:$N),"")</f>
        <v>70.2</v>
      </c>
      <c r="AS150" s="231"/>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31">
        <f>IFERROR(_xlfn.XLOOKUP($D151,'Modelling New'!$D:$D,'Modelling New'!$N:$N),"")</f>
        <v>70.2</v>
      </c>
      <c r="AS151" s="231"/>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31">
        <f>IFERROR(_xlfn.XLOOKUP($D152,'Modelling New'!$D:$D,'Modelling New'!$N:$N),"")</f>
        <v>70.2</v>
      </c>
      <c r="AS152" s="231"/>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31">
        <f>IFERROR(_xlfn.XLOOKUP($D153,'Modelling New'!$D:$D,'Modelling New'!$N:$N),"")</f>
        <v>70.2</v>
      </c>
      <c r="AS153" s="231"/>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31">
        <f>IFERROR(_xlfn.XLOOKUP($D154,'Modelling New'!$D:$D,'Modelling New'!$N:$N),"")</f>
        <v>70.2</v>
      </c>
      <c r="AS154" s="231"/>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31">
        <f>IFERROR(_xlfn.XLOOKUP($D155,'Modelling New'!$D:$D,'Modelling New'!$N:$N),"")</f>
        <v>70.2</v>
      </c>
      <c r="AS155" s="231"/>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31">
        <f>IFERROR(_xlfn.XLOOKUP($D156,'Modelling New'!$D:$D,'Modelling New'!$N:$N),"")</f>
        <v>70.2</v>
      </c>
      <c r="AS156" s="231"/>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31">
        <f>IFERROR(_xlfn.XLOOKUP($D157,'Modelling New'!$D:$D,'Modelling New'!$N:$N),"")</f>
        <v>70.2</v>
      </c>
      <c r="AS157" s="231"/>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31">
        <f>IFERROR(_xlfn.XLOOKUP($D158,'Modelling New'!$D:$D,'Modelling New'!$N:$N),"")</f>
        <v>70.2</v>
      </c>
      <c r="AS158" s="231"/>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31">
        <f>IFERROR(_xlfn.XLOOKUP($D159,'Modelling New'!$D:$D,'Modelling New'!$N:$N),"")</f>
        <v>70.2</v>
      </c>
      <c r="AS159" s="231"/>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31">
        <f>IFERROR(_xlfn.XLOOKUP($D160,'Modelling New'!$D:$D,'Modelling New'!$N:$N),"")</f>
        <v>70.2</v>
      </c>
      <c r="AS160" s="231"/>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31">
        <f>IFERROR(_xlfn.XLOOKUP($D161,'Modelling New'!$D:$D,'Modelling New'!$N:$N),"")</f>
        <v>70.2</v>
      </c>
      <c r="AS161" s="231"/>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31">
        <f>IFERROR(_xlfn.XLOOKUP($D162,'Modelling New'!$D:$D,'Modelling New'!$N:$N),"")</f>
        <v>70.2</v>
      </c>
      <c r="AS162" s="231"/>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31">
        <f>IFERROR(_xlfn.XLOOKUP($D163,'Modelling New'!$D:$D,'Modelling New'!$N:$N),"")</f>
        <v>70.2</v>
      </c>
      <c r="AS163" s="231"/>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31">
        <f>IFERROR(_xlfn.XLOOKUP($D164,'Modelling New'!$D:$D,'Modelling New'!$N:$N),"")</f>
        <v>70.2</v>
      </c>
      <c r="AS164" s="231"/>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31">
        <f>IFERROR(_xlfn.XLOOKUP($D165,'Modelling New'!$D:$D,'Modelling New'!$N:$N),"")</f>
        <v>70.2</v>
      </c>
      <c r="AS165" s="231"/>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31">
        <f>IFERROR(_xlfn.XLOOKUP($D166,'Modelling New'!$D:$D,'Modelling New'!$N:$N),"")</f>
        <v>70.2</v>
      </c>
      <c r="AS166" s="231"/>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31">
        <f>IFERROR(_xlfn.XLOOKUP($D167,'Modelling New'!$D:$D,'Modelling New'!$N:$N),"")</f>
        <v>70.2</v>
      </c>
      <c r="AS167" s="231"/>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31">
        <f>IFERROR(_xlfn.XLOOKUP($D168,'Modelling New'!$D:$D,'Modelling New'!$N:$N),"")</f>
        <v>70.2</v>
      </c>
      <c r="AS168" s="231"/>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31">
        <f>IFERROR(_xlfn.XLOOKUP($D169,'Modelling New'!$D:$D,'Modelling New'!$N:$N),"")</f>
        <v>70.2</v>
      </c>
      <c r="AS169" s="231"/>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31">
        <f>IFERROR(_xlfn.XLOOKUP($D170,'Modelling New'!$D:$D,'Modelling New'!$N:$N),"")</f>
        <v>70.2</v>
      </c>
      <c r="AS170" s="231"/>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31">
        <f>IFERROR(_xlfn.XLOOKUP($D171,'Modelling New'!$D:$D,'Modelling New'!$N:$N),"")</f>
        <v>70.2</v>
      </c>
      <c r="AS171" s="231"/>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31">
        <f>IFERROR(_xlfn.XLOOKUP($D172,'Modelling New'!$D:$D,'Modelling New'!$N:$N),"")</f>
        <v>70.2</v>
      </c>
      <c r="AS172" s="231"/>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31">
        <f>IFERROR(_xlfn.XLOOKUP($D173,'Modelling New'!$D:$D,'Modelling New'!$N:$N),"")</f>
        <v>70.2</v>
      </c>
      <c r="AS173" s="231"/>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31">
        <f>IFERROR(_xlfn.XLOOKUP($D174,'Modelling New'!$D:$D,'Modelling New'!$N:$N),"")</f>
        <v>70.2</v>
      </c>
      <c r="AS174" s="231"/>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31">
        <f>IFERROR(_xlfn.XLOOKUP($D175,'Modelling New'!$D:$D,'Modelling New'!$N:$N),"")</f>
        <v>70.2</v>
      </c>
      <c r="AS175" s="231"/>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31">
        <f>IFERROR(_xlfn.XLOOKUP($D176,'Modelling New'!$D:$D,'Modelling New'!$N:$N),"")</f>
        <v>70.2</v>
      </c>
      <c r="AS176" s="231"/>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31">
        <f>IFERROR(_xlfn.XLOOKUP($D177,'Modelling New'!$D:$D,'Modelling New'!$N:$N),"")</f>
        <v>70.2</v>
      </c>
      <c r="AS177" s="231"/>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31">
        <f>IFERROR(_xlfn.XLOOKUP($D178,'Modelling New'!$D:$D,'Modelling New'!$N:$N),"")</f>
        <v>70.2</v>
      </c>
      <c r="AS178" s="231"/>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31">
        <f>IFERROR(_xlfn.XLOOKUP($D179,'Modelling New'!$D:$D,'Modelling New'!$N:$N),"")</f>
        <v>70.2</v>
      </c>
      <c r="AS179" s="231"/>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31">
        <f>IFERROR(_xlfn.XLOOKUP($D180,'Modelling New'!$D:$D,'Modelling New'!$N:$N),"")</f>
        <v>70.2</v>
      </c>
      <c r="AS180" s="231"/>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31">
        <f>IFERROR(_xlfn.XLOOKUP($D181,'Modelling New'!$D:$D,'Modelling New'!$N:$N),"")</f>
        <v>70.2</v>
      </c>
      <c r="AS181" s="231"/>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31">
        <f>IFERROR(_xlfn.XLOOKUP($D182,'Modelling New'!$D:$D,'Modelling New'!$N:$N),"")</f>
        <v>70.2</v>
      </c>
      <c r="AS182" s="231"/>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31">
        <f>IFERROR(_xlfn.XLOOKUP($D183,'Modelling New'!$D:$D,'Modelling New'!$N:$N),"")</f>
        <v>70.2</v>
      </c>
      <c r="AS183" s="231"/>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31">
        <f>IFERROR(_xlfn.XLOOKUP($D184,'Modelling New'!$D:$D,'Modelling New'!$N:$N),"")</f>
        <v>70.2</v>
      </c>
      <c r="AS184" s="231"/>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31">
        <f>IFERROR(_xlfn.XLOOKUP($D185,'Modelling New'!$D:$D,'Modelling New'!$N:$N),"")</f>
        <v>70.2</v>
      </c>
      <c r="AS185" s="231"/>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31">
        <f>IFERROR(_xlfn.XLOOKUP($D186,'Modelling New'!$D:$D,'Modelling New'!$N:$N),"")</f>
        <v>70.2</v>
      </c>
      <c r="AS186" s="231"/>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31">
        <f>IFERROR(_xlfn.XLOOKUP($D187,'Modelling New'!$D:$D,'Modelling New'!$N:$N),"")</f>
        <v>70.2</v>
      </c>
      <c r="AS187" s="231"/>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31">
        <f>IFERROR(_xlfn.XLOOKUP($D188,'Modelling New'!$D:$D,'Modelling New'!$N:$N),"")</f>
        <v>70.2</v>
      </c>
      <c r="AS188" s="231"/>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31">
        <f>IFERROR(_xlfn.XLOOKUP($D189,'Modelling New'!$D:$D,'Modelling New'!$N:$N),"")</f>
        <v>70.2</v>
      </c>
      <c r="AS189" s="231"/>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31">
        <f>IFERROR(_xlfn.XLOOKUP($D190,'Modelling New'!$D:$D,'Modelling New'!$N:$N),"")</f>
        <v>70.2</v>
      </c>
      <c r="AS190" s="231"/>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31">
        <f>IFERROR(_xlfn.XLOOKUP($D191,'Modelling New'!$D:$D,'Modelling New'!$N:$N),"")</f>
        <v>70.2</v>
      </c>
      <c r="AS191" s="231"/>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31">
        <f>IFERROR(_xlfn.XLOOKUP($D192,'Modelling New'!$D:$D,'Modelling New'!$N:$N),"")</f>
        <v>70.2</v>
      </c>
      <c r="AS192" s="231"/>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31">
        <f>IFERROR(_xlfn.XLOOKUP($D193,'Modelling New'!$D:$D,'Modelling New'!$N:$N),"")</f>
        <v>70.2</v>
      </c>
      <c r="AS193" s="231"/>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31">
        <f>IFERROR(_xlfn.XLOOKUP($D194,'Modelling New'!$D:$D,'Modelling New'!$N:$N),"")</f>
        <v>70.2</v>
      </c>
      <c r="AS194" s="231"/>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31">
        <f>IFERROR(_xlfn.XLOOKUP($D195,'Modelling New'!$D:$D,'Modelling New'!$N:$N),"")</f>
        <v>70.2</v>
      </c>
      <c r="AS195" s="231"/>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31">
        <f>IFERROR(_xlfn.XLOOKUP($D196,'Modelling New'!$D:$D,'Modelling New'!$N:$N),"")</f>
        <v>70.2</v>
      </c>
      <c r="AS196" s="231"/>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31">
        <f>IFERROR(_xlfn.XLOOKUP($D197,'Modelling New'!$D:$D,'Modelling New'!$N:$N),"")</f>
        <v>70.2</v>
      </c>
      <c r="AS197" s="231"/>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31">
        <f>IFERROR(_xlfn.XLOOKUP($D198,'Modelling New'!$D:$D,'Modelling New'!$N:$N),"")</f>
        <v>70.2</v>
      </c>
      <c r="AS198" s="231"/>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31">
        <f>IFERROR(_xlfn.XLOOKUP($D199,'Modelling New'!$D:$D,'Modelling New'!$N:$N),"")</f>
        <v>70.2</v>
      </c>
      <c r="AS199" s="231"/>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31">
        <f>IFERROR(_xlfn.XLOOKUP($D200,'Modelling New'!$D:$D,'Modelling New'!$N:$N),"")</f>
        <v>70.2</v>
      </c>
      <c r="AS200" s="231"/>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31">
        <f>IFERROR(_xlfn.XLOOKUP($D201,'Modelling New'!$D:$D,'Modelling New'!$N:$N),"")</f>
        <v>70.2</v>
      </c>
      <c r="AS201" s="231"/>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31">
        <f>IFERROR(_xlfn.XLOOKUP($D202,'Modelling New'!$D:$D,'Modelling New'!$N:$N),"")</f>
        <v>70.2</v>
      </c>
      <c r="AS202" s="231"/>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31">
        <f>IFERROR(_xlfn.XLOOKUP($D203,'Modelling New'!$D:$D,'Modelling New'!$N:$N),"")</f>
        <v>70.2</v>
      </c>
      <c r="AS203" s="231"/>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31">
        <f>IFERROR(_xlfn.XLOOKUP($D204,'Modelling New'!$D:$D,'Modelling New'!$N:$N),"")</f>
        <v>70.2</v>
      </c>
      <c r="AS204" s="231"/>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31">
        <f>IFERROR(_xlfn.XLOOKUP($D205,'Modelling New'!$D:$D,'Modelling New'!$N:$N),"")</f>
        <v>70.2</v>
      </c>
      <c r="AS205" s="231"/>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31">
        <f>IFERROR(_xlfn.XLOOKUP($D206,'Modelling New'!$D:$D,'Modelling New'!$N:$N),"")</f>
        <v>70.2</v>
      </c>
      <c r="AS206" s="231"/>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31">
        <f>IFERROR(_xlfn.XLOOKUP($D207,'Modelling New'!$D:$D,'Modelling New'!$N:$N),"")</f>
        <v>70.2</v>
      </c>
      <c r="AS207" s="231"/>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31">
        <f>IFERROR(_xlfn.XLOOKUP($D208,'Modelling New'!$D:$D,'Modelling New'!$N:$N),"")</f>
        <v>70.2</v>
      </c>
      <c r="AS208" s="231"/>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31">
        <f>IFERROR(_xlfn.XLOOKUP($D209,'Modelling New'!$D:$D,'Modelling New'!$N:$N),"")</f>
        <v>70.2</v>
      </c>
      <c r="AS209" s="231"/>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31">
        <f>IFERROR(_xlfn.XLOOKUP($D210,'Modelling New'!$D:$D,'Modelling New'!$N:$N),"")</f>
        <v>70.2</v>
      </c>
      <c r="AS210" s="231"/>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31">
        <f>IFERROR(_xlfn.XLOOKUP($D211,'Modelling New'!$D:$D,'Modelling New'!$N:$N),"")</f>
        <v>70.2</v>
      </c>
      <c r="AS211" s="231"/>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31">
        <f>IFERROR(_xlfn.XLOOKUP($D212,'Modelling New'!$D:$D,'Modelling New'!$N:$N),"")</f>
        <v>70.2</v>
      </c>
      <c r="AS212" s="231"/>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31">
        <f>IFERROR(_xlfn.XLOOKUP($D213,'Modelling New'!$D:$D,'Modelling New'!$N:$N),"")</f>
        <v>70.2</v>
      </c>
      <c r="AS213" s="231"/>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31">
        <f>IFERROR(_xlfn.XLOOKUP($D214,'Modelling New'!$D:$D,'Modelling New'!$N:$N),"")</f>
        <v>70.2</v>
      </c>
      <c r="AS214" s="231"/>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31">
        <f>IFERROR(_xlfn.XLOOKUP($D215,'Modelling New'!$D:$D,'Modelling New'!$N:$N),"")</f>
        <v>70.2</v>
      </c>
      <c r="AS215" s="231"/>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31">
        <f>IFERROR(_xlfn.XLOOKUP($D216,'Modelling New'!$D:$D,'Modelling New'!$N:$N),"")</f>
        <v>70.2</v>
      </c>
      <c r="AS216" s="231"/>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31">
        <f>IFERROR(_xlfn.XLOOKUP($D217,'Modelling New'!$D:$D,'Modelling New'!$N:$N),"")</f>
        <v>70.2</v>
      </c>
      <c r="AS217" s="231"/>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31">
        <f>IFERROR(_xlfn.XLOOKUP($D218,'Modelling New'!$D:$D,'Modelling New'!$N:$N),"")</f>
        <v>70.2</v>
      </c>
      <c r="AS218" s="231"/>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31">
        <f>IFERROR(_xlfn.XLOOKUP($D219,'Modelling New'!$D:$D,'Modelling New'!$N:$N),"")</f>
        <v>70.2</v>
      </c>
      <c r="AS219" s="231"/>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31">
        <f>IFERROR(_xlfn.XLOOKUP($D220,'Modelling New'!$D:$D,'Modelling New'!$N:$N),"")</f>
        <v>70.2</v>
      </c>
      <c r="AS220" s="231"/>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31">
        <f>IFERROR(_xlfn.XLOOKUP($D221,'Modelling New'!$D:$D,'Modelling New'!$N:$N),"")</f>
        <v>70.2</v>
      </c>
      <c r="AS221" s="231"/>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31">
        <f>IFERROR(_xlfn.XLOOKUP($D222,'Modelling New'!$D:$D,'Modelling New'!$N:$N),"")</f>
        <v>70.2</v>
      </c>
      <c r="AS222" s="231"/>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31">
        <f>IFERROR(_xlfn.XLOOKUP($D223,'Modelling New'!$D:$D,'Modelling New'!$N:$N),"")</f>
        <v>70.2</v>
      </c>
      <c r="AS223" s="231"/>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31">
        <f>IFERROR(_xlfn.XLOOKUP($D224,'Modelling New'!$D:$D,'Modelling New'!$N:$N),"")</f>
        <v>70.2</v>
      </c>
      <c r="AS224" s="231"/>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31">
        <f>IFERROR(_xlfn.XLOOKUP($D225,'Modelling New'!$D:$D,'Modelling New'!$N:$N),"")</f>
        <v>70.2</v>
      </c>
      <c r="AS225" s="231"/>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31">
        <f>IFERROR(_xlfn.XLOOKUP($D226,'Modelling New'!$D:$D,'Modelling New'!$N:$N),"")</f>
        <v>70.2</v>
      </c>
      <c r="AS226" s="231"/>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31">
        <f>IFERROR(_xlfn.XLOOKUP($D227,'Modelling New'!$D:$D,'Modelling New'!$N:$N),"")</f>
        <v>70.2</v>
      </c>
      <c r="AS227" s="231"/>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31">
        <f>IFERROR(_xlfn.XLOOKUP($D228,'Modelling New'!$D:$D,'Modelling New'!$N:$N),"")</f>
        <v>70.2</v>
      </c>
      <c r="AS228" s="231"/>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31">
        <f>IFERROR(_xlfn.XLOOKUP($D229,'Modelling New'!$D:$D,'Modelling New'!$N:$N),"")</f>
        <v>70.2</v>
      </c>
      <c r="AS229" s="231"/>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31">
        <f>IFERROR(_xlfn.XLOOKUP($D230,'Modelling New'!$D:$D,'Modelling New'!$N:$N),"")</f>
        <v>70.2</v>
      </c>
      <c r="AS230" s="231"/>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31">
        <f>IFERROR(_xlfn.XLOOKUP($D231,'Modelling New'!$D:$D,'Modelling New'!$N:$N),"")</f>
        <v>70.2</v>
      </c>
      <c r="AS231" s="231"/>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31">
        <f>IFERROR(_xlfn.XLOOKUP($D232,'Modelling New'!$D:$D,'Modelling New'!$N:$N),"")</f>
        <v>70.2</v>
      </c>
      <c r="AS232" s="231"/>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31">
        <f>IFERROR(_xlfn.XLOOKUP($D233,'Modelling New'!$D:$D,'Modelling New'!$N:$N),"")</f>
        <v>70.2</v>
      </c>
      <c r="AS233" s="231"/>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31">
        <f>IFERROR(_xlfn.XLOOKUP($D234,'Modelling New'!$D:$D,'Modelling New'!$N:$N),"")</f>
        <v>70.2</v>
      </c>
      <c r="AS234" s="231"/>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31">
        <f>IFERROR(_xlfn.XLOOKUP($D235,'Modelling New'!$D:$D,'Modelling New'!$N:$N),"")</f>
        <v>70.2</v>
      </c>
      <c r="AS235" s="231"/>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31">
        <f>IFERROR(_xlfn.XLOOKUP($D236,'Modelling New'!$D:$D,'Modelling New'!$N:$N),"")</f>
        <v>70.2</v>
      </c>
      <c r="AS236" s="231"/>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31">
        <f>IFERROR(_xlfn.XLOOKUP($D237,'Modelling New'!$D:$D,'Modelling New'!$N:$N),"")</f>
        <v>70.2</v>
      </c>
      <c r="AS237" s="231"/>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31">
        <f>IFERROR(_xlfn.XLOOKUP($D238,'Modelling New'!$D:$D,'Modelling New'!$N:$N),"")</f>
        <v>70.2</v>
      </c>
      <c r="AS238" s="231"/>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31">
        <f>IFERROR(_xlfn.XLOOKUP($D239,'Modelling New'!$D:$D,'Modelling New'!$N:$N),"")</f>
        <v>70.2</v>
      </c>
      <c r="AS239" s="231"/>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31">
        <f>IFERROR(_xlfn.XLOOKUP($D240,'Modelling New'!$D:$D,'Modelling New'!$N:$N),"")</f>
        <v>70.2</v>
      </c>
      <c r="AS240" s="231"/>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31">
        <f>IFERROR(_xlfn.XLOOKUP($D241,'Modelling New'!$D:$D,'Modelling New'!$N:$N),"")</f>
        <v>70.2</v>
      </c>
      <c r="AS241" s="231"/>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31">
        <f>IFERROR(_xlfn.XLOOKUP($D242,'Modelling New'!$D:$D,'Modelling New'!$N:$N),"")</f>
        <v>70.2</v>
      </c>
      <c r="AS242" s="231"/>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31">
        <f>IFERROR(_xlfn.XLOOKUP($D243,'Modelling New'!$D:$D,'Modelling New'!$N:$N),"")</f>
        <v>70.2</v>
      </c>
      <c r="AS243" s="231"/>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31">
        <f>IFERROR(_xlfn.XLOOKUP($D244,'Modelling New'!$D:$D,'Modelling New'!$N:$N),"")</f>
        <v>70.2</v>
      </c>
      <c r="AS244" s="231"/>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31">
        <f>IFERROR(_xlfn.XLOOKUP($D245,'Modelling New'!$D:$D,'Modelling New'!$N:$N),"")</f>
        <v>70.2</v>
      </c>
      <c r="AS245" s="231"/>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31">
        <f>IFERROR(_xlfn.XLOOKUP($D246,'Modelling New'!$D:$D,'Modelling New'!$N:$N),"")</f>
        <v>70.2</v>
      </c>
      <c r="AS246" s="231"/>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31">
        <f>IFERROR(_xlfn.XLOOKUP($D247,'Modelling New'!$D:$D,'Modelling New'!$N:$N),"")</f>
        <v>70.2</v>
      </c>
      <c r="AS247" s="231"/>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31">
        <f>IFERROR(_xlfn.XLOOKUP($D248,'Modelling New'!$D:$D,'Modelling New'!$N:$N),"")</f>
        <v>70.2</v>
      </c>
      <c r="AS248" s="231"/>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31">
        <f>IFERROR(_xlfn.XLOOKUP($D249,'Modelling New'!$D:$D,'Modelling New'!$N:$N),"")</f>
        <v>70.2</v>
      </c>
      <c r="AS249" s="231"/>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31">
        <f>IFERROR(_xlfn.XLOOKUP($D250,'Modelling New'!$D:$D,'Modelling New'!$N:$N),"")</f>
        <v>70.2</v>
      </c>
      <c r="AS250" s="231"/>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31">
        <f>IFERROR(_xlfn.XLOOKUP($D251,'Modelling New'!$D:$D,'Modelling New'!$N:$N),"")</f>
        <v>70.2</v>
      </c>
      <c r="AS251" s="231"/>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31">
        <f>IFERROR(_xlfn.XLOOKUP($D252,'Modelling New'!$D:$D,'Modelling New'!$N:$N),"")</f>
        <v>70.2</v>
      </c>
      <c r="AS252" s="231"/>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31">
        <f>IFERROR(_xlfn.XLOOKUP($D253,'Modelling New'!$D:$D,'Modelling New'!$N:$N),"")</f>
        <v>70.2</v>
      </c>
      <c r="AS253" s="231"/>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31">
        <f>IFERROR(_xlfn.XLOOKUP($D254,'Modelling New'!$D:$D,'Modelling New'!$N:$N),"")</f>
        <v>70.2</v>
      </c>
      <c r="AS254" s="231"/>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31">
        <f>IFERROR(_xlfn.XLOOKUP($D255,'Modelling New'!$D:$D,'Modelling New'!$N:$N),"")</f>
        <v>70.2</v>
      </c>
      <c r="AS255" s="231"/>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31">
        <f>IFERROR(_xlfn.XLOOKUP($D256,'Modelling New'!$D:$D,'Modelling New'!$N:$N),"")</f>
        <v>70.2</v>
      </c>
      <c r="AS256" s="231"/>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31">
        <f>IFERROR(_xlfn.XLOOKUP($D257,'Modelling New'!$D:$D,'Modelling New'!$N:$N),"")</f>
        <v>70.2</v>
      </c>
      <c r="AS257" s="231"/>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31">
        <f>IFERROR(_xlfn.XLOOKUP($D258,'Modelling New'!$D:$D,'Modelling New'!$N:$N),"")</f>
        <v>70.2</v>
      </c>
      <c r="AS258" s="231"/>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31">
        <f>IFERROR(_xlfn.XLOOKUP($D259,'Modelling New'!$D:$D,'Modelling New'!$N:$N),"")</f>
        <v>70.2</v>
      </c>
      <c r="AS259" s="231"/>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31">
        <f>IFERROR(_xlfn.XLOOKUP($D260,'Modelling New'!$D:$D,'Modelling New'!$N:$N),"")</f>
        <v>70.2</v>
      </c>
      <c r="AS260" s="231"/>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31">
        <f>IFERROR(_xlfn.XLOOKUP($D261,'Modelling New'!$D:$D,'Modelling New'!$N:$N),"")</f>
        <v>70.2</v>
      </c>
      <c r="AS261" s="231"/>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31">
        <f>IFERROR(_xlfn.XLOOKUP($D262,'Modelling New'!$D:$D,'Modelling New'!$N:$N),"")</f>
        <v>70.2</v>
      </c>
      <c r="AS262" s="231"/>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31">
        <f>IFERROR(_xlfn.XLOOKUP($D263,'Modelling New'!$D:$D,'Modelling New'!$N:$N),"")</f>
        <v>70.2</v>
      </c>
      <c r="AS263" s="231"/>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31">
        <f>IFERROR(_xlfn.XLOOKUP($D264,'Modelling New'!$D:$D,'Modelling New'!$N:$N),"")</f>
        <v>70.2</v>
      </c>
      <c r="AS264" s="231"/>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31">
        <f>IFERROR(_xlfn.XLOOKUP($D265,'Modelling New'!$D:$D,'Modelling New'!$N:$N),"")</f>
        <v>70.2</v>
      </c>
      <c r="AS265" s="231"/>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31">
        <f>IFERROR(_xlfn.XLOOKUP($D266,'Modelling New'!$D:$D,'Modelling New'!$N:$N),"")</f>
        <v>70.2</v>
      </c>
      <c r="AS266" s="231"/>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31">
        <f>IFERROR(_xlfn.XLOOKUP($D267,'Modelling New'!$D:$D,'Modelling New'!$N:$N),"")</f>
        <v>70.2</v>
      </c>
      <c r="AS267" s="231"/>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31">
        <f>IFERROR(_xlfn.XLOOKUP($D268,'Modelling New'!$D:$D,'Modelling New'!$N:$N),"")</f>
        <v>70.2</v>
      </c>
      <c r="AS268" s="231"/>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31">
        <f>IFERROR(_xlfn.XLOOKUP($D269,'Modelling New'!$D:$D,'Modelling New'!$N:$N),"")</f>
        <v>70.2</v>
      </c>
      <c r="AS269" s="231"/>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31">
        <f>IFERROR(_xlfn.XLOOKUP($D270,'Modelling New'!$D:$D,'Modelling New'!$N:$N),"")</f>
        <v>70.2</v>
      </c>
      <c r="AS270" s="231"/>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31">
        <f>IFERROR(_xlfn.XLOOKUP($D271,'Modelling New'!$D:$D,'Modelling New'!$N:$N),"")</f>
        <v>70.2</v>
      </c>
      <c r="AS271" s="231"/>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31">
        <f>IFERROR(_xlfn.XLOOKUP($D272,'Modelling New'!$D:$D,'Modelling New'!$N:$N),"")</f>
        <v>70.2</v>
      </c>
      <c r="AS272" s="231"/>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31">
        <f>IFERROR(_xlfn.XLOOKUP($D273,'Modelling New'!$D:$D,'Modelling New'!$N:$N),"")</f>
        <v>70.2</v>
      </c>
      <c r="AS273" s="231"/>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31">
        <f>IFERROR(_xlfn.XLOOKUP($D274,'Modelling New'!$D:$D,'Modelling New'!$N:$N),"")</f>
        <v>70.2</v>
      </c>
      <c r="AS274" s="231"/>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31">
        <f>IFERROR(_xlfn.XLOOKUP($D275,'Modelling New'!$D:$D,'Modelling New'!$N:$N),"")</f>
        <v>70.2</v>
      </c>
      <c r="AS275" s="231"/>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31">
        <f>IFERROR(_xlfn.XLOOKUP($D276,'Modelling New'!$D:$D,'Modelling New'!$N:$N),"")</f>
        <v>70.2</v>
      </c>
      <c r="AS276" s="231"/>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31">
        <f>IFERROR(_xlfn.XLOOKUP($D277,'Modelling New'!$D:$D,'Modelling New'!$N:$N),"")</f>
        <v>70.2</v>
      </c>
      <c r="AS277" s="231"/>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31">
        <f>IFERROR(_xlfn.XLOOKUP($D278,'Modelling New'!$D:$D,'Modelling New'!$N:$N),"")</f>
        <v>70.2</v>
      </c>
      <c r="AS278" s="231"/>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31">
        <f>IFERROR(_xlfn.XLOOKUP($D279,'Modelling New'!$D:$D,'Modelling New'!$N:$N),"")</f>
        <v>70.2</v>
      </c>
      <c r="AS279" s="231"/>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31">
        <f>IFERROR(_xlfn.XLOOKUP($D280,'Modelling New'!$D:$D,'Modelling New'!$N:$N),"")</f>
        <v>70.2</v>
      </c>
      <c r="AS280" s="231"/>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31">
        <f>IFERROR(_xlfn.XLOOKUP($D281,'Modelling New'!$D:$D,'Modelling New'!$N:$N),"")</f>
        <v>70.2</v>
      </c>
      <c r="AS281" s="231"/>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31">
        <f>IFERROR(_xlfn.XLOOKUP($D282,'Modelling New'!$D:$D,'Modelling New'!$N:$N),"")</f>
        <v>70.2</v>
      </c>
      <c r="AS282" s="231"/>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31">
        <f>IFERROR(_xlfn.XLOOKUP($D283,'Modelling New'!$D:$D,'Modelling New'!$N:$N),"")</f>
        <v>70.2</v>
      </c>
      <c r="AS283" s="231"/>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31">
        <f>IFERROR(_xlfn.XLOOKUP($D284,'Modelling New'!$D:$D,'Modelling New'!$N:$N),"")</f>
        <v>70.2</v>
      </c>
      <c r="AS284" s="231"/>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31">
        <f>IFERROR(_xlfn.XLOOKUP($D285,'Modelling New'!$D:$D,'Modelling New'!$N:$N),"")</f>
        <v>70.2</v>
      </c>
      <c r="AS285" s="231"/>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31">
        <f>IFERROR(_xlfn.XLOOKUP($D286,'Modelling New'!$D:$D,'Modelling New'!$N:$N),"")</f>
        <v>70.2</v>
      </c>
      <c r="AS286" s="231"/>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31">
        <f>IFERROR(_xlfn.XLOOKUP($D287,'Modelling New'!$D:$D,'Modelling New'!$N:$N),"")</f>
        <v>70.2</v>
      </c>
      <c r="AS287" s="231"/>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31">
        <f>IFERROR(_xlfn.XLOOKUP($D288,'Modelling New'!$D:$D,'Modelling New'!$N:$N),"")</f>
        <v>70.2</v>
      </c>
      <c r="AS288" s="231"/>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31">
        <f>IFERROR(_xlfn.XLOOKUP($D289,'Modelling New'!$D:$D,'Modelling New'!$N:$N),"")</f>
        <v>70.2</v>
      </c>
      <c r="AS289" s="231"/>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31">
        <f>IFERROR(_xlfn.XLOOKUP($D290,'Modelling New'!$D:$D,'Modelling New'!$N:$N),"")</f>
        <v>70.2</v>
      </c>
      <c r="AS290" s="231"/>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31">
        <f>IFERROR(_xlfn.XLOOKUP($D291,'Modelling New'!$D:$D,'Modelling New'!$N:$N),"")</f>
        <v>70.2</v>
      </c>
      <c r="AS291" s="231"/>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31">
        <f>IFERROR(_xlfn.XLOOKUP($D292,'Modelling New'!$D:$D,'Modelling New'!$N:$N),"")</f>
        <v>70.2</v>
      </c>
      <c r="AS292" s="231"/>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31">
        <f>IFERROR(_xlfn.XLOOKUP($D293,'Modelling New'!$D:$D,'Modelling New'!$N:$N),"")</f>
        <v>70.2</v>
      </c>
      <c r="AS293" s="231"/>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31">
        <f>IFERROR(_xlfn.XLOOKUP($D294,'Modelling New'!$D:$D,'Modelling New'!$N:$N),"")</f>
        <v>70.2</v>
      </c>
      <c r="AS294" s="231"/>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31">
        <f>IFERROR(_xlfn.XLOOKUP($D295,'Modelling New'!$D:$D,'Modelling New'!$N:$N),"")</f>
        <v>70.2</v>
      </c>
      <c r="AS295" s="231"/>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31">
        <f>IFERROR(_xlfn.XLOOKUP($D296,'Modelling New'!$D:$D,'Modelling New'!$N:$N),"")</f>
        <v>70.2</v>
      </c>
      <c r="AS296" s="231"/>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31">
        <f>IFERROR(_xlfn.XLOOKUP($D297,'Modelling New'!$D:$D,'Modelling New'!$N:$N),"")</f>
        <v>70.2</v>
      </c>
      <c r="AS297" s="231"/>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31">
        <f>IFERROR(_xlfn.XLOOKUP($D298,'Modelling New'!$D:$D,'Modelling New'!$N:$N),"")</f>
        <v>70.2</v>
      </c>
      <c r="AS298" s="231"/>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31">
        <f>IFERROR(_xlfn.XLOOKUP($D299,'Modelling New'!$D:$D,'Modelling New'!$N:$N),"")</f>
        <v>70.2</v>
      </c>
      <c r="AS299" s="231"/>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31">
        <f>IFERROR(_xlfn.XLOOKUP($D300,'Modelling New'!$D:$D,'Modelling New'!$N:$N),"")</f>
        <v>70.2</v>
      </c>
      <c r="AS300" s="231"/>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31">
        <f>IFERROR(_xlfn.XLOOKUP($D301,'Modelling New'!$D:$D,'Modelling New'!$N:$N),"")</f>
        <v>70.2</v>
      </c>
      <c r="AS301" s="231"/>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31">
        <f>IFERROR(_xlfn.XLOOKUP($D302,'Modelling New'!$D:$D,'Modelling New'!$N:$N),"")</f>
        <v>70.2</v>
      </c>
      <c r="AS302" s="231"/>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31">
        <f>IFERROR(_xlfn.XLOOKUP($D303,'Modelling New'!$D:$D,'Modelling New'!$N:$N),"")</f>
        <v>70.2</v>
      </c>
      <c r="AS303" s="231"/>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31">
        <f>IFERROR(_xlfn.XLOOKUP($D304,'Modelling New'!$D:$D,'Modelling New'!$N:$N),"")</f>
        <v>70.2</v>
      </c>
      <c r="AS304" s="231"/>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31">
        <f>IFERROR(_xlfn.XLOOKUP($D305,'Modelling New'!$D:$D,'Modelling New'!$N:$N),"")</f>
        <v>70.2</v>
      </c>
      <c r="AS305" s="231"/>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31">
        <f>IFERROR(_xlfn.XLOOKUP($D306,'Modelling New'!$D:$D,'Modelling New'!$N:$N),"")</f>
        <v>70.2</v>
      </c>
      <c r="AS306" s="231"/>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31">
        <f>IFERROR(_xlfn.XLOOKUP($D307,'Modelling New'!$D:$D,'Modelling New'!$N:$N),"")</f>
        <v>70.2</v>
      </c>
      <c r="AS307" s="231"/>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31">
        <f>IFERROR(_xlfn.XLOOKUP($D308,'Modelling New'!$D:$D,'Modelling New'!$N:$N),"")</f>
        <v>70.2</v>
      </c>
      <c r="AS308" s="231"/>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31">
        <f>IFERROR(_xlfn.XLOOKUP($D309,'Modelling New'!$D:$D,'Modelling New'!$N:$N),"")</f>
        <v>70.2</v>
      </c>
      <c r="AS309" s="231"/>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31">
        <f>IFERROR(_xlfn.XLOOKUP($D310,'Modelling New'!$D:$D,'Modelling New'!$N:$N),"")</f>
        <v>70.2</v>
      </c>
      <c r="AS310" s="231"/>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31">
        <f>IFERROR(_xlfn.XLOOKUP($D311,'Modelling New'!$D:$D,'Modelling New'!$N:$N),"")</f>
        <v>70.2</v>
      </c>
      <c r="AS311" s="231"/>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31">
        <f>IFERROR(_xlfn.XLOOKUP($D312,'Modelling New'!$D:$D,'Modelling New'!$N:$N),"")</f>
        <v>70.2</v>
      </c>
      <c r="AS312" s="231"/>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31">
        <f>IFERROR(_xlfn.XLOOKUP($D313,'Modelling New'!$D:$D,'Modelling New'!$N:$N),"")</f>
        <v>70.2</v>
      </c>
      <c r="AS313" s="231"/>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31">
        <f>IFERROR(_xlfn.XLOOKUP($D314,'Modelling New'!$D:$D,'Modelling New'!$N:$N),"")</f>
        <v>70.2</v>
      </c>
      <c r="AS314" s="231"/>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31">
        <f>IFERROR(_xlfn.XLOOKUP($D315,'Modelling New'!$D:$D,'Modelling New'!$N:$N),"")</f>
        <v>70.2</v>
      </c>
      <c r="AS315" s="231"/>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31">
        <f>IFERROR(_xlfn.XLOOKUP($D316,'Modelling New'!$D:$D,'Modelling New'!$N:$N),"")</f>
        <v>70.2</v>
      </c>
      <c r="AS316" s="231"/>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31">
        <f>IFERROR(_xlfn.XLOOKUP($D317,'Modelling New'!$D:$D,'Modelling New'!$N:$N),"")</f>
        <v>70.2</v>
      </c>
      <c r="AS317" s="231"/>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31">
        <f>IFERROR(_xlfn.XLOOKUP($D318,'Modelling New'!$D:$D,'Modelling New'!$N:$N),"")</f>
        <v>70.2</v>
      </c>
      <c r="AS318" s="231"/>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31">
        <f>IFERROR(_xlfn.XLOOKUP($D319,'Modelling New'!$D:$D,'Modelling New'!$N:$N),"")</f>
        <v>70.2</v>
      </c>
      <c r="AS319" s="231"/>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31">
        <f>IFERROR(_xlfn.XLOOKUP($D320,'Modelling New'!$D:$D,'Modelling New'!$N:$N),"")</f>
        <v>70.2</v>
      </c>
      <c r="AS320" s="231"/>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31">
        <f>IFERROR(_xlfn.XLOOKUP($D321,'Modelling New'!$D:$D,'Modelling New'!$N:$N),"")</f>
        <v>70.2</v>
      </c>
      <c r="AS321" s="231"/>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31">
        <f>IFERROR(_xlfn.XLOOKUP($D322,'Modelling New'!$D:$D,'Modelling New'!$N:$N),"")</f>
        <v>70.2</v>
      </c>
      <c r="AS322" s="231"/>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31">
        <f>IFERROR(_xlfn.XLOOKUP($D323,'Modelling New'!$D:$D,'Modelling New'!$N:$N),"")</f>
        <v>70.2</v>
      </c>
      <c r="AS323" s="231"/>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31">
        <f>IFERROR(_xlfn.XLOOKUP($D324,'Modelling New'!$D:$D,'Modelling New'!$N:$N),"")</f>
        <v>70.2</v>
      </c>
      <c r="AS324" s="231"/>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31">
        <f>IFERROR(_xlfn.XLOOKUP($D325,'Modelling New'!$D:$D,'Modelling New'!$N:$N),"")</f>
        <v>70.2</v>
      </c>
      <c r="AS325" s="231"/>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31">
        <f>IFERROR(_xlfn.XLOOKUP($D326,'Modelling New'!$D:$D,'Modelling New'!$N:$N),"")</f>
        <v>70.2</v>
      </c>
      <c r="AS326" s="231"/>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31">
        <f>IFERROR(_xlfn.XLOOKUP($D327,'Modelling New'!$D:$D,'Modelling New'!$N:$N),"")</f>
        <v>70.2</v>
      </c>
      <c r="AS327" s="231"/>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31">
        <f>IFERROR(_xlfn.XLOOKUP($D328,'Modelling New'!$D:$D,'Modelling New'!$N:$N),"")</f>
        <v>70.2</v>
      </c>
      <c r="AS328" s="231"/>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31">
        <f>IFERROR(_xlfn.XLOOKUP($D329,'Modelling New'!$D:$D,'Modelling New'!$N:$N),"")</f>
        <v>70.2</v>
      </c>
      <c r="AS329" s="231"/>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31">
        <f>IFERROR(_xlfn.XLOOKUP($D330,'Modelling New'!$D:$D,'Modelling New'!$N:$N),"")</f>
        <v>70.2</v>
      </c>
      <c r="AS330" s="231"/>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31">
        <f>IFERROR(_xlfn.XLOOKUP($D331,'Modelling New'!$D:$D,'Modelling New'!$N:$N),"")</f>
        <v>70.2</v>
      </c>
      <c r="AS331" s="231"/>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31">
        <f>IFERROR(_xlfn.XLOOKUP($D332,'Modelling New'!$D:$D,'Modelling New'!$N:$N),"")</f>
        <v>70.2</v>
      </c>
      <c r="AS332" s="231"/>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31">
        <f>IFERROR(_xlfn.XLOOKUP($D333,'Modelling New'!$D:$D,'Modelling New'!$N:$N),"")</f>
        <v>70.2</v>
      </c>
      <c r="AS333" s="231"/>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31">
        <f>IFERROR(_xlfn.XLOOKUP($D334,'Modelling New'!$D:$D,'Modelling New'!$N:$N),"")</f>
        <v>70.2</v>
      </c>
      <c r="AS334" s="231"/>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31">
        <f>IFERROR(_xlfn.XLOOKUP($D335,'Modelling New'!$D:$D,'Modelling New'!$N:$N),"")</f>
        <v>70.2</v>
      </c>
      <c r="AS335" s="231"/>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31">
        <f>IFERROR(_xlfn.XLOOKUP($D336,'Modelling New'!$D:$D,'Modelling New'!$N:$N),"")</f>
        <v>70.2</v>
      </c>
      <c r="AS336" s="231"/>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31">
        <f>IFERROR(_xlfn.XLOOKUP($D337,'Modelling New'!$D:$D,'Modelling New'!$N:$N),"")</f>
        <v>70.2</v>
      </c>
      <c r="AS337" s="231"/>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31">
        <f>IFERROR(_xlfn.XLOOKUP($D338,'Modelling New'!$D:$D,'Modelling New'!$N:$N),"")</f>
        <v>70.2</v>
      </c>
      <c r="AS338" s="231"/>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31">
        <f>IFERROR(_xlfn.XLOOKUP($D339,'Modelling New'!$D:$D,'Modelling New'!$N:$N),"")</f>
        <v>70.2</v>
      </c>
      <c r="AS339" s="231"/>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31">
        <f>IFERROR(_xlfn.XLOOKUP($D340,'Modelling New'!$D:$D,'Modelling New'!$N:$N),"")</f>
        <v>70.2</v>
      </c>
      <c r="AS340" s="231"/>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31">
        <f>IFERROR(_xlfn.XLOOKUP($D341,'Modelling New'!$D:$D,'Modelling New'!$N:$N),"")</f>
        <v>70.2</v>
      </c>
      <c r="AS341" s="231"/>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31">
        <f>IFERROR(_xlfn.XLOOKUP($D342,'Modelling New'!$D:$D,'Modelling New'!$N:$N),"")</f>
        <v>70.2</v>
      </c>
      <c r="AS342" s="231"/>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31">
        <f>IFERROR(_xlfn.XLOOKUP($D343,'Modelling New'!$D:$D,'Modelling New'!$N:$N),"")</f>
        <v>70.2</v>
      </c>
      <c r="AS343" s="231"/>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31">
        <f>IFERROR(_xlfn.XLOOKUP($D344,'Modelling New'!$D:$D,'Modelling New'!$N:$N),"")</f>
        <v>70.2</v>
      </c>
      <c r="AS344" s="231"/>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31">
        <f>IFERROR(_xlfn.XLOOKUP($D345,'Modelling New'!$D:$D,'Modelling New'!$N:$N),"")</f>
        <v>70.2</v>
      </c>
      <c r="AS345" s="231"/>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31">
        <f>IFERROR(_xlfn.XLOOKUP($D346,'Modelling New'!$D:$D,'Modelling New'!$N:$N),"")</f>
        <v>70.2</v>
      </c>
      <c r="AS346" s="231"/>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31">
        <f>IFERROR(_xlfn.XLOOKUP($D347,'Modelling New'!$D:$D,'Modelling New'!$N:$N),"")</f>
        <v>70.2</v>
      </c>
      <c r="AS347" s="231"/>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31">
        <f>IFERROR(_xlfn.XLOOKUP($D348,'Modelling New'!$D:$D,'Modelling New'!$N:$N),"")</f>
        <v>70.2</v>
      </c>
      <c r="AS348" s="231"/>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31">
        <f>IFERROR(_xlfn.XLOOKUP($D349,'Modelling New'!$D:$D,'Modelling New'!$N:$N),"")</f>
        <v>70.2</v>
      </c>
      <c r="AS349" s="231"/>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31">
        <f>IFERROR(_xlfn.XLOOKUP($D350,'Modelling New'!$D:$D,'Modelling New'!$N:$N),"")</f>
        <v>70.2</v>
      </c>
      <c r="AS350" s="231"/>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31">
        <f>IFERROR(_xlfn.XLOOKUP($D351,'Modelling New'!$D:$D,'Modelling New'!$N:$N),"")</f>
        <v>70.2</v>
      </c>
      <c r="AS351" s="231"/>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31">
        <f>IFERROR(_xlfn.XLOOKUP($D352,'Modelling New'!$D:$D,'Modelling New'!$N:$N),"")</f>
        <v>70.2</v>
      </c>
      <c r="AS352" s="231"/>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31">
        <f>IFERROR(_xlfn.XLOOKUP($D353,'Modelling New'!$D:$D,'Modelling New'!$N:$N),"")</f>
        <v>70.2</v>
      </c>
      <c r="AS353" s="231"/>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31">
        <f>IFERROR(_xlfn.XLOOKUP($D354,'Modelling New'!$D:$D,'Modelling New'!$N:$N),"")</f>
        <v>70.2</v>
      </c>
      <c r="AS354" s="231"/>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31">
        <f>IFERROR(_xlfn.XLOOKUP($D355,'Modelling New'!$D:$D,'Modelling New'!$N:$N),"")</f>
        <v>70.2</v>
      </c>
      <c r="AS355" s="231"/>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31">
        <f>IFERROR(_xlfn.XLOOKUP($D356,'Modelling New'!$D:$D,'Modelling New'!$N:$N),"")</f>
        <v>70.2</v>
      </c>
      <c r="AS356" s="231"/>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31">
        <f>IFERROR(_xlfn.XLOOKUP($D357,'Modelling New'!$D:$D,'Modelling New'!$N:$N),"")</f>
        <v>70.2</v>
      </c>
      <c r="AS357" s="231"/>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31">
        <f>IFERROR(_xlfn.XLOOKUP($D358,'Modelling New'!$D:$D,'Modelling New'!$N:$N),"")</f>
        <v>70.2</v>
      </c>
      <c r="AS358" s="231"/>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31">
        <f>IFERROR(_xlfn.XLOOKUP($D359,'Modelling New'!$D:$D,'Modelling New'!$N:$N),"")</f>
        <v>70.2</v>
      </c>
      <c r="AS359" s="231"/>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31">
        <f>IFERROR(_xlfn.XLOOKUP($D360,'Modelling New'!$D:$D,'Modelling New'!$N:$N),"")</f>
        <v>70.2</v>
      </c>
      <c r="AS360" s="231"/>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31">
        <f>IFERROR(_xlfn.XLOOKUP($D361,'Modelling New'!$D:$D,'Modelling New'!$N:$N),"")</f>
        <v>70.2</v>
      </c>
      <c r="AS361" s="231"/>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31">
        <f>IFERROR(_xlfn.XLOOKUP($D362,'Modelling New'!$D:$D,'Modelling New'!$N:$N),"")</f>
        <v>70.2</v>
      </c>
      <c r="AS362" s="231"/>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31">
        <f>IFERROR(_xlfn.XLOOKUP($D363,'Modelling New'!$D:$D,'Modelling New'!$N:$N),"")</f>
        <v>70.2</v>
      </c>
      <c r="AS363" s="231"/>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31">
        <f>IFERROR(_xlfn.XLOOKUP($D364,'Modelling New'!$D:$D,'Modelling New'!$N:$N),"")</f>
        <v>70.2</v>
      </c>
      <c r="AS364" s="231"/>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31">
        <f>IFERROR(_xlfn.XLOOKUP($D365,'Modelling New'!$D:$D,'Modelling New'!$N:$N),"")</f>
        <v>70.2</v>
      </c>
      <c r="AS365" s="231"/>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31">
        <f>IFERROR(_xlfn.XLOOKUP($D366,'Modelling New'!$D:$D,'Modelling New'!$N:$N),"")</f>
        <v>70.2</v>
      </c>
      <c r="AS366" s="231"/>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31">
        <f>IFERROR(_xlfn.XLOOKUP($D367,'Modelling New'!$D:$D,'Modelling New'!$N:$N),"")</f>
        <v>70.2</v>
      </c>
      <c r="AS367" s="231"/>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31">
        <f>IFERROR(_xlfn.XLOOKUP($D368,'Modelling New'!$D:$D,'Modelling New'!$N:$N),"")</f>
        <v>70.2</v>
      </c>
      <c r="AS368" s="231"/>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31">
        <f>IFERROR(_xlfn.XLOOKUP($D369,'Modelling New'!$D:$D,'Modelling New'!$N:$N),"")</f>
        <v>70.2</v>
      </c>
      <c r="AS369" s="231"/>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2578125" defaultRowHeight="14.45"/>
  <cols>
    <col min="1" max="1" width="11" customWidth="1"/>
    <col min="2" max="2" width="10.42578125" customWidth="1"/>
    <col min="3" max="5" width="13.42578125" customWidth="1"/>
    <col min="6" max="6" width="14" customWidth="1"/>
    <col min="7" max="7" width="9.42578125" customWidth="1"/>
    <col min="8" max="8" width="10.42578125" customWidth="1"/>
    <col min="10" max="10" width="9.42578125" customWidth="1"/>
    <col min="11" max="11" width="9" customWidth="1"/>
    <col min="12" max="12" width="9.42578125" customWidth="1"/>
    <col min="14" max="14" width="9.42578125" customWidth="1"/>
    <col min="16" max="16" width="10.42578125" customWidth="1"/>
  </cols>
  <sheetData>
    <row r="1" spans="1:19">
      <c r="A1" s="32" t="s">
        <v>43</v>
      </c>
      <c r="B1" s="33">
        <f>O2Summary!B4</f>
        <v>45865</v>
      </c>
      <c r="C1" s="115">
        <f>O2Summary!$B$3</f>
        <v>45839</v>
      </c>
    </row>
    <row r="2" spans="1:19" ht="21">
      <c r="A2" s="333" t="s">
        <v>112</v>
      </c>
      <c r="B2" s="334"/>
      <c r="C2" s="334"/>
      <c r="D2" s="334"/>
      <c r="E2" s="334"/>
      <c r="F2" s="334"/>
      <c r="G2" s="334"/>
      <c r="H2" s="334"/>
      <c r="I2" s="334"/>
      <c r="J2" s="334"/>
      <c r="K2" s="334"/>
      <c r="L2" s="334"/>
      <c r="M2" s="334"/>
      <c r="N2" s="334"/>
      <c r="O2" s="334"/>
      <c r="P2" s="334"/>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113</v>
      </c>
      <c r="N3" s="114" t="s">
        <v>58</v>
      </c>
      <c r="O3" s="114" t="s">
        <v>59</v>
      </c>
      <c r="P3" s="114" t="s">
        <v>60</v>
      </c>
      <c r="Q3" s="198" t="s">
        <v>64</v>
      </c>
      <c r="R3" s="198" t="s">
        <v>65</v>
      </c>
      <c r="S3" s="198" t="s">
        <v>66</v>
      </c>
    </row>
    <row r="4" spans="1:19" s="35" customFormat="1" ht="15.75" customHeight="1">
      <c r="A4" s="124">
        <f>YEAR(B1)+IF(MONTH(B1)&gt;=4,1,0)</f>
        <v>2026</v>
      </c>
      <c r="B4" s="116">
        <f>$B$1-(O2Summary!$B$6)+1</f>
        <v>118</v>
      </c>
      <c r="C4" s="117">
        <f>_xlfn.XLOOKUP($C$1,'Modelling New'!$D:$D,'Modelling New'!$AD:$AD)</f>
        <v>7.2925000000000004</v>
      </c>
      <c r="D4" s="118">
        <f>AVERAGEIFS('Daily KPI'!$M:$M,'Daily KPI'!$A:$A,"&gt;="&amp;O2Summary!$B$6,'Daily KPI'!$A:$A,"&lt;="&amp;AnnualKPI!$B$1)</f>
        <v>6.796724147342351</v>
      </c>
      <c r="E4" s="116">
        <f>_xlfn.XLOOKUP($C$1,'Modelling New'!$D:$D,'Modelling New'!$V:$V)</f>
        <v>99176.113568039436</v>
      </c>
      <c r="F4" s="119">
        <f>SUMIFS('Daily KPI'!$AA:$AA,'Daily KPI'!$A:$A,"&gt;="&amp;O2Summary!$B$6,'Daily KPI'!$A:$A,"&lt;="&amp;AnnualKPI!$B$1)/1000</f>
        <v>81152.100000000006</v>
      </c>
      <c r="G4" s="120">
        <f>_xlfn.XLOOKUP($C$1,'Modelling New'!$D:$D,'Modelling New'!$Y:$Y)</f>
        <v>0.49885775089755374</v>
      </c>
      <c r="H4" s="121">
        <f>IFERROR(F4/(B4*24*(_xlfn.XLOOKUP($B$1,'Daily KPI'!$A:$A,'Daily KPI'!$AR:$AR))),"")</f>
        <v>0.40819661741271918</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0.97093487333794737</v>
      </c>
      <c r="M4" s="120">
        <f>_xlfn.XLOOKUP($C$1,'Modelling New'!$D:$D,'Modelling New'!$AI:$AI)</f>
        <v>0.99</v>
      </c>
      <c r="N4" s="122">
        <f>AVERAGEIFS('Daily KPI'!$Q:$Q,'Daily KPI'!$A:$A,"&gt;="&amp;O2Summary!$B$6,'Daily KPI'!$A:$A,"&lt;="&amp;AnnualKPI!$B$1)</f>
        <v>0.97486052504273113</v>
      </c>
      <c r="O4" s="120">
        <f>K4*M4</f>
        <v>0.96029999999999993</v>
      </c>
      <c r="P4" s="122">
        <f>L4*N4</f>
        <v>0.94652608040452901</v>
      </c>
      <c r="Q4" s="119">
        <f>SUMIFS('Daily KPI'!$AI:$AI,'Daily KPI'!$D:$D,"&gt;="&amp;O2Summary!$B$6,'Daily KPI'!$A:$A,"&lt;="&amp;AnnualKPI!$B$1)</f>
        <v>86650.774499999985</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2578125" defaultRowHeight="29.25" customHeight="1"/>
  <cols>
    <col min="1" max="1" width="14" bestFit="1" customWidth="1"/>
    <col min="2" max="2" width="23.42578125" bestFit="1" customWidth="1"/>
    <col min="3" max="3" width="18.5703125" bestFit="1" customWidth="1"/>
    <col min="4" max="4" width="12" customWidth="1"/>
    <col min="5" max="5" width="14.42578125" customWidth="1"/>
    <col min="6" max="16" width="12.42578125" customWidth="1"/>
    <col min="17" max="17" width="12" customWidth="1"/>
    <col min="18" max="18" width="9.42578125" bestFit="1" customWidth="1"/>
    <col min="20" max="20" width="9.42578125" bestFit="1" customWidth="1"/>
  </cols>
  <sheetData>
    <row r="2" spans="1:27" ht="29.25" customHeight="1">
      <c r="A2" s="125" t="s">
        <v>67</v>
      </c>
      <c r="B2" s="126">
        <f>O2Summary!B3</f>
        <v>45839</v>
      </c>
    </row>
    <row r="3" spans="1:27" ht="29.25" customHeight="1">
      <c r="A3" s="82" t="s">
        <v>68</v>
      </c>
      <c r="B3" s="83">
        <f>O2Summary!B4</f>
        <v>45865</v>
      </c>
      <c r="C3">
        <f>((B3-B2)+1)*24</f>
        <v>648</v>
      </c>
      <c r="D3" s="81">
        <f>MEDIAN(B21:AA21)</f>
        <v>6.5</v>
      </c>
    </row>
    <row r="4" spans="1:27" ht="29.25" customHeight="1">
      <c r="A4" s="127" t="s">
        <v>114</v>
      </c>
      <c r="B4" s="128" t="s">
        <v>115</v>
      </c>
      <c r="C4" s="128" t="s">
        <v>116</v>
      </c>
      <c r="D4" s="128" t="s">
        <v>117</v>
      </c>
      <c r="E4" s="128" t="s">
        <v>118</v>
      </c>
      <c r="F4" s="128" t="s">
        <v>119</v>
      </c>
      <c r="G4" s="128" t="s">
        <v>120</v>
      </c>
      <c r="H4" s="128" t="s">
        <v>121</v>
      </c>
      <c r="I4" s="128" t="s">
        <v>122</v>
      </c>
      <c r="J4" s="128" t="s">
        <v>123</v>
      </c>
      <c r="K4" s="128" t="s">
        <v>124</v>
      </c>
      <c r="L4" s="128" t="s">
        <v>125</v>
      </c>
      <c r="M4" s="128" t="s">
        <v>126</v>
      </c>
      <c r="N4" s="128" t="s">
        <v>127</v>
      </c>
      <c r="O4" s="128" t="s">
        <v>128</v>
      </c>
      <c r="P4" s="128" t="s">
        <v>129</v>
      </c>
      <c r="Q4" s="128" t="s">
        <v>130</v>
      </c>
      <c r="R4" s="128" t="s">
        <v>131</v>
      </c>
      <c r="S4" s="128" t="s">
        <v>132</v>
      </c>
      <c r="T4" s="128" t="s">
        <v>133</v>
      </c>
      <c r="U4" s="128" t="s">
        <v>134</v>
      </c>
      <c r="V4" s="128" t="s">
        <v>135</v>
      </c>
      <c r="W4" s="128" t="s">
        <v>136</v>
      </c>
      <c r="X4" s="128" t="s">
        <v>137</v>
      </c>
      <c r="Y4" s="128" t="s">
        <v>138</v>
      </c>
      <c r="Z4" s="128" t="s">
        <v>139</v>
      </c>
      <c r="AA4" s="128" t="s">
        <v>140</v>
      </c>
    </row>
    <row r="5" spans="1:27" ht="29.25" customHeight="1">
      <c r="A5" s="127" t="s">
        <v>141</v>
      </c>
      <c r="B5" s="155">
        <f>IFERROR(($C$3-B6)/$C$3,1)</f>
        <v>0.99922839506172845</v>
      </c>
      <c r="C5" s="155">
        <f>IFERROR(($C$3-C6)/$C$3,1)</f>
        <v>0.99922839506172845</v>
      </c>
      <c r="D5" s="155">
        <f t="shared" ref="D5:AA5" si="0">IFERROR(($C$3-D6)/$C$3,1)</f>
        <v>0.99922839506172845</v>
      </c>
      <c r="E5" s="155">
        <f t="shared" si="0"/>
        <v>0.99922839506172845</v>
      </c>
      <c r="F5" s="155">
        <f t="shared" si="0"/>
        <v>0.99922839506172845</v>
      </c>
      <c r="G5" s="155">
        <f t="shared" si="0"/>
        <v>0.99922839506172845</v>
      </c>
      <c r="H5" s="155">
        <f t="shared" si="0"/>
        <v>0.99922839506172845</v>
      </c>
      <c r="I5" s="155">
        <f t="shared" si="0"/>
        <v>0.99922839506172845</v>
      </c>
      <c r="J5" s="155">
        <f t="shared" si="0"/>
        <v>0.99922839506172845</v>
      </c>
      <c r="K5" s="155">
        <f t="shared" si="0"/>
        <v>0.99922839506172845</v>
      </c>
      <c r="L5" s="155">
        <f t="shared" si="0"/>
        <v>0.99922839506172845</v>
      </c>
      <c r="M5" s="155">
        <f t="shared" si="0"/>
        <v>0.99922839506172845</v>
      </c>
      <c r="N5" s="155">
        <f t="shared" si="0"/>
        <v>0.99922839506172845</v>
      </c>
      <c r="O5" s="155">
        <f t="shared" si="0"/>
        <v>0.99922839506172845</v>
      </c>
      <c r="P5" s="155">
        <f t="shared" si="0"/>
        <v>0.99922839506172845</v>
      </c>
      <c r="Q5" s="155">
        <f t="shared" si="0"/>
        <v>0.99922839506172845</v>
      </c>
      <c r="R5" s="155">
        <f t="shared" si="0"/>
        <v>0.99922839506172845</v>
      </c>
      <c r="S5" s="155">
        <f t="shared" si="0"/>
        <v>0.99922839506172845</v>
      </c>
      <c r="T5" s="155">
        <f t="shared" si="0"/>
        <v>0.99922839506172845</v>
      </c>
      <c r="U5" s="155">
        <f t="shared" si="0"/>
        <v>0.99922839506172845</v>
      </c>
      <c r="V5" s="155">
        <f t="shared" si="0"/>
        <v>0.99922839506172845</v>
      </c>
      <c r="W5" s="155">
        <f t="shared" si="0"/>
        <v>0.99922839506172845</v>
      </c>
      <c r="X5" s="155">
        <f t="shared" si="0"/>
        <v>0.99922839506172845</v>
      </c>
      <c r="Y5" s="155">
        <f t="shared" si="0"/>
        <v>0.99922839506172845</v>
      </c>
      <c r="Z5" s="155">
        <f t="shared" si="0"/>
        <v>0.99922839506172845</v>
      </c>
      <c r="AA5" s="155">
        <f t="shared" si="0"/>
        <v>0.99922839506172845</v>
      </c>
    </row>
    <row r="6" spans="1:27" ht="29.25" hidden="1" customHeight="1">
      <c r="A6" s="129" t="s">
        <v>142</v>
      </c>
      <c r="B6" s="154">
        <f>SUMIFS(WTG_BD!$T:$T,WTG_BD!$F:$F,"&gt;="&amp;Analytices!$B$2,WTG_BD!$F:$F,"&lt;="&amp;Analytices!$B$3,WTG_BD!$G:$G,$B$4)</f>
        <v>0.49999999999999822</v>
      </c>
      <c r="C6" s="154">
        <f>SUMIFS(WTG_BD!$T:$T,WTG_BD!$F:$F,"&gt;="&amp;Analytices!$B$2,WTG_BD!$F:$F,"&lt;="&amp;Analytices!$B$3,WTG_BD!$G:$G,$B$4)</f>
        <v>0.49999999999999822</v>
      </c>
      <c r="D6" s="154">
        <f>SUMIFS(WTG_BD!$T:$T,WTG_BD!$F:$F,"&gt;="&amp;Analytices!$B$2,WTG_BD!$F:$F,"&lt;="&amp;Analytices!$B$3,WTG_BD!$G:$G,$B$4)</f>
        <v>0.49999999999999822</v>
      </c>
      <c r="E6" s="154">
        <f>SUMIFS(WTG_BD!$T:$T,WTG_BD!$F:$F,"&gt;="&amp;Analytices!$B$2,WTG_BD!$F:$F,"&lt;="&amp;Analytices!$B$3,WTG_BD!$G:$G,$B$4)</f>
        <v>0.49999999999999822</v>
      </c>
      <c r="F6" s="154">
        <f>SUMIFS(WTG_BD!$T:$T,WTG_BD!$F:$F,"&gt;="&amp;Analytices!$B$2,WTG_BD!$F:$F,"&lt;="&amp;Analytices!$B$3,WTG_BD!$G:$G,$B$4)</f>
        <v>0.49999999999999822</v>
      </c>
      <c r="G6" s="154">
        <f>SUMIFS(WTG_BD!$T:$T,WTG_BD!$F:$F,"&gt;="&amp;Analytices!$B$2,WTG_BD!$F:$F,"&lt;="&amp;Analytices!$B$3,WTG_BD!$G:$G,$B$4)</f>
        <v>0.49999999999999822</v>
      </c>
      <c r="H6" s="154">
        <f>SUMIFS(WTG_BD!$T:$T,WTG_BD!$F:$F,"&gt;="&amp;Analytices!$B$2,WTG_BD!$F:$F,"&lt;="&amp;Analytices!$B$3,WTG_BD!$G:$G,$B$4)</f>
        <v>0.49999999999999822</v>
      </c>
      <c r="I6" s="154">
        <f>SUMIFS(WTG_BD!$T:$T,WTG_BD!$F:$F,"&gt;="&amp;Analytices!$B$2,WTG_BD!$F:$F,"&lt;="&amp;Analytices!$B$3,WTG_BD!$G:$G,$B$4)</f>
        <v>0.49999999999999822</v>
      </c>
      <c r="J6" s="154">
        <f>SUMIFS(WTG_BD!$T:$T,WTG_BD!$F:$F,"&gt;="&amp;Analytices!$B$2,WTG_BD!$F:$F,"&lt;="&amp;Analytices!$B$3,WTG_BD!$G:$G,$B$4)</f>
        <v>0.49999999999999822</v>
      </c>
      <c r="K6" s="154">
        <f>SUMIFS(WTG_BD!$T:$T,WTG_BD!$F:$F,"&gt;="&amp;Analytices!$B$2,WTG_BD!$F:$F,"&lt;="&amp;Analytices!$B$3,WTG_BD!$G:$G,$B$4)</f>
        <v>0.49999999999999822</v>
      </c>
      <c r="L6" s="154">
        <f>SUMIFS(WTG_BD!$T:$T,WTG_BD!$F:$F,"&gt;="&amp;Analytices!$B$2,WTG_BD!$F:$F,"&lt;="&amp;Analytices!$B$3,WTG_BD!$G:$G,$B$4)</f>
        <v>0.49999999999999822</v>
      </c>
      <c r="M6" s="154">
        <f>SUMIFS(WTG_BD!$T:$T,WTG_BD!$F:$F,"&gt;="&amp;Analytices!$B$2,WTG_BD!$F:$F,"&lt;="&amp;Analytices!$B$3,WTG_BD!$G:$G,$B$4)</f>
        <v>0.49999999999999822</v>
      </c>
      <c r="N6" s="154">
        <f>SUMIFS(WTG_BD!$T:$T,WTG_BD!$F:$F,"&gt;="&amp;Analytices!$B$2,WTG_BD!$F:$F,"&lt;="&amp;Analytices!$B$3,WTG_BD!$G:$G,$B$4)</f>
        <v>0.49999999999999822</v>
      </c>
      <c r="O6" s="154">
        <f>SUMIFS(WTG_BD!$T:$T,WTG_BD!$F:$F,"&gt;="&amp;Analytices!$B$2,WTG_BD!$F:$F,"&lt;="&amp;Analytices!$B$3,WTG_BD!$G:$G,$B$4)</f>
        <v>0.49999999999999822</v>
      </c>
      <c r="P6" s="154">
        <f>SUMIFS(WTG_BD!$T:$T,WTG_BD!$F:$F,"&gt;="&amp;Analytices!$B$2,WTG_BD!$F:$F,"&lt;="&amp;Analytices!$B$3,WTG_BD!$G:$G,$B$4)</f>
        <v>0.49999999999999822</v>
      </c>
      <c r="Q6" s="154">
        <f>SUMIFS(WTG_BD!$T:$T,WTG_BD!$F:$F,"&gt;="&amp;Analytices!$B$2,WTG_BD!$F:$F,"&lt;="&amp;Analytices!$B$3,WTG_BD!$G:$G,$B$4)</f>
        <v>0.49999999999999822</v>
      </c>
      <c r="R6" s="154">
        <f>SUMIFS(WTG_BD!$T:$T,WTG_BD!$F:$F,"&gt;="&amp;Analytices!$B$2,WTG_BD!$F:$F,"&lt;="&amp;Analytices!$B$3,WTG_BD!$G:$G,$B$4)</f>
        <v>0.49999999999999822</v>
      </c>
      <c r="S6" s="154">
        <f>SUMIFS(WTG_BD!$T:$T,WTG_BD!$F:$F,"&gt;="&amp;Analytices!$B$2,WTG_BD!$F:$F,"&lt;="&amp;Analytices!$B$3,WTG_BD!$G:$G,$B$4)</f>
        <v>0.49999999999999822</v>
      </c>
      <c r="T6" s="154">
        <f>SUMIFS(WTG_BD!$T:$T,WTG_BD!$F:$F,"&gt;="&amp;Analytices!$B$2,WTG_BD!$F:$F,"&lt;="&amp;Analytices!$B$3,WTG_BD!$G:$G,$B$4)</f>
        <v>0.49999999999999822</v>
      </c>
      <c r="U6" s="154">
        <f>SUMIFS(WTG_BD!$T:$T,WTG_BD!$F:$F,"&gt;="&amp;Analytices!$B$2,WTG_BD!$F:$F,"&lt;="&amp;Analytices!$B$3,WTG_BD!$G:$G,$B$4)</f>
        <v>0.49999999999999822</v>
      </c>
      <c r="V6" s="154">
        <f>SUMIFS(WTG_BD!$T:$T,WTG_BD!$F:$F,"&gt;="&amp;Analytices!$B$2,WTG_BD!$F:$F,"&lt;="&amp;Analytices!$B$3,WTG_BD!$G:$G,$B$4)</f>
        <v>0.49999999999999822</v>
      </c>
      <c r="W6" s="154">
        <f>SUMIFS(WTG_BD!$T:$T,WTG_BD!$F:$F,"&gt;="&amp;Analytices!$B$2,WTG_BD!$F:$F,"&lt;="&amp;Analytices!$B$3,WTG_BD!$G:$G,$B$4)</f>
        <v>0.49999999999999822</v>
      </c>
      <c r="X6" s="154">
        <f>SUMIFS(WTG_BD!$T:$T,WTG_BD!$F:$F,"&gt;="&amp;Analytices!$B$2,WTG_BD!$F:$F,"&lt;="&amp;Analytices!$B$3,WTG_BD!$G:$G,$B$4)</f>
        <v>0.49999999999999822</v>
      </c>
      <c r="Y6" s="154">
        <f>SUMIFS(WTG_BD!$T:$T,WTG_BD!$F:$F,"&gt;="&amp;Analytices!$B$2,WTG_BD!$F:$F,"&lt;="&amp;Analytices!$B$3,WTG_BD!$G:$G,$B$4)</f>
        <v>0.49999999999999822</v>
      </c>
      <c r="Z6" s="154">
        <f>SUMIFS(WTG_BD!$T:$T,WTG_BD!$F:$F,"&gt;="&amp;Analytices!$B$2,WTG_BD!$F:$F,"&lt;="&amp;Analytices!$B$3,WTG_BD!$G:$G,$B$4)</f>
        <v>0.49999999999999822</v>
      </c>
      <c r="AA6" s="154">
        <f>SUMIFS(WTG_BD!$T:$T,WTG_BD!$F:$F,"&gt;="&amp;Analytices!$B$2,WTG_BD!$F:$F,"&lt;="&amp;Analytices!$B$3,WTG_BD!$G:$G,$B$4)</f>
        <v>0.49999999999999822</v>
      </c>
    </row>
    <row r="7" spans="1:27" ht="29.25" customHeight="1">
      <c r="A7" s="127" t="s">
        <v>143</v>
      </c>
      <c r="B7" s="156">
        <f>($C$3-SUM(B8:B12))/$C$3</f>
        <v>0.9961162551440329</v>
      </c>
      <c r="C7" s="156">
        <f t="shared" ref="C7:AA7" si="1">($C$3-SUM(C8:C12))/$C$3</f>
        <v>0.9961162551440329</v>
      </c>
      <c r="D7" s="156">
        <f t="shared" si="1"/>
        <v>0.9961162551440329</v>
      </c>
      <c r="E7" s="156">
        <f t="shared" si="1"/>
        <v>0.99884259259259256</v>
      </c>
      <c r="F7" s="156">
        <f t="shared" si="1"/>
        <v>0.9961162551440329</v>
      </c>
      <c r="G7" s="156">
        <f t="shared" si="1"/>
        <v>0.99884259259259256</v>
      </c>
      <c r="H7" s="156">
        <f t="shared" si="1"/>
        <v>0.99884259259259256</v>
      </c>
      <c r="I7" s="156">
        <f t="shared" si="1"/>
        <v>0.99884259259259256</v>
      </c>
      <c r="J7" s="156">
        <f t="shared" si="1"/>
        <v>0.9961162551440329</v>
      </c>
      <c r="K7" s="156">
        <f t="shared" si="1"/>
        <v>0.9961162551440329</v>
      </c>
      <c r="L7" s="156">
        <f t="shared" si="1"/>
        <v>0.9961162551440329</v>
      </c>
      <c r="M7" s="156">
        <f t="shared" si="1"/>
        <v>0.9961162551440329</v>
      </c>
      <c r="N7" s="156">
        <f t="shared" si="1"/>
        <v>0.9961162551440329</v>
      </c>
      <c r="O7" s="156">
        <f t="shared" si="1"/>
        <v>0.9961162551440329</v>
      </c>
      <c r="P7" s="156">
        <f t="shared" si="1"/>
        <v>0.9961162551440329</v>
      </c>
      <c r="Q7" s="156">
        <f t="shared" si="1"/>
        <v>0.9961162551440329</v>
      </c>
      <c r="R7" s="156">
        <f t="shared" si="1"/>
        <v>0.99884259259259256</v>
      </c>
      <c r="S7" s="156">
        <f t="shared" si="1"/>
        <v>0.99884259259259256</v>
      </c>
      <c r="T7" s="156">
        <f t="shared" si="1"/>
        <v>0.99884259259259256</v>
      </c>
      <c r="U7" s="156">
        <f t="shared" si="1"/>
        <v>0.9961162551440329</v>
      </c>
      <c r="V7" s="156">
        <f t="shared" si="1"/>
        <v>0.99884259259259256</v>
      </c>
      <c r="W7" s="156">
        <f t="shared" si="1"/>
        <v>0.99884259259259256</v>
      </c>
      <c r="X7" s="156">
        <f t="shared" si="1"/>
        <v>0.99884259259259256</v>
      </c>
      <c r="Y7" s="156">
        <f t="shared" si="1"/>
        <v>0.99884259259259256</v>
      </c>
      <c r="Z7" s="156">
        <f t="shared" si="1"/>
        <v>0.99884259259259256</v>
      </c>
      <c r="AA7" s="156">
        <f t="shared" si="1"/>
        <v>0.99884259259259256</v>
      </c>
    </row>
    <row r="8" spans="1:27" ht="29.25" hidden="1" customHeight="1">
      <c r="A8" s="129" t="s">
        <v>144</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145</v>
      </c>
      <c r="B9" s="154">
        <f>SUMIFS(IGA_BD!$Q:$Q,IGA_BD!$G:$G,(VLOOKUP(B$4,'Basic Data'!$A:$F,6,0)),IGA_BD!$F:$F,"&gt;="&amp;Analytices!$B$2,IGA_BD!$F:$F,"&lt;="&amp;Analytices!$B$3)</f>
        <v>2.5166666666666622</v>
      </c>
      <c r="C9" s="154">
        <f>SUMIFS(IGA_BD!$Q:$Q,IGA_BD!$G:$G,(VLOOKUP(C$4,'Basic Data'!$A:$F,6,0)),IGA_BD!$F:$F,"&gt;="&amp;Analytices!$B$2,IGA_BD!$F:$F,"&lt;="&amp;Analytices!$B$3)</f>
        <v>2.5166666666666622</v>
      </c>
      <c r="D9" s="154">
        <f>SUMIFS(IGA_BD!$Q:$Q,IGA_BD!$G:$G,(VLOOKUP(D$4,'Basic Data'!$A:$F,6,0)),IGA_BD!$F:$F,"&gt;="&amp;Analytices!$B$2,IGA_BD!$F:$F,"&lt;="&amp;Analytices!$B$3)</f>
        <v>2.5166666666666622</v>
      </c>
      <c r="E9" s="154">
        <f>SUMIFS(IGA_BD!$Q:$Q,IGA_BD!$G:$G,(VLOOKUP(E$4,'Basic Data'!$A:$F,6,0)),IGA_BD!$F:$F,"&gt;="&amp;Analytices!$B$2,IGA_BD!$F:$F,"&lt;="&amp;Analytices!$B$3)</f>
        <v>0.75</v>
      </c>
      <c r="F9" s="154">
        <f>SUMIFS(IGA_BD!$Q:$Q,IGA_BD!$G:$G,(VLOOKUP(F$4,'Basic Data'!$A:$F,6,0)),IGA_BD!$F:$F,"&gt;="&amp;Analytices!$B$2,IGA_BD!$F:$F,"&lt;="&amp;Analytices!$B$3)</f>
        <v>2.5166666666666622</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2.5166666666666622</v>
      </c>
      <c r="K9" s="154">
        <f>SUMIFS(IGA_BD!$Q:$Q,IGA_BD!$G:$G,(VLOOKUP(K$4,'Basic Data'!$A:$F,6,0)),IGA_BD!$F:$F,"&gt;="&amp;Analytices!$B$2,IGA_BD!$F:$F,"&lt;="&amp;Analytices!$B$3)</f>
        <v>2.5166666666666622</v>
      </c>
      <c r="L9" s="154">
        <f>SUMIFS(IGA_BD!$Q:$Q,IGA_BD!$G:$G,(VLOOKUP(L$4,'Basic Data'!$A:$F,6,0)),IGA_BD!$F:$F,"&gt;="&amp;Analytices!$B$2,IGA_BD!$F:$F,"&lt;="&amp;Analytices!$B$3)</f>
        <v>2.5166666666666622</v>
      </c>
      <c r="M9" s="154">
        <f>SUMIFS(IGA_BD!$Q:$Q,IGA_BD!$G:$G,(VLOOKUP(M$4,'Basic Data'!$A:$F,6,0)),IGA_BD!$F:$F,"&gt;="&amp;Analytices!$B$2,IGA_BD!$F:$F,"&lt;="&amp;Analytices!$B$3)</f>
        <v>2.5166666666666622</v>
      </c>
      <c r="N9" s="154">
        <f>SUMIFS(IGA_BD!$Q:$Q,IGA_BD!$G:$G,(VLOOKUP(N$4,'Basic Data'!$A:$F,6,0)),IGA_BD!$F:$F,"&gt;="&amp;Analytices!$B$2,IGA_BD!$F:$F,"&lt;="&amp;Analytices!$B$3)</f>
        <v>2.5166666666666622</v>
      </c>
      <c r="O9" s="154">
        <f>SUMIFS(IGA_BD!$Q:$Q,IGA_BD!$G:$G,(VLOOKUP(O$4,'Basic Data'!$A:$F,6,0)),IGA_BD!$F:$F,"&gt;="&amp;Analytices!$B$2,IGA_BD!$F:$F,"&lt;="&amp;Analytices!$B$3)</f>
        <v>2.5166666666666622</v>
      </c>
      <c r="P9" s="154">
        <f>SUMIFS(IGA_BD!$Q:$Q,IGA_BD!$G:$G,(VLOOKUP(P$4,'Basic Data'!$A:$F,6,0)),IGA_BD!$F:$F,"&gt;="&amp;Analytices!$B$2,IGA_BD!$F:$F,"&lt;="&amp;Analytices!$B$3)</f>
        <v>2.5166666666666622</v>
      </c>
      <c r="Q9" s="154">
        <f>SUMIFS(IGA_BD!$Q:$Q,IGA_BD!$G:$G,(VLOOKUP(Q$4,'Basic Data'!$A:$F,6,0)),IGA_BD!$F:$F,"&gt;="&amp;Analytices!$B$2,IGA_BD!$F:$F,"&lt;="&amp;Analytices!$B$3)</f>
        <v>2.5166666666666622</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2.5166666666666622</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146</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147</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148</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149</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150</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151</v>
      </c>
      <c r="B15" s="153">
        <f>SUMIFS(Input_Raw!F:F,Input_Raw!$A:$A,"&gt;="&amp;Analytices!$B$2,Input_Raw!$A:$A,"&lt;="&amp;Analytices!$B$3)</f>
        <v>652165</v>
      </c>
      <c r="C15" s="153">
        <f>SUMIFS(Input_Raw!G:G,Input_Raw!$A:$A,"&gt;="&amp;Analytices!$B$2,Input_Raw!$A:$A,"&lt;="&amp;Analytices!$B$3)</f>
        <v>706206</v>
      </c>
      <c r="D15" s="153">
        <f>SUMIFS(Input_Raw!H:H,Input_Raw!$A:$A,"&gt;="&amp;Analytices!$B$2,Input_Raw!$A:$A,"&lt;="&amp;Analytices!$B$3)</f>
        <v>657833</v>
      </c>
      <c r="E15" s="153">
        <f>SUMIFS(Input_Raw!I:I,Input_Raw!$A:$A,"&gt;="&amp;Analytices!$B$2,Input_Raw!$A:$A,"&lt;="&amp;Analytices!$B$3)</f>
        <v>678938</v>
      </c>
      <c r="F15" s="153">
        <f>SUMIFS(Input_Raw!J:J,Input_Raw!$A:$A,"&gt;="&amp;Analytices!$B$2,Input_Raw!$A:$A,"&lt;="&amp;Analytices!$B$3)</f>
        <v>697000</v>
      </c>
      <c r="G15" s="153">
        <f>SUMIFS(Input_Raw!K:K,Input_Raw!$A:$A,"&gt;="&amp;Analytices!$B$2,Input_Raw!$A:$A,"&lt;="&amp;Analytices!$B$3)</f>
        <v>735865</v>
      </c>
      <c r="H15" s="153">
        <f>SUMIFS(Input_Raw!L:L,Input_Raw!$A:$A,"&gt;="&amp;Analytices!$B$2,Input_Raw!$A:$A,"&lt;="&amp;Analytices!$B$3)</f>
        <v>664016</v>
      </c>
      <c r="I15" s="153">
        <f>SUMIFS(Input_Raw!M:M,Input_Raw!$A:$A,"&gt;="&amp;Analytices!$B$2,Input_Raw!$A:$A,"&lt;="&amp;Analytices!$B$3)</f>
        <v>683828</v>
      </c>
      <c r="J15" s="153">
        <f>SUMIFS(Input_Raw!N:N,Input_Raw!$A:$A,"&gt;="&amp;Analytices!$B$2,Input_Raw!$A:$A,"&lt;="&amp;Analytices!$B$3)</f>
        <v>660712</v>
      </c>
      <c r="K15" s="153">
        <f>SUMIFS(Input_Raw!O:O,Input_Raw!$A:$A,"&gt;="&amp;Analytices!$B$2,Input_Raw!$A:$A,"&lt;="&amp;Analytices!$B$3)</f>
        <v>685902</v>
      </c>
      <c r="L15" s="153">
        <f>SUMIFS(Input_Raw!P:P,Input_Raw!$A:$A,"&gt;="&amp;Analytices!$B$2,Input_Raw!$A:$A,"&lt;="&amp;Analytices!$B$3)</f>
        <v>651435</v>
      </c>
      <c r="M15" s="153">
        <f>SUMIFS(Input_Raw!Q:Q,Input_Raw!$A:$A,"&gt;="&amp;Analytices!$B$2,Input_Raw!$A:$A,"&lt;="&amp;Analytices!$B$3)</f>
        <v>470010</v>
      </c>
      <c r="N15" s="153">
        <f>SUMIFS(Input_Raw!R:R,Input_Raw!$A:$A,"&gt;="&amp;Analytices!$B$2,Input_Raw!$A:$A,"&lt;="&amp;Analytices!$B$3)</f>
        <v>657151</v>
      </c>
      <c r="O15" s="153">
        <f>SUMIFS(Input_Raw!S:S,Input_Raw!$A:$A,"&gt;="&amp;Analytices!$B$2,Input_Raw!$A:$A,"&lt;="&amp;Analytices!$B$3)</f>
        <v>677920</v>
      </c>
      <c r="P15" s="153">
        <f>SUMIFS(Input_Raw!T:T,Input_Raw!$A:$A,"&gt;="&amp;Analytices!$B$2,Input_Raw!$A:$A,"&lt;="&amp;Analytices!$B$3)</f>
        <v>659535</v>
      </c>
      <c r="Q15" s="153">
        <f>SUMIFS(Input_Raw!U:U,Input_Raw!$A:$A,"&gt;="&amp;Analytices!$B$2,Input_Raw!$A:$A,"&lt;="&amp;Analytices!$B$3)</f>
        <v>703178</v>
      </c>
      <c r="R15" s="153">
        <f>SUMIFS(Input_Raw!V:V,Input_Raw!$A:$A,"&gt;="&amp;Analytices!$B$2,Input_Raw!$A:$A,"&lt;="&amp;Analytices!$B$3)</f>
        <v>773496</v>
      </c>
      <c r="S15" s="153">
        <f>SUMIFS(Input_Raw!W:W,Input_Raw!$A:$A,"&gt;="&amp;Analytices!$B$2,Input_Raw!$A:$A,"&lt;="&amp;Analytices!$B$3)</f>
        <v>716569</v>
      </c>
      <c r="T15" s="153">
        <f>SUMIFS(Input_Raw!X:X,Input_Raw!$A:$A,"&gt;="&amp;Analytices!$B$2,Input_Raw!$A:$A,"&lt;="&amp;Analytices!$B$3)</f>
        <v>759337</v>
      </c>
      <c r="U15" s="153">
        <f>SUMIFS(Input_Raw!Y:Y,Input_Raw!$A:$A,"&gt;="&amp;Analytices!$B$2,Input_Raw!$A:$A,"&lt;="&amp;Analytices!$B$3)</f>
        <v>533012</v>
      </c>
      <c r="V15" s="153">
        <f>SUMIFS(Input_Raw!Z:Z,Input_Raw!$A:$A,"&gt;="&amp;Analytices!$B$2,Input_Raw!$A:$A,"&lt;="&amp;Analytices!$B$3)</f>
        <v>732302</v>
      </c>
      <c r="W15" s="153">
        <f>SUMIFS(Input_Raw!AA:AA,Input_Raw!$A:$A,"&gt;="&amp;Analytices!$B$2,Input_Raw!$A:$A,"&lt;="&amp;Analytices!$B$3)</f>
        <v>716658</v>
      </c>
      <c r="X15" s="153">
        <f>SUMIFS(Input_Raw!AB:AB,Input_Raw!$A:$A,"&gt;="&amp;Analytices!$B$2,Input_Raw!$A:$A,"&lt;="&amp;Analytices!$B$3)</f>
        <v>677233</v>
      </c>
      <c r="Y15" s="153">
        <f>SUMIFS(Input_Raw!AC:AC,Input_Raw!$A:$A,"&gt;="&amp;Analytices!$B$2,Input_Raw!$A:$A,"&lt;="&amp;Analytices!$B$3)</f>
        <v>728175</v>
      </c>
      <c r="Z15" s="153">
        <f>SUMIFS(Input_Raw!AD:AD,Input_Raw!$A:$A,"&gt;="&amp;Analytices!$B$2,Input_Raw!$A:$A,"&lt;="&amp;Analytices!$B$3)</f>
        <v>736603</v>
      </c>
      <c r="AA15" s="153">
        <f>SUMIFS(Input_Raw!AE:AE,Input_Raw!$A:$A,"&gt;="&amp;Analytices!$B$2,Input_Raw!$A:$A,"&lt;="&amp;Analytices!$B$3)</f>
        <v>681540</v>
      </c>
    </row>
    <row r="16" spans="1:27" ht="29.25" customHeight="1">
      <c r="A16" s="127" t="s">
        <v>152</v>
      </c>
      <c r="B16" s="155">
        <f>IFERROR(($C$3-(SUM(B8:B12,B14,B6)))/$C$3,1)</f>
        <v>0.99534465020576135</v>
      </c>
      <c r="C16" s="155">
        <f t="shared" ref="C16:AA16" si="4">IFERROR(($C$3-(SUM(C8:C12,C14,C6)))/$C$3,1)</f>
        <v>0.99534465020576135</v>
      </c>
      <c r="D16" s="155">
        <f t="shared" si="4"/>
        <v>0.99534465020576135</v>
      </c>
      <c r="E16" s="155">
        <f t="shared" si="4"/>
        <v>0.99807098765432101</v>
      </c>
      <c r="F16" s="155">
        <f t="shared" si="4"/>
        <v>0.99534465020576135</v>
      </c>
      <c r="G16" s="155">
        <f t="shared" si="4"/>
        <v>0.99807098765432101</v>
      </c>
      <c r="H16" s="155">
        <f t="shared" si="4"/>
        <v>0.99807098765432101</v>
      </c>
      <c r="I16" s="155">
        <f t="shared" si="4"/>
        <v>0.99807098765432101</v>
      </c>
      <c r="J16" s="155">
        <f t="shared" si="4"/>
        <v>0.99534465020576135</v>
      </c>
      <c r="K16" s="155">
        <f t="shared" si="4"/>
        <v>0.99534465020576135</v>
      </c>
      <c r="L16" s="155">
        <f t="shared" si="4"/>
        <v>0.99534465020576135</v>
      </c>
      <c r="M16" s="155">
        <f t="shared" si="4"/>
        <v>0.99534465020576135</v>
      </c>
      <c r="N16" s="155">
        <f t="shared" si="4"/>
        <v>0.99534465020576135</v>
      </c>
      <c r="O16" s="155">
        <f t="shared" si="4"/>
        <v>0.99534465020576135</v>
      </c>
      <c r="P16" s="155">
        <f t="shared" si="4"/>
        <v>0.99534465020576135</v>
      </c>
      <c r="Q16" s="155">
        <f t="shared" si="4"/>
        <v>0.99534465020576135</v>
      </c>
      <c r="R16" s="155">
        <f t="shared" si="4"/>
        <v>0.99807098765432101</v>
      </c>
      <c r="S16" s="155">
        <f t="shared" si="4"/>
        <v>0.99807098765432101</v>
      </c>
      <c r="T16" s="155">
        <f t="shared" si="4"/>
        <v>0.99807098765432101</v>
      </c>
      <c r="U16" s="155">
        <f t="shared" si="4"/>
        <v>0.99534465020576135</v>
      </c>
      <c r="V16" s="155">
        <f t="shared" si="4"/>
        <v>0.99807098765432101</v>
      </c>
      <c r="W16" s="155">
        <f t="shared" si="4"/>
        <v>0.99807098765432101</v>
      </c>
      <c r="X16" s="155">
        <f t="shared" si="4"/>
        <v>0.99807098765432101</v>
      </c>
      <c r="Y16" s="155">
        <f t="shared" si="4"/>
        <v>0.99807098765432101</v>
      </c>
      <c r="Z16" s="155">
        <f t="shared" si="4"/>
        <v>0.99807098765432101</v>
      </c>
      <c r="AA16" s="155">
        <f t="shared" si="4"/>
        <v>0.99807098765432101</v>
      </c>
    </row>
    <row r="17" spans="1:27" ht="29.25" hidden="1" customHeight="1">
      <c r="A17" s="129" t="s">
        <v>153</v>
      </c>
      <c r="B17" s="154">
        <f>SUMIFS(WTG_BD!$T:$T,WTG_BD!$F:$F,"&gt;="&amp;Analytices!$B$2,WTG_BD!$F:$F,"&lt;="&amp;Analytices!$B$3,WTG_BD!$G:$G,B4)</f>
        <v>0.49999999999999822</v>
      </c>
      <c r="C17" s="154">
        <f>SUMIFS(WTG_BD!$T:$T,WTG_BD!$F:$F,"&gt;="&amp;Analytices!$B$2,WTG_BD!$F:$F,"&lt;="&amp;Analytices!$B$3,WTG_BD!$G:$G,C4)</f>
        <v>14.283333333333331</v>
      </c>
      <c r="D17" s="154">
        <f>SUMIFS(WTG_BD!$T:$T,WTG_BD!$F:$F,"&gt;="&amp;Analytices!$B$2,WTG_BD!$F:$F,"&lt;="&amp;Analytices!$B$3,WTG_BD!$G:$G,D4)</f>
        <v>15.233333333333331</v>
      </c>
      <c r="E17" s="154">
        <f>SUMIFS(WTG_BD!$T:$T,WTG_BD!$F:$F,"&gt;="&amp;Analytices!$B$2,WTG_BD!$F:$F,"&lt;="&amp;Analytices!$B$3,WTG_BD!$G:$G,E4)</f>
        <v>6.6833333333333345</v>
      </c>
      <c r="F17" s="154">
        <f>SUMIFS(WTG_BD!$T:$T,WTG_BD!$F:$F,"&gt;="&amp;Analytices!$B$2,WTG_BD!$F:$F,"&lt;="&amp;Analytices!$B$3,WTG_BD!$G:$G,F4)</f>
        <v>3.2999999999999963</v>
      </c>
      <c r="G17" s="154">
        <f>SUMIFS(WTG_BD!$T:$T,WTG_BD!$F:$F,"&gt;="&amp;Analytices!$B$2,WTG_BD!$F:$F,"&lt;="&amp;Analytices!$B$3,WTG_BD!$G:$G,G4)</f>
        <v>10.25</v>
      </c>
      <c r="H17" s="154">
        <f>SUMIFS(WTG_BD!$T:$T,WTG_BD!$F:$F,"&gt;="&amp;Analytices!$B$2,WTG_BD!$F:$F,"&lt;="&amp;Analytices!$B$3,WTG_BD!$G:$G,H4)</f>
        <v>5.9500000000000064</v>
      </c>
      <c r="I17" s="154">
        <f>SUMIFS(WTG_BD!$T:$T,WTG_BD!$F:$F,"&gt;="&amp;Analytices!$B$2,WTG_BD!$F:$F,"&lt;="&amp;Analytices!$B$3,WTG_BD!$G:$G,I4)</f>
        <v>3.2166666666666672</v>
      </c>
      <c r="J17" s="154">
        <f>SUMIFS(WTG_BD!$T:$T,WTG_BD!$F:$F,"&gt;="&amp;Analytices!$B$2,WTG_BD!$F:$F,"&lt;="&amp;Analytices!$B$3,WTG_BD!$G:$G,J4)</f>
        <v>2.8500000000000005</v>
      </c>
      <c r="K17" s="154">
        <f>SUMIFS(WTG_BD!$T:$T,WTG_BD!$F:$F,"&gt;="&amp;Analytices!$B$2,WTG_BD!$F:$F,"&lt;="&amp;Analytices!$B$3,WTG_BD!$G:$G,K4)</f>
        <v>0.79999999999999849</v>
      </c>
      <c r="L17" s="154">
        <f>SUMIFS(WTG_BD!$T:$T,WTG_BD!$F:$F,"&gt;="&amp;Analytices!$B$2,WTG_BD!$F:$F,"&lt;="&amp;Analytices!$B$3,WTG_BD!$G:$G,L4)</f>
        <v>10.46666666666667</v>
      </c>
      <c r="M17" s="154">
        <f>SUMIFS(WTG_BD!$T:$T,WTG_BD!$F:$F,"&gt;="&amp;Analytices!$B$2,WTG_BD!$F:$F,"&lt;="&amp;Analytices!$B$3,WTG_BD!$G:$G,M4)</f>
        <v>168.39861111111108</v>
      </c>
      <c r="N17" s="154">
        <f>SUMIFS(WTG_BD!$T:$T,WTG_BD!$F:$F,"&gt;="&amp;Analytices!$B$2,WTG_BD!$F:$F,"&lt;="&amp;Analytices!$B$3,WTG_BD!$G:$G,N4)</f>
        <v>3.3833333333333346</v>
      </c>
      <c r="O17" s="154">
        <f>SUMIFS(WTG_BD!$T:$T,WTG_BD!$F:$F,"&gt;="&amp;Analytices!$B$2,WTG_BD!$F:$F,"&lt;="&amp;Analytices!$B$3,WTG_BD!$G:$G,O4)</f>
        <v>1.966666666666669</v>
      </c>
      <c r="P17" s="154">
        <f>SUMIFS(WTG_BD!$T:$T,WTG_BD!$F:$F,"&gt;="&amp;Analytices!$B$2,WTG_BD!$F:$F,"&lt;="&amp;Analytices!$B$3,WTG_BD!$G:$G,P4)</f>
        <v>8.299722222222222</v>
      </c>
      <c r="Q17" s="154">
        <f>SUMIFS(WTG_BD!$T:$T,WTG_BD!$F:$F,"&gt;="&amp;Analytices!$B$2,WTG_BD!$F:$F,"&lt;="&amp;Analytices!$B$3,WTG_BD!$G:$G,Q4)</f>
        <v>3.5166666666666688</v>
      </c>
      <c r="R17" s="154">
        <f>SUMIFS(WTG_BD!$T:$T,WTG_BD!$F:$F,"&gt;="&amp;Analytices!$B$2,WTG_BD!$F:$F,"&lt;="&amp;Analytices!$B$3,WTG_BD!$G:$G,R4)</f>
        <v>4.1833333333333327</v>
      </c>
      <c r="S17" s="154">
        <f>SUMIFS(WTG_BD!$T:$T,WTG_BD!$F:$F,"&gt;="&amp;Analytices!$B$2,WTG_BD!$F:$F,"&lt;="&amp;Analytices!$B$3,WTG_BD!$G:$G,S4)</f>
        <v>22.04999999999999</v>
      </c>
      <c r="T17" s="154">
        <f>SUMIFS(WTG_BD!$T:$T,WTG_BD!$F:$F,"&gt;="&amp;Analytices!$B$2,WTG_BD!$F:$F,"&lt;="&amp;Analytices!$B$3,WTG_BD!$G:$G,T4)</f>
        <v>1.7333333333333325</v>
      </c>
      <c r="U17" s="154">
        <f>SUMIFS(WTG_BD!$T:$T,WTG_BD!$F:$F,"&gt;="&amp;Analytices!$B$2,WTG_BD!$F:$F,"&lt;="&amp;Analytices!$B$3,WTG_BD!$G:$G,U4)</f>
        <v>121.43305555555557</v>
      </c>
      <c r="V17" s="154">
        <f>SUMIFS(WTG_BD!$T:$T,WTG_BD!$F:$F,"&gt;="&amp;Analytices!$B$2,WTG_BD!$F:$F,"&lt;="&amp;Analytices!$B$3,WTG_BD!$G:$G,V4)</f>
        <v>0.46666666666666767</v>
      </c>
      <c r="W17" s="154">
        <f>SUMIFS(WTG_BD!$T:$T,WTG_BD!$F:$F,"&gt;="&amp;Analytices!$B$2,WTG_BD!$F:$F,"&lt;="&amp;Analytices!$B$3,WTG_BD!$G:$G,W4)</f>
        <v>6.6000000000000041</v>
      </c>
      <c r="X17" s="154">
        <f>SUMIFS(WTG_BD!$T:$T,WTG_BD!$F:$F,"&gt;="&amp;Analytices!$B$2,WTG_BD!$F:$F,"&lt;="&amp;Analytices!$B$3,WTG_BD!$G:$G,X4)</f>
        <v>4.9166666666666679</v>
      </c>
      <c r="Y17" s="154">
        <f>SUMIFS(WTG_BD!$T:$T,WTG_BD!$F:$F,"&gt;="&amp;Analytices!$B$2,WTG_BD!$F:$F,"&lt;="&amp;Analytices!$B$3,WTG_BD!$G:$G,Y4)</f>
        <v>0.70000000000000151</v>
      </c>
      <c r="Z17" s="154">
        <f>SUMIFS(WTG_BD!$T:$T,WTG_BD!$F:$F,"&gt;="&amp;Analytices!$B$2,WTG_BD!$F:$F,"&lt;="&amp;Analytices!$B$3,WTG_BD!$G:$G,Z4)</f>
        <v>0.88333333333333353</v>
      </c>
      <c r="AA17" s="154">
        <f>SUMIFS(WTG_BD!$T:$T,WTG_BD!$F:$F,"&gt;="&amp;Analytices!$B$2,WTG_BD!$F:$F,"&lt;="&amp;Analytices!$B$3,WTG_BD!$G:$G,AA4)</f>
        <v>4.7666666666666684</v>
      </c>
    </row>
    <row r="18" spans="1:27" ht="29.25" hidden="1" customHeight="1">
      <c r="A18" s="129" t="s">
        <v>154</v>
      </c>
      <c r="B18" s="154">
        <f>COUNTIFS(WTG_BD!$F:$F,"&gt;="&amp;Analytices!$B$2,WTG_BD!$F:$F,"&lt;="&amp;Analytices!$B$3,WTG_BD!$G:$G,B4)</f>
        <v>8</v>
      </c>
      <c r="C18" s="154">
        <f>COUNTIFS(WTG_BD!$F:$F,"&gt;="&amp;Analytices!$B$2,WTG_BD!$F:$F,"&lt;="&amp;Analytices!$B$3,WTG_BD!$G:$G,C4)</f>
        <v>13</v>
      </c>
      <c r="D18" s="154">
        <f>COUNTIFS(WTG_BD!$F:$F,"&gt;="&amp;Analytices!$B$2,WTG_BD!$F:$F,"&lt;="&amp;Analytices!$B$3,WTG_BD!$G:$G,D4)</f>
        <v>5</v>
      </c>
      <c r="E18" s="154">
        <f>COUNTIFS(WTG_BD!$F:$F,"&gt;="&amp;Analytices!$B$2,WTG_BD!$F:$F,"&lt;="&amp;Analytices!$B$3,WTG_BD!$G:$G,E4)</f>
        <v>13</v>
      </c>
      <c r="F18" s="154">
        <f>COUNTIFS(WTG_BD!$F:$F,"&gt;="&amp;Analytices!$B$2,WTG_BD!$F:$F,"&lt;="&amp;Analytices!$B$3,WTG_BD!$G:$G,F4)</f>
        <v>14</v>
      </c>
      <c r="G18" s="154">
        <f>COUNTIFS(WTG_BD!$F:$F,"&gt;="&amp;Analytices!$B$2,WTG_BD!$F:$F,"&lt;="&amp;Analytices!$B$3,WTG_BD!$G:$G,G4)</f>
        <v>6</v>
      </c>
      <c r="H18" s="154">
        <f>COUNTIFS(WTG_BD!$F:$F,"&gt;="&amp;Analytices!$B$2,WTG_BD!$F:$F,"&lt;="&amp;Analytices!$B$3,WTG_BD!$G:$G,H4)</f>
        <v>6</v>
      </c>
      <c r="I18" s="154">
        <f>COUNTIFS(WTG_BD!$F:$F,"&gt;="&amp;Analytices!$B$2,WTG_BD!$F:$F,"&lt;="&amp;Analytices!$B$3,WTG_BD!$G:$G,I4)</f>
        <v>3</v>
      </c>
      <c r="J18" s="154">
        <f>COUNTIFS(WTG_BD!$F:$F,"&gt;="&amp;Analytices!$B$2,WTG_BD!$F:$F,"&lt;="&amp;Analytices!$B$3,WTG_BD!$G:$G,J4)</f>
        <v>4</v>
      </c>
      <c r="K18" s="154">
        <f>COUNTIFS(WTG_BD!$F:$F,"&gt;="&amp;Analytices!$B$2,WTG_BD!$F:$F,"&lt;="&amp;Analytices!$B$3,WTG_BD!$G:$G,K4)</f>
        <v>6</v>
      </c>
      <c r="L18" s="154">
        <f>COUNTIFS(WTG_BD!$F:$F,"&gt;="&amp;Analytices!$B$2,WTG_BD!$F:$F,"&lt;="&amp;Analytices!$B$3,WTG_BD!$G:$G,L4)</f>
        <v>4</v>
      </c>
      <c r="M18" s="154">
        <f>COUNTIFS(WTG_BD!$F:$F,"&gt;="&amp;Analytices!$B$2,WTG_BD!$F:$F,"&lt;="&amp;Analytices!$B$3,WTG_BD!$G:$G,M4)</f>
        <v>47</v>
      </c>
      <c r="N18" s="154">
        <f>COUNTIFS(WTG_BD!$F:$F,"&gt;="&amp;Analytices!$B$2,WTG_BD!$F:$F,"&lt;="&amp;Analytices!$B$3,WTG_BD!$G:$G,N4)</f>
        <v>4</v>
      </c>
      <c r="O18" s="154">
        <f>COUNTIFS(WTG_BD!$F:$F,"&gt;="&amp;Analytices!$B$2,WTG_BD!$F:$F,"&lt;="&amp;Analytices!$B$3,WTG_BD!$G:$G,O4)</f>
        <v>9</v>
      </c>
      <c r="P18" s="154">
        <f>COUNTIFS(WTG_BD!$F:$F,"&gt;="&amp;Analytices!$B$2,WTG_BD!$F:$F,"&lt;="&amp;Analytices!$B$3,WTG_BD!$G:$G,P4)</f>
        <v>8</v>
      </c>
      <c r="Q18" s="154">
        <f>COUNTIFS(WTG_BD!$F:$F,"&gt;="&amp;Analytices!$B$2,WTG_BD!$F:$F,"&lt;="&amp;Analytices!$B$3,WTG_BD!$G:$G,Q4)</f>
        <v>5</v>
      </c>
      <c r="R18" s="154">
        <f>COUNTIFS(WTG_BD!$F:$F,"&gt;="&amp;Analytices!$B$2,WTG_BD!$F:$F,"&lt;="&amp;Analytices!$B$3,WTG_BD!$G:$G,R4)</f>
        <v>3</v>
      </c>
      <c r="S18" s="154">
        <f>COUNTIFS(WTG_BD!$F:$F,"&gt;="&amp;Analytices!$B$2,WTG_BD!$F:$F,"&lt;="&amp;Analytices!$B$3,WTG_BD!$G:$G,S4)</f>
        <v>7</v>
      </c>
      <c r="T18" s="154">
        <f>COUNTIFS(WTG_BD!$F:$F,"&gt;="&amp;Analytices!$B$2,WTG_BD!$F:$F,"&lt;="&amp;Analytices!$B$3,WTG_BD!$G:$G,T4)</f>
        <v>1</v>
      </c>
      <c r="U18" s="154">
        <f>COUNTIFS(WTG_BD!$F:$F,"&gt;="&amp;Analytices!$B$2,WTG_BD!$F:$F,"&lt;="&amp;Analytices!$B$3,WTG_BD!$G:$G,U4)</f>
        <v>12</v>
      </c>
      <c r="V18" s="154">
        <f>COUNTIFS(WTG_BD!$F:$F,"&gt;="&amp;Analytices!$B$2,WTG_BD!$F:$F,"&lt;="&amp;Analytices!$B$3,WTG_BD!$G:$G,V4)</f>
        <v>4</v>
      </c>
      <c r="W18" s="154">
        <f>COUNTIFS(WTG_BD!$F:$F,"&gt;="&amp;Analytices!$B$2,WTG_BD!$F:$F,"&lt;="&amp;Analytices!$B$3,WTG_BD!$G:$G,W4)</f>
        <v>7</v>
      </c>
      <c r="X18" s="154">
        <f>COUNTIFS(WTG_BD!$F:$F,"&gt;="&amp;Analytices!$B$2,WTG_BD!$F:$F,"&lt;="&amp;Analytices!$B$3,WTG_BD!$G:$G,X4)</f>
        <v>8</v>
      </c>
      <c r="Y18" s="154">
        <f>COUNTIFS(WTG_BD!$F:$F,"&gt;="&amp;Analytices!$B$2,WTG_BD!$F:$F,"&lt;="&amp;Analytices!$B$3,WTG_BD!$G:$G,Y4)</f>
        <v>2</v>
      </c>
      <c r="Z18" s="154">
        <f>COUNTIFS(WTG_BD!$F:$F,"&gt;="&amp;Analytices!$B$2,WTG_BD!$F:$F,"&lt;="&amp;Analytices!$B$3,WTG_BD!$G:$G,Z4)</f>
        <v>2</v>
      </c>
      <c r="AA18" s="154">
        <f>COUNTIFS(WTG_BD!$F:$F,"&gt;="&amp;Analytices!$B$2,WTG_BD!$F:$F,"&lt;="&amp;Analytices!$B$3,WTG_BD!$G:$G,AA4)</f>
        <v>5</v>
      </c>
    </row>
    <row r="19" spans="1:27" ht="29.25" customHeight="1">
      <c r="A19" s="127" t="s">
        <v>155</v>
      </c>
      <c r="B19" s="159">
        <f>IFERROR(B17/B18,0)</f>
        <v>6.2499999999999778E-2</v>
      </c>
      <c r="C19" s="159">
        <f t="shared" ref="C19:AA19" si="5">IFERROR(C17/C18,0)</f>
        <v>1.0987179487179486</v>
      </c>
      <c r="D19" s="159">
        <f t="shared" si="5"/>
        <v>3.046666666666666</v>
      </c>
      <c r="E19" s="159">
        <f t="shared" si="5"/>
        <v>0.51410256410256416</v>
      </c>
      <c r="F19" s="159">
        <f t="shared" si="5"/>
        <v>0.23571428571428546</v>
      </c>
      <c r="G19" s="159">
        <f t="shared" si="5"/>
        <v>1.7083333333333333</v>
      </c>
      <c r="H19" s="159">
        <f t="shared" si="5"/>
        <v>0.9916666666666677</v>
      </c>
      <c r="I19" s="159">
        <f t="shared" si="5"/>
        <v>1.0722222222222224</v>
      </c>
      <c r="J19" s="159">
        <f t="shared" si="5"/>
        <v>0.71250000000000013</v>
      </c>
      <c r="K19" s="159">
        <f t="shared" si="5"/>
        <v>0.13333333333333308</v>
      </c>
      <c r="L19" s="159">
        <f t="shared" si="5"/>
        <v>2.6166666666666676</v>
      </c>
      <c r="M19" s="159">
        <f t="shared" si="5"/>
        <v>3.5829491725768317</v>
      </c>
      <c r="N19" s="159">
        <f t="shared" si="5"/>
        <v>0.84583333333333366</v>
      </c>
      <c r="O19" s="159">
        <f t="shared" si="5"/>
        <v>0.21851851851851878</v>
      </c>
      <c r="P19" s="159">
        <f t="shared" si="5"/>
        <v>1.0374652777777778</v>
      </c>
      <c r="Q19" s="159">
        <f t="shared" si="5"/>
        <v>0.70333333333333381</v>
      </c>
      <c r="R19" s="159">
        <f t="shared" si="5"/>
        <v>1.3944444444444442</v>
      </c>
      <c r="S19" s="159">
        <f t="shared" si="5"/>
        <v>3.1499999999999986</v>
      </c>
      <c r="T19" s="159">
        <f t="shared" si="5"/>
        <v>1.7333333333333325</v>
      </c>
      <c r="U19" s="159">
        <f t="shared" si="5"/>
        <v>10.119421296296297</v>
      </c>
      <c r="V19" s="159">
        <f t="shared" si="5"/>
        <v>0.11666666666666692</v>
      </c>
      <c r="W19" s="159">
        <f t="shared" si="5"/>
        <v>0.94285714285714339</v>
      </c>
      <c r="X19" s="159">
        <f t="shared" si="5"/>
        <v>0.61458333333333348</v>
      </c>
      <c r="Y19" s="159">
        <f t="shared" si="5"/>
        <v>0.35000000000000075</v>
      </c>
      <c r="Z19" s="159">
        <f t="shared" si="5"/>
        <v>0.44166666666666676</v>
      </c>
      <c r="AA19" s="159">
        <f t="shared" si="5"/>
        <v>0.9533333333333337</v>
      </c>
    </row>
    <row r="20" spans="1:27" ht="29.25" customHeight="1">
      <c r="A20" s="127" t="s">
        <v>156</v>
      </c>
      <c r="B20" s="159">
        <f>IFERROR(($C$3-B17)/B18,$C$3)</f>
        <v>80.9375</v>
      </c>
      <c r="C20" s="159">
        <f t="shared" ref="C20:AA20" si="6">IFERROR(($C$3-C17)/C18,$C$3)</f>
        <v>48.747435897435899</v>
      </c>
      <c r="D20" s="159">
        <f t="shared" si="6"/>
        <v>126.55333333333333</v>
      </c>
      <c r="E20" s="159">
        <f t="shared" si="6"/>
        <v>49.332051282051289</v>
      </c>
      <c r="F20" s="159">
        <f t="shared" si="6"/>
        <v>46.050000000000004</v>
      </c>
      <c r="G20" s="159">
        <f t="shared" si="6"/>
        <v>106.29166666666667</v>
      </c>
      <c r="H20" s="159">
        <f t="shared" si="6"/>
        <v>107.00833333333333</v>
      </c>
      <c r="I20" s="159">
        <f t="shared" si="6"/>
        <v>214.92777777777778</v>
      </c>
      <c r="J20" s="159">
        <f t="shared" si="6"/>
        <v>161.28749999999999</v>
      </c>
      <c r="K20" s="159">
        <f t="shared" si="6"/>
        <v>107.86666666666667</v>
      </c>
      <c r="L20" s="159">
        <f t="shared" si="6"/>
        <v>159.38333333333333</v>
      </c>
      <c r="M20" s="159">
        <f t="shared" si="6"/>
        <v>10.204284869976359</v>
      </c>
      <c r="N20" s="159">
        <f t="shared" si="6"/>
        <v>161.15416666666667</v>
      </c>
      <c r="O20" s="159">
        <f t="shared" si="6"/>
        <v>71.781481481481478</v>
      </c>
      <c r="P20" s="159">
        <f t="shared" si="6"/>
        <v>79.962534722222216</v>
      </c>
      <c r="Q20" s="159">
        <f t="shared" si="6"/>
        <v>128.89666666666668</v>
      </c>
      <c r="R20" s="159">
        <f t="shared" si="6"/>
        <v>214.60555555555558</v>
      </c>
      <c r="S20" s="159">
        <f t="shared" si="6"/>
        <v>89.421428571428578</v>
      </c>
      <c r="T20" s="159">
        <f t="shared" si="6"/>
        <v>646.26666666666665</v>
      </c>
      <c r="U20" s="159">
        <f t="shared" si="6"/>
        <v>43.880578703703698</v>
      </c>
      <c r="V20" s="159">
        <f t="shared" si="6"/>
        <v>161.88333333333333</v>
      </c>
      <c r="W20" s="159">
        <f t="shared" si="6"/>
        <v>91.628571428571419</v>
      </c>
      <c r="X20" s="159">
        <f t="shared" si="6"/>
        <v>80.385416666666671</v>
      </c>
      <c r="Y20" s="159">
        <f t="shared" si="6"/>
        <v>323.64999999999998</v>
      </c>
      <c r="Z20" s="159">
        <f t="shared" si="6"/>
        <v>323.55833333333334</v>
      </c>
      <c r="AA20" s="159">
        <f t="shared" si="6"/>
        <v>128.64666666666668</v>
      </c>
    </row>
    <row r="21" spans="1:27" ht="29.25" customHeight="1">
      <c r="A21" s="127" t="s">
        <v>157</v>
      </c>
      <c r="B21" s="159">
        <f>ROUND(AVERAGEIFS(Input_Raw!AF:AF,Input_Raw!$A:$A,"&gt;="&amp;Analytices!$B$2,Input_Raw!$A:$A,"&lt;="&amp;Analytices!$B$3),1)</f>
        <v>6.5</v>
      </c>
      <c r="C21" s="159">
        <f>ROUND(AVERAGEIFS(Input_Raw!AG:AG,Input_Raw!$A:$A,"&gt;="&amp;Analytices!$B$2,Input_Raw!$A:$A,"&lt;="&amp;Analytices!$B$3),1)</f>
        <v>6.5</v>
      </c>
      <c r="D21" s="159">
        <f>ROUND(AVERAGEIFS(Input_Raw!AH:AH,Input_Raw!$A:$A,"&gt;="&amp;Analytices!$B$2,Input_Raw!$A:$A,"&lt;="&amp;Analytices!$B$3),1)</f>
        <v>6.4</v>
      </c>
      <c r="E21" s="159">
        <f>ROUND(AVERAGEIFS(Input_Raw!AI:AI,Input_Raw!$A:$A,"&gt;="&amp;Analytices!$B$2,Input_Raw!$A:$A,"&lt;="&amp;Analytices!$B$3),1)</f>
        <v>6.5</v>
      </c>
      <c r="F21" s="159">
        <f>ROUND(AVERAGEIFS(Input_Raw!AJ:AJ,Input_Raw!$A:$A,"&gt;="&amp;Analytices!$B$2,Input_Raw!$A:$A,"&lt;="&amp;Analytices!$B$3),1)</f>
        <v>6.7</v>
      </c>
      <c r="G21" s="159">
        <f>ROUND(AVERAGEIFS(Input_Raw!AK:AK,Input_Raw!$A:$A,"&gt;="&amp;Analytices!$B$2,Input_Raw!$A:$A,"&lt;="&amp;Analytices!$B$3),1)</f>
        <v>7.1</v>
      </c>
      <c r="H21" s="159">
        <f>ROUND(AVERAGEIFS(Input_Raw!AL:AL,Input_Raw!$A:$A,"&gt;="&amp;Analytices!$B$2,Input_Raw!$A:$A,"&lt;="&amp;Analytices!$B$3),1)</f>
        <v>6.4</v>
      </c>
      <c r="I21" s="159">
        <f>ROUND(AVERAGEIFS(Input_Raw!AM:AM,Input_Raw!$A:$A,"&gt;="&amp;Analytices!$B$2,Input_Raw!$A:$A,"&lt;="&amp;Analytices!$B$3),1)</f>
        <v>6.4</v>
      </c>
      <c r="J21" s="159">
        <f>ROUND(AVERAGEIFS(Input_Raw!AN:AN,Input_Raw!$A:$A,"&gt;="&amp;Analytices!$B$2,Input_Raw!$A:$A,"&lt;="&amp;Analytices!$B$3),1)</f>
        <v>6.5</v>
      </c>
      <c r="K21" s="159">
        <f>ROUND(AVERAGEIFS(Input_Raw!AO:AO,Input_Raw!$A:$A,"&gt;="&amp;Analytices!$B$2,Input_Raw!$A:$A,"&lt;="&amp;Analytices!$B$3),1)</f>
        <v>6.5</v>
      </c>
      <c r="L21" s="159">
        <f>ROUND(AVERAGEIFS(Input_Raw!AP:AP,Input_Raw!$A:$A,"&gt;="&amp;Analytices!$B$2,Input_Raw!$A:$A,"&lt;="&amp;Analytices!$B$3),1)</f>
        <v>6.5</v>
      </c>
      <c r="M21" s="159">
        <f>ROUND(AVERAGEIFS(Input_Raw!AQ:AQ,Input_Raw!$A:$A,"&gt;="&amp;Analytices!$B$2,Input_Raw!$A:$A,"&lt;="&amp;Analytices!$B$3),1)</f>
        <v>7.4</v>
      </c>
      <c r="N21" s="159">
        <f>ROUND(AVERAGEIFS(Input_Raw!AR:AR,Input_Raw!$A:$A,"&gt;="&amp;Analytices!$B$2,Input_Raw!$A:$A,"&lt;="&amp;Analytices!$B$3),1)</f>
        <v>6.4</v>
      </c>
      <c r="O21" s="159">
        <f>ROUND(AVERAGEIFS(Input_Raw!AS:AS,Input_Raw!$A:$A,"&gt;="&amp;Analytices!$B$2,Input_Raw!$A:$A,"&lt;="&amp;Analytices!$B$3),1)</f>
        <v>6.5</v>
      </c>
      <c r="P21" s="159">
        <f>ROUND(AVERAGEIFS(Input_Raw!AT:AT,Input_Raw!$A:$A,"&gt;="&amp;Analytices!$B$2,Input_Raw!$A:$A,"&lt;="&amp;Analytices!$B$3),1)</f>
        <v>6.4</v>
      </c>
      <c r="Q21" s="159">
        <f>ROUND(AVERAGEIFS(Input_Raw!AU:AU,Input_Raw!$A:$A,"&gt;="&amp;Analytices!$B$2,Input_Raw!$A:$A,"&lt;="&amp;Analytices!$B$3),1)</f>
        <v>6.6</v>
      </c>
      <c r="R21" s="159">
        <f>ROUND(AVERAGEIFS(Input_Raw!AV:AV,Input_Raw!$A:$A,"&gt;="&amp;Analytices!$B$2,Input_Raw!$A:$A,"&lt;="&amp;Analytices!$B$3),1)</f>
        <v>7</v>
      </c>
      <c r="S21" s="159">
        <f>ROUND(AVERAGEIFS(Input_Raw!AW:AW,Input_Raw!$A:$A,"&gt;="&amp;Analytices!$B$2,Input_Raw!$A:$A,"&lt;="&amp;Analytices!$B$3),1)</f>
        <v>6.7</v>
      </c>
      <c r="T21" s="159">
        <f>ROUND(AVERAGEIFS(Input_Raw!AX:AX,Input_Raw!$A:$A,"&gt;="&amp;Analytices!$B$2,Input_Raw!$A:$A,"&lt;="&amp;Analytices!$B$3),1)</f>
        <v>6.8</v>
      </c>
      <c r="U21" s="159">
        <f>ROUND(AVERAGEIFS(Input_Raw!AY:AY,Input_Raw!$A:$A,"&gt;="&amp;Analytices!$B$2,Input_Raw!$A:$A,"&lt;="&amp;Analytices!$B$3),1)</f>
        <v>6.5</v>
      </c>
      <c r="V21" s="159">
        <f>ROUND(AVERAGEIFS(Input_Raw!AZ:AZ,Input_Raw!$A:$A,"&gt;="&amp;Analytices!$B$2,Input_Raw!$A:$A,"&lt;="&amp;Analytices!$B$3),1)</f>
        <v>6.7</v>
      </c>
      <c r="W21" s="159">
        <f>ROUND(AVERAGEIFS(Input_Raw!BA:BA,Input_Raw!$A:$A,"&gt;="&amp;Analytices!$B$2,Input_Raw!$A:$A,"&lt;="&amp;Analytices!$B$3),1)</f>
        <v>6.8</v>
      </c>
      <c r="X21" s="159">
        <f>ROUND(AVERAGEIFS(Input_Raw!BB:BB,Input_Raw!$A:$A,"&gt;="&amp;Analytices!$B$2,Input_Raw!$A:$A,"&lt;="&amp;Analytices!$B$3),1)</f>
        <v>6.5</v>
      </c>
      <c r="Y21" s="159">
        <f>ROUND(AVERAGEIFS(Input_Raw!BC:BC,Input_Raw!$A:$A,"&gt;="&amp;Analytices!$B$2,Input_Raw!$A:$A,"&lt;="&amp;Analytices!$B$3),1)</f>
        <v>6.7</v>
      </c>
      <c r="Z21" s="159">
        <f>ROUND(AVERAGEIFS(Input_Raw!BD:BD,Input_Raw!$A:$A,"&gt;="&amp;Analytices!$B$2,Input_Raw!$A:$A,"&lt;="&amp;Analytices!$B$3),1)</f>
        <v>6.7</v>
      </c>
      <c r="AA21" s="159">
        <f>ROUND(AVERAGEIFS(Input_Raw!BE:BE,Input_Raw!$A:$A,"&gt;="&amp;Analytices!$B$2,Input_Raw!$A:$A,"&lt;="&amp;Analytices!$B$3),1)</f>
        <v>6.6</v>
      </c>
    </row>
    <row r="22" spans="1:27" ht="29.25" customHeight="1">
      <c r="A22" s="84"/>
    </row>
    <row r="23" spans="1:27" ht="29.25" customHeight="1">
      <c r="A23" s="337" t="s">
        <v>158</v>
      </c>
      <c r="B23" s="337"/>
      <c r="C23" s="337"/>
      <c r="D23" s="337"/>
      <c r="E23" s="337"/>
      <c r="F23" s="337"/>
      <c r="G23" s="337"/>
    </row>
    <row r="24" spans="1:27" ht="29.25" customHeight="1">
      <c r="A24" s="85">
        <v>45017</v>
      </c>
    </row>
    <row r="25" spans="1:27" ht="29.25" customHeight="1">
      <c r="D25" s="335" t="s">
        <v>159</v>
      </c>
      <c r="E25" s="335"/>
      <c r="F25" s="335" t="s">
        <v>160</v>
      </c>
      <c r="G25" s="335"/>
    </row>
    <row r="26" spans="1:27" ht="29.25" customHeight="1">
      <c r="D26" s="335">
        <f ca="1">F26</f>
        <v>20352</v>
      </c>
      <c r="E26" s="335"/>
      <c r="F26" s="336">
        <f ca="1">((TODAY()-1)-(A24))*24</f>
        <v>20352</v>
      </c>
      <c r="G26" s="336"/>
    </row>
    <row r="27" spans="1:27" ht="29.25" customHeight="1">
      <c r="A27" s="132" t="s">
        <v>161</v>
      </c>
      <c r="B27" s="131" t="s">
        <v>162</v>
      </c>
    </row>
    <row r="29" spans="1:27" ht="29.25" customHeight="1">
      <c r="A29" s="132" t="s">
        <v>163</v>
      </c>
      <c r="B29" s="131" t="s">
        <v>164</v>
      </c>
      <c r="C29" s="131" t="s">
        <v>165</v>
      </c>
      <c r="D29" s="131" t="s">
        <v>166</v>
      </c>
      <c r="E29" s="131" t="s">
        <v>167</v>
      </c>
    </row>
    <row r="30" spans="1:27" ht="29.25" customHeight="1">
      <c r="A30" s="112" t="s">
        <v>168</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268" priority="10" operator="lessThan">
      <formula>$D$2+$D$3</formula>
    </cfRule>
    <cfRule type="cellIs" dxfId="267"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86" zoomScaleNormal="70" workbookViewId="0">
      <pane xSplit="4" ySplit="2" topLeftCell="F462" activePane="bottomRight" state="frozen"/>
      <selection pane="bottomRight" activeCell="G486" sqref="G486"/>
      <selection pane="bottomLeft" activeCell="A3" sqref="A3"/>
      <selection pane="topRight" activeCell="E1" sqref="E1"/>
    </sheetView>
  </sheetViews>
  <sheetFormatPr defaultColWidth="8.85546875" defaultRowHeight="14.45"/>
  <cols>
    <col min="1" max="1" width="10.140625" style="167" bestFit="1" customWidth="1"/>
    <col min="2" max="3" width="12.140625" style="167" customWidth="1"/>
    <col min="4" max="4" width="10.85546875" style="167" customWidth="1"/>
    <col min="5" max="30" width="8.85546875" style="167"/>
    <col min="31" max="31" width="10.85546875" style="167" customWidth="1"/>
    <col min="32" max="16384" width="8.85546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50000000000003" customHeight="1">
      <c r="A2" s="194" t="s">
        <v>71</v>
      </c>
      <c r="B2" s="195" t="s">
        <v>3</v>
      </c>
      <c r="C2" s="195" t="s">
        <v>72</v>
      </c>
      <c r="D2" s="195" t="s">
        <v>73</v>
      </c>
      <c r="E2" s="9" t="s">
        <v>169</v>
      </c>
      <c r="F2" s="9" t="s">
        <v>170</v>
      </c>
      <c r="G2" s="9" t="s">
        <v>171</v>
      </c>
      <c r="H2" s="9" t="s">
        <v>172</v>
      </c>
      <c r="I2" s="9" t="s">
        <v>173</v>
      </c>
      <c r="J2" s="9" t="s">
        <v>174</v>
      </c>
      <c r="K2" s="9" t="s">
        <v>175</v>
      </c>
      <c r="L2" s="97" t="s">
        <v>176</v>
      </c>
      <c r="M2" s="97" t="s">
        <v>177</v>
      </c>
      <c r="N2" s="97" t="s">
        <v>178</v>
      </c>
      <c r="O2" s="97" t="s">
        <v>179</v>
      </c>
      <c r="P2" s="97" t="s">
        <v>180</v>
      </c>
      <c r="Q2" s="97" t="s">
        <v>181</v>
      </c>
      <c r="R2" s="97" t="s">
        <v>182</v>
      </c>
      <c r="S2" s="97" t="s">
        <v>183</v>
      </c>
      <c r="T2" s="9" t="s">
        <v>184</v>
      </c>
      <c r="U2" s="9" t="s">
        <v>185</v>
      </c>
      <c r="V2" s="9" t="s">
        <v>186</v>
      </c>
      <c r="W2" s="9" t="s">
        <v>187</v>
      </c>
      <c r="X2" s="9" t="s">
        <v>188</v>
      </c>
      <c r="Y2" s="9" t="s">
        <v>189</v>
      </c>
      <c r="Z2" s="9" t="s">
        <v>190</v>
      </c>
      <c r="AA2" s="9" t="s">
        <v>191</v>
      </c>
      <c r="AB2" s="9" t="s">
        <v>192</v>
      </c>
      <c r="AC2" s="9" t="s">
        <v>193</v>
      </c>
      <c r="AD2" s="9" t="s">
        <v>194</v>
      </c>
      <c r="AE2" s="195" t="s">
        <v>195</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32">
        <v>103.84</v>
      </c>
      <c r="F398" s="232">
        <v>103.84</v>
      </c>
      <c r="G398" s="232">
        <v>103.84</v>
      </c>
      <c r="H398" s="232">
        <v>103.84</v>
      </c>
      <c r="I398" s="232">
        <v>103.84</v>
      </c>
      <c r="J398" s="232">
        <v>103.84</v>
      </c>
      <c r="K398" s="232">
        <v>103.84</v>
      </c>
      <c r="L398" s="232">
        <v>103.84</v>
      </c>
      <c r="M398" s="232">
        <v>103.84</v>
      </c>
      <c r="N398" s="232">
        <v>103.84</v>
      </c>
      <c r="O398" s="232">
        <v>103.84</v>
      </c>
      <c r="P398" s="232">
        <v>103.84</v>
      </c>
      <c r="Q398" s="232">
        <v>103.84</v>
      </c>
      <c r="R398" s="232">
        <v>103.84</v>
      </c>
      <c r="S398" s="232">
        <v>103.84</v>
      </c>
      <c r="T398" s="232">
        <v>103.84</v>
      </c>
      <c r="U398" s="232">
        <v>103.84</v>
      </c>
      <c r="V398" s="232">
        <v>103.84</v>
      </c>
      <c r="W398" s="232">
        <v>103.84</v>
      </c>
      <c r="X398" s="232">
        <v>103.84</v>
      </c>
      <c r="Y398" s="232">
        <v>103.84</v>
      </c>
      <c r="Z398" s="232">
        <v>103.84</v>
      </c>
      <c r="AA398" s="232">
        <v>103.84</v>
      </c>
      <c r="AB398" s="232">
        <v>103.84</v>
      </c>
      <c r="AC398" s="232">
        <v>103.84</v>
      </c>
      <c r="AD398" s="232">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233">
        <v>86.53</v>
      </c>
      <c r="F399" s="233">
        <v>86.53</v>
      </c>
      <c r="G399" s="233">
        <v>86.53</v>
      </c>
      <c r="H399" s="233">
        <v>86.53</v>
      </c>
      <c r="I399" s="233">
        <v>86.53</v>
      </c>
      <c r="J399" s="233">
        <v>86.53</v>
      </c>
      <c r="K399" s="233">
        <v>86.53</v>
      </c>
      <c r="L399" s="233">
        <v>86.53</v>
      </c>
      <c r="M399" s="233">
        <v>86.53</v>
      </c>
      <c r="N399" s="233">
        <v>86.53</v>
      </c>
      <c r="O399" s="233">
        <v>86.53</v>
      </c>
      <c r="P399" s="233">
        <v>86.53</v>
      </c>
      <c r="Q399" s="233">
        <v>86.53</v>
      </c>
      <c r="R399" s="233">
        <v>86.53</v>
      </c>
      <c r="S399" s="233">
        <v>86.53</v>
      </c>
      <c r="T399" s="233">
        <v>86.53</v>
      </c>
      <c r="U399" s="233">
        <v>86.53</v>
      </c>
      <c r="V399" s="233">
        <v>86.53</v>
      </c>
      <c r="W399" s="233">
        <v>86.53</v>
      </c>
      <c r="X399" s="233">
        <v>86.53</v>
      </c>
      <c r="Y399" s="233">
        <v>86.53</v>
      </c>
      <c r="Z399" s="233">
        <v>86.53</v>
      </c>
      <c r="AA399" s="233">
        <v>86.53</v>
      </c>
      <c r="AB399" s="233">
        <v>86.53</v>
      </c>
      <c r="AC399" s="233">
        <v>86.53</v>
      </c>
      <c r="AD399" s="233">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32">
        <v>1107.69</v>
      </c>
      <c r="F400" s="232">
        <v>1107.69</v>
      </c>
      <c r="G400" s="232">
        <v>1107.69</v>
      </c>
      <c r="H400" s="232">
        <v>1107.69</v>
      </c>
      <c r="I400" s="232">
        <v>1107.69</v>
      </c>
      <c r="J400" s="232">
        <v>1107.69</v>
      </c>
      <c r="K400" s="232">
        <v>1107.69</v>
      </c>
      <c r="L400" s="232">
        <v>1107.69</v>
      </c>
      <c r="M400" s="232">
        <v>1107.69</v>
      </c>
      <c r="N400" s="232">
        <v>1107.69</v>
      </c>
      <c r="O400" s="232">
        <v>1107.69</v>
      </c>
      <c r="P400" s="232">
        <v>1107.69</v>
      </c>
      <c r="Q400" s="232">
        <v>1107.69</v>
      </c>
      <c r="R400" s="232">
        <v>1107.69</v>
      </c>
      <c r="S400" s="232">
        <v>1107.69</v>
      </c>
      <c r="T400" s="232">
        <v>1107.69</v>
      </c>
      <c r="U400" s="232">
        <v>1107.69</v>
      </c>
      <c r="V400" s="232">
        <v>1107.69</v>
      </c>
      <c r="W400" s="232">
        <v>1107.69</v>
      </c>
      <c r="X400" s="232">
        <v>1107.69</v>
      </c>
      <c r="Y400" s="232">
        <v>1107.69</v>
      </c>
      <c r="Z400" s="232">
        <v>1107.69</v>
      </c>
      <c r="AA400" s="232">
        <v>1107.69</v>
      </c>
      <c r="AB400" s="232">
        <v>1107.69</v>
      </c>
      <c r="AC400" s="232">
        <v>1107.69</v>
      </c>
      <c r="AD400" s="232">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233">
        <v>796.15</v>
      </c>
      <c r="F401" s="233">
        <v>796.15</v>
      </c>
      <c r="G401" s="233">
        <v>796.15</v>
      </c>
      <c r="H401" s="233">
        <v>796.15</v>
      </c>
      <c r="I401" s="233">
        <v>796.15</v>
      </c>
      <c r="J401" s="233">
        <v>796.15</v>
      </c>
      <c r="K401" s="233">
        <v>796.15</v>
      </c>
      <c r="L401" s="233">
        <v>796.15</v>
      </c>
      <c r="M401" s="233">
        <v>796.15</v>
      </c>
      <c r="N401" s="233">
        <v>796.15</v>
      </c>
      <c r="O401" s="233">
        <v>796.15</v>
      </c>
      <c r="P401" s="233">
        <v>796.15</v>
      </c>
      <c r="Q401" s="233">
        <v>796.15</v>
      </c>
      <c r="R401" s="233">
        <v>796.15</v>
      </c>
      <c r="S401" s="233">
        <v>796.15</v>
      </c>
      <c r="T401" s="233">
        <v>796.15</v>
      </c>
      <c r="U401" s="233">
        <v>796.15</v>
      </c>
      <c r="V401" s="233">
        <v>796.15</v>
      </c>
      <c r="W401" s="233">
        <v>796.15</v>
      </c>
      <c r="X401" s="233">
        <v>796.15</v>
      </c>
      <c r="Y401" s="233">
        <v>796.15</v>
      </c>
      <c r="Z401" s="233">
        <v>796.15</v>
      </c>
      <c r="AA401" s="233">
        <v>796.15</v>
      </c>
      <c r="AB401" s="233">
        <v>796.15</v>
      </c>
      <c r="AC401" s="233">
        <v>796.15</v>
      </c>
      <c r="AD401" s="233">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25"/>
  <sheetViews>
    <sheetView showGridLines="0" zoomScale="80" zoomScaleNormal="80" workbookViewId="0">
      <pane xSplit="1" ySplit="4" topLeftCell="B102" activePane="bottomRight" state="frozen"/>
      <selection pane="bottomRight" activeCell="BS125" sqref="BS125"/>
      <selection pane="bottomLeft" activeCell="B5" sqref="B5"/>
      <selection pane="topRight" activeCell="B5" sqref="B5"/>
    </sheetView>
  </sheetViews>
  <sheetFormatPr defaultColWidth="8.42578125" defaultRowHeight="14.45"/>
  <cols>
    <col min="1" max="1" width="11.42578125" style="1" bestFit="1" customWidth="1"/>
    <col min="2" max="2" width="11.42578125" customWidth="1"/>
    <col min="3" max="3" width="12.42578125" customWidth="1"/>
    <col min="4" max="4" width="15.42578125" customWidth="1"/>
    <col min="7" max="7" width="10.42578125" bestFit="1" customWidth="1"/>
    <col min="14" max="14" width="8.42578125" customWidth="1"/>
    <col min="16" max="16" width="9.42578125" customWidth="1"/>
    <col min="17" max="17" width="11.42578125" bestFit="1" customWidth="1"/>
    <col min="58" max="58" width="12.42578125" customWidth="1"/>
    <col min="59" max="59" width="11.42578125" customWidth="1"/>
    <col min="60" max="60" width="12.5703125" customWidth="1"/>
    <col min="61" max="61" width="11.85546875" customWidth="1"/>
    <col min="62" max="62" width="15.42578125" style="1" customWidth="1"/>
    <col min="63" max="63" width="13.42578125" style="1" customWidth="1"/>
    <col min="64" max="64" width="11.42578125" style="1" customWidth="1"/>
    <col min="65" max="66" width="11.42578125" customWidth="1"/>
    <col min="67" max="67" width="19.42578125" style="2" customWidth="1"/>
    <col min="68" max="68" width="12.42578125" customWidth="1"/>
    <col min="69" max="69" width="18.42578125" style="110" customWidth="1"/>
    <col min="70" max="70" width="13.42578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196</v>
      </c>
      <c r="G3" s="3"/>
      <c r="H3" s="3"/>
      <c r="I3" s="3"/>
      <c r="J3" s="3"/>
      <c r="K3" s="3"/>
      <c r="L3" s="3"/>
      <c r="M3" s="3"/>
      <c r="N3" s="3"/>
      <c r="O3" s="3"/>
      <c r="P3" s="3"/>
      <c r="Q3" s="3"/>
      <c r="R3" s="3"/>
      <c r="S3" s="3"/>
      <c r="T3" s="3"/>
      <c r="U3" s="3"/>
      <c r="V3" s="3"/>
      <c r="W3" s="3"/>
      <c r="X3" s="3"/>
      <c r="Y3" s="3"/>
      <c r="Z3" s="3"/>
      <c r="AA3" s="3"/>
      <c r="AB3" s="3"/>
      <c r="AC3" s="3"/>
      <c r="AD3" s="3"/>
      <c r="AE3" s="3"/>
      <c r="AF3" s="4" t="s">
        <v>197</v>
      </c>
      <c r="AG3" s="4"/>
      <c r="AH3" s="4"/>
      <c r="AI3" s="4"/>
      <c r="AJ3" s="4"/>
      <c r="AK3" s="4"/>
      <c r="AL3" s="4"/>
      <c r="AM3" s="4"/>
      <c r="AN3" s="4"/>
      <c r="AO3" s="4"/>
      <c r="AP3" s="4"/>
      <c r="AQ3" s="4"/>
      <c r="AR3" s="4"/>
      <c r="AS3" s="4"/>
      <c r="AT3" s="4"/>
      <c r="AU3" s="4"/>
      <c r="AV3" s="4"/>
      <c r="AW3" s="4"/>
      <c r="AX3" s="4"/>
      <c r="AY3" s="4"/>
      <c r="AZ3" s="4"/>
      <c r="BA3" s="4"/>
      <c r="BB3" s="4"/>
      <c r="BC3" s="4"/>
      <c r="BD3" s="4"/>
      <c r="BE3" s="4"/>
      <c r="BJ3" s="6"/>
      <c r="BK3" s="5" t="s">
        <v>198</v>
      </c>
      <c r="BL3" s="5"/>
      <c r="BM3" s="5"/>
      <c r="BN3" s="5"/>
    </row>
    <row r="4" spans="1:70" ht="48">
      <c r="A4" s="7" t="s">
        <v>71</v>
      </c>
      <c r="B4" s="8" t="s">
        <v>161</v>
      </c>
      <c r="C4" s="8" t="s">
        <v>199</v>
      </c>
      <c r="D4" s="8" t="s">
        <v>73</v>
      </c>
      <c r="E4" s="8" t="s">
        <v>46</v>
      </c>
      <c r="F4" s="9" t="s">
        <v>115</v>
      </c>
      <c r="G4" s="9" t="s">
        <v>116</v>
      </c>
      <c r="H4" s="9" t="s">
        <v>117</v>
      </c>
      <c r="I4" s="9" t="s">
        <v>118</v>
      </c>
      <c r="J4" s="9" t="s">
        <v>119</v>
      </c>
      <c r="K4" s="9" t="s">
        <v>120</v>
      </c>
      <c r="L4" s="9" t="s">
        <v>121</v>
      </c>
      <c r="M4" s="97" t="s">
        <v>122</v>
      </c>
      <c r="N4" s="97" t="s">
        <v>123</v>
      </c>
      <c r="O4" s="97" t="s">
        <v>124</v>
      </c>
      <c r="P4" s="97" t="s">
        <v>125</v>
      </c>
      <c r="Q4" s="97" t="s">
        <v>126</v>
      </c>
      <c r="R4" s="97" t="s">
        <v>127</v>
      </c>
      <c r="S4" s="97" t="s">
        <v>128</v>
      </c>
      <c r="T4" s="97" t="s">
        <v>129</v>
      </c>
      <c r="U4" s="9" t="s">
        <v>130</v>
      </c>
      <c r="V4" s="9" t="s">
        <v>131</v>
      </c>
      <c r="W4" s="9" t="s">
        <v>132</v>
      </c>
      <c r="X4" s="9" t="s">
        <v>133</v>
      </c>
      <c r="Y4" s="9" t="s">
        <v>134</v>
      </c>
      <c r="Z4" s="9" t="s">
        <v>135</v>
      </c>
      <c r="AA4" s="9" t="s">
        <v>136</v>
      </c>
      <c r="AB4" s="9" t="s">
        <v>137</v>
      </c>
      <c r="AC4" s="9" t="s">
        <v>138</v>
      </c>
      <c r="AD4" s="9" t="s">
        <v>139</v>
      </c>
      <c r="AE4" s="9" t="s">
        <v>140</v>
      </c>
      <c r="AF4" s="9" t="s">
        <v>200</v>
      </c>
      <c r="AG4" s="9" t="s">
        <v>201</v>
      </c>
      <c r="AH4" s="9" t="s">
        <v>202</v>
      </c>
      <c r="AI4" s="9" t="s">
        <v>203</v>
      </c>
      <c r="AJ4" s="9" t="s">
        <v>204</v>
      </c>
      <c r="AK4" s="9" t="s">
        <v>205</v>
      </c>
      <c r="AL4" s="9" t="s">
        <v>206</v>
      </c>
      <c r="AM4" s="9" t="s">
        <v>207</v>
      </c>
      <c r="AN4" s="9" t="s">
        <v>208</v>
      </c>
      <c r="AO4" s="9" t="s">
        <v>209</v>
      </c>
      <c r="AP4" s="9" t="s">
        <v>210</v>
      </c>
      <c r="AQ4" s="9" t="s">
        <v>211</v>
      </c>
      <c r="AR4" s="9" t="s">
        <v>212</v>
      </c>
      <c r="AS4" s="9" t="s">
        <v>213</v>
      </c>
      <c r="AT4" s="9" t="s">
        <v>214</v>
      </c>
      <c r="AU4" s="9" t="s">
        <v>215</v>
      </c>
      <c r="AV4" s="9" t="s">
        <v>216</v>
      </c>
      <c r="AW4" s="9" t="s">
        <v>217</v>
      </c>
      <c r="AX4" s="9" t="s">
        <v>218</v>
      </c>
      <c r="AY4" s="9" t="s">
        <v>219</v>
      </c>
      <c r="AZ4" s="9" t="s">
        <v>220</v>
      </c>
      <c r="BA4" s="9" t="s">
        <v>221</v>
      </c>
      <c r="BB4" s="9" t="s">
        <v>222</v>
      </c>
      <c r="BC4" s="9" t="s">
        <v>223</v>
      </c>
      <c r="BD4" s="9" t="s">
        <v>224</v>
      </c>
      <c r="BE4" s="9" t="s">
        <v>225</v>
      </c>
      <c r="BF4" s="9" t="s">
        <v>226</v>
      </c>
      <c r="BG4" s="9" t="s">
        <v>227</v>
      </c>
      <c r="BH4" s="9" t="s">
        <v>228</v>
      </c>
      <c r="BI4" s="9" t="s">
        <v>229</v>
      </c>
      <c r="BJ4" s="9" t="s">
        <v>230</v>
      </c>
      <c r="BK4" s="9" t="s">
        <v>231</v>
      </c>
      <c r="BL4" s="9" t="s">
        <v>232</v>
      </c>
      <c r="BM4" s="10" t="s">
        <v>233</v>
      </c>
      <c r="BN4" s="10" t="s">
        <v>234</v>
      </c>
      <c r="BO4" s="87" t="s">
        <v>235</v>
      </c>
      <c r="BP4" s="88" t="s">
        <v>236</v>
      </c>
      <c r="BQ4" s="134" t="s">
        <v>237</v>
      </c>
      <c r="BR4" s="88" t="s">
        <v>238</v>
      </c>
    </row>
    <row r="5" spans="1:70" ht="15">
      <c r="A5" s="229">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29">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29">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29">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29">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29">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29">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29">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29">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29">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29">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29">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29">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29">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29">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29">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29">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29">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29">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29">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29">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29">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29">
        <f t="shared" si="3"/>
        <v>45767</v>
      </c>
      <c r="B27" s="11">
        <f>YEAR(Input_Raw[[#This Row],[Date]])+IF(MONTH(Input_Raw[[#This Row],[Date]])&gt;=4,1,0)</f>
        <v>2026</v>
      </c>
      <c r="C27" s="11">
        <f>YEAR(Input_Raw[[#This Row],[Date]])</f>
        <v>2025</v>
      </c>
      <c r="D27" s="12">
        <f t="shared" si="6"/>
        <v>45748</v>
      </c>
      <c r="E27" s="11">
        <f>DAY(EOMONTH(Input_Raw[[#This Row],[Date]],0))</f>
        <v>30</v>
      </c>
      <c r="F27" s="137">
        <v>24919</v>
      </c>
      <c r="G27" s="137">
        <v>30555</v>
      </c>
      <c r="H27" s="137">
        <v>22769</v>
      </c>
      <c r="I27" s="137">
        <v>30756</v>
      </c>
      <c r="J27" s="137">
        <v>30469</v>
      </c>
      <c r="K27" s="137">
        <v>30187</v>
      </c>
      <c r="L27" s="137">
        <v>26515</v>
      </c>
      <c r="M27" s="137">
        <v>23102</v>
      </c>
      <c r="N27" s="137">
        <v>24698</v>
      </c>
      <c r="O27" s="137">
        <v>25632</v>
      </c>
      <c r="P27" s="137">
        <v>27364</v>
      </c>
      <c r="Q27" s="137">
        <v>27081</v>
      </c>
      <c r="R27" s="137">
        <v>22181</v>
      </c>
      <c r="S27" s="137">
        <v>25432</v>
      </c>
      <c r="T27" s="137">
        <v>28875</v>
      </c>
      <c r="U27" s="137">
        <v>27432</v>
      </c>
      <c r="V27" s="137">
        <v>31607</v>
      </c>
      <c r="W27" s="137">
        <v>26006</v>
      </c>
      <c r="X27" s="137">
        <v>30730</v>
      </c>
      <c r="Y27" s="137">
        <v>28383</v>
      </c>
      <c r="Z27" s="137">
        <v>29926</v>
      </c>
      <c r="AA27" s="137">
        <v>28894</v>
      </c>
      <c r="AB27" s="137">
        <v>26129</v>
      </c>
      <c r="AC27" s="13">
        <v>26522</v>
      </c>
      <c r="AD27" s="13">
        <v>30437</v>
      </c>
      <c r="AE27" s="13">
        <v>22337</v>
      </c>
      <c r="AF27" s="138">
        <v>6.8325694534513675</v>
      </c>
      <c r="AG27" s="138">
        <v>7.0727083186308537</v>
      </c>
      <c r="AH27" s="138">
        <v>6.3584027654594841</v>
      </c>
      <c r="AI27" s="138">
        <v>7.1445138802130987</v>
      </c>
      <c r="AJ27" s="138">
        <v>7.1428472151358893</v>
      </c>
      <c r="AK27" s="138">
        <v>7.1264583269755031</v>
      </c>
      <c r="AL27" s="138">
        <v>6.7780555652247525</v>
      </c>
      <c r="AM27" s="138">
        <v>6.4126389159096604</v>
      </c>
      <c r="AN27" s="138">
        <v>6.6050694402721186</v>
      </c>
      <c r="AO27" s="138">
        <v>6.5861111217074919</v>
      </c>
      <c r="AP27" s="138">
        <v>6.837222236726018</v>
      </c>
      <c r="AQ27" s="138">
        <v>6.7897901918504617</v>
      </c>
      <c r="AR27" s="138">
        <v>6.4397202605134112</v>
      </c>
      <c r="AS27" s="138">
        <v>6.6311805488334752</v>
      </c>
      <c r="AT27" s="138">
        <v>6.9379860775338269</v>
      </c>
      <c r="AU27" s="138">
        <v>7.0153147023874549</v>
      </c>
      <c r="AV27" s="138">
        <v>7.2005555362751057</v>
      </c>
      <c r="AW27" s="138">
        <v>7.068181836521708</v>
      </c>
      <c r="AX27" s="138">
        <v>7.0188194364309284</v>
      </c>
      <c r="AY27" s="138">
        <v>7.0671527849303351</v>
      </c>
      <c r="AZ27" s="138">
        <v>7.1595833450555784</v>
      </c>
      <c r="BA27" s="138">
        <v>7.1419444249735919</v>
      </c>
      <c r="BB27" s="138">
        <v>6.7000000029802314</v>
      </c>
      <c r="BC27" s="14">
        <v>6.8062499728467722</v>
      </c>
      <c r="BD27" s="14">
        <v>7.0358333455191708</v>
      </c>
      <c r="BE27" s="14">
        <v>6.3571527782413684</v>
      </c>
      <c r="BF27" s="139">
        <f>SUM(Input_Raw[[#This Row],[O2_01]:[O2_26]])</f>
        <v>708938</v>
      </c>
      <c r="BG27" s="140">
        <f>IFERROR(AVERAGE(Input_Raw[[#This Row],[WS_O2_01]:[WS_O2_26]]),"")</f>
        <v>6.856387018638447</v>
      </c>
      <c r="BH27" s="141"/>
      <c r="BI27" s="141"/>
      <c r="BJ27" s="13">
        <v>687150</v>
      </c>
      <c r="BK27" s="13">
        <v>0</v>
      </c>
      <c r="BL27" s="15">
        <f>Input_Raw[[#This Row],[66 kV_Wind_F1_Export_reading]]-Input_Raw[[#This Row],[66 kV_Wind_F1_Import_reading]]</f>
        <v>687150</v>
      </c>
      <c r="BM27" s="142">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135">
        <v>742.63</v>
      </c>
      <c r="BR27" s="207"/>
    </row>
    <row r="28" spans="1:70" ht="15">
      <c r="A28" s="229">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29">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29">
        <f t="shared" si="3"/>
        <v>45770</v>
      </c>
      <c r="B30" s="11">
        <f>YEAR(Input_Raw[[#This Row],[Date]])+IF(MONTH(Input_Raw[[#This Row],[Date]])&gt;=4,1,0)</f>
        <v>2026</v>
      </c>
      <c r="C30" s="11">
        <f>YEAR(Input_Raw[[#This Row],[Date]])</f>
        <v>2025</v>
      </c>
      <c r="D30" s="12">
        <f t="shared" si="7"/>
        <v>45748</v>
      </c>
      <c r="E30" s="11">
        <f>DAY(EOMONTH(Input_Raw[[#This Row],[Date]],0))</f>
        <v>30</v>
      </c>
      <c r="F30" s="137">
        <v>16960</v>
      </c>
      <c r="G30" s="137">
        <v>21906</v>
      </c>
      <c r="H30" s="137">
        <v>18529</v>
      </c>
      <c r="I30" s="137">
        <v>21315</v>
      </c>
      <c r="J30" s="137">
        <v>22924</v>
      </c>
      <c r="K30" s="137">
        <v>18174</v>
      </c>
      <c r="L30" s="137">
        <v>18316</v>
      </c>
      <c r="M30" s="137">
        <v>12455</v>
      </c>
      <c r="N30" s="137">
        <v>18013</v>
      </c>
      <c r="O30" s="137">
        <v>16676</v>
      </c>
      <c r="P30" s="137">
        <v>10518</v>
      </c>
      <c r="Q30" s="137">
        <v>18749</v>
      </c>
      <c r="R30" s="137">
        <v>17915</v>
      </c>
      <c r="S30" s="137">
        <v>18765</v>
      </c>
      <c r="T30" s="137">
        <v>20642</v>
      </c>
      <c r="U30" s="137">
        <v>20193</v>
      </c>
      <c r="V30" s="137">
        <v>25074</v>
      </c>
      <c r="W30" s="137">
        <v>14474</v>
      </c>
      <c r="X30" s="137">
        <v>20286</v>
      </c>
      <c r="Y30" s="137">
        <v>18572</v>
      </c>
      <c r="Z30" s="137">
        <v>16989</v>
      </c>
      <c r="AA30" s="137">
        <v>19787</v>
      </c>
      <c r="AB30" s="137">
        <v>19115</v>
      </c>
      <c r="AC30" s="13">
        <v>20098</v>
      </c>
      <c r="AD30" s="13">
        <v>20542</v>
      </c>
      <c r="AE30" s="13">
        <v>13113</v>
      </c>
      <c r="AF30" s="138">
        <v>5.46652778238058</v>
      </c>
      <c r="AG30" s="138">
        <v>5.7305555749270649</v>
      </c>
      <c r="AH30" s="138">
        <v>5.6083333326710587</v>
      </c>
      <c r="AI30" s="138">
        <v>5.7503472210632411</v>
      </c>
      <c r="AJ30" s="138">
        <v>5.9512500125500862</v>
      </c>
      <c r="AK30" s="138">
        <v>5.6327083127366162</v>
      </c>
      <c r="AL30" s="138">
        <v>5.4509722168246872</v>
      </c>
      <c r="AM30" s="138">
        <v>4.8827083342605162</v>
      </c>
      <c r="AN30" s="138">
        <v>5.6152083426713935</v>
      </c>
      <c r="AO30" s="138">
        <v>5.4491666770643654</v>
      </c>
      <c r="AP30" s="138">
        <v>6.0307746479209028</v>
      </c>
      <c r="AQ30" s="138">
        <v>5.7333333359824277</v>
      </c>
      <c r="AR30" s="138">
        <v>5.6360416834553071</v>
      </c>
      <c r="AS30" s="138">
        <v>5.7172916440500146</v>
      </c>
      <c r="AT30" s="138">
        <v>5.8374999993377257</v>
      </c>
      <c r="AU30" s="138">
        <v>5.8208333485656309</v>
      </c>
      <c r="AV30" s="138">
        <v>6.1107639140552932</v>
      </c>
      <c r="AW30" s="138">
        <v>5.522361119588215</v>
      </c>
      <c r="AX30" s="138">
        <v>5.4928472364942227</v>
      </c>
      <c r="AY30" s="138">
        <v>5.731736096243063</v>
      </c>
      <c r="AZ30" s="138">
        <v>5.6434027916855278</v>
      </c>
      <c r="BA30" s="138">
        <v>5.8226389065384856</v>
      </c>
      <c r="BB30" s="138">
        <v>5.7935416681898957</v>
      </c>
      <c r="BC30" s="14">
        <v>5.8375000208616248</v>
      </c>
      <c r="BD30" s="14">
        <v>5.6965972433487568</v>
      </c>
      <c r="BE30" s="14">
        <v>4.9991666467653371</v>
      </c>
      <c r="BF30" s="139">
        <f>SUM(Input_Raw[[#This Row],[O2_01]:[O2_26]])</f>
        <v>480100</v>
      </c>
      <c r="BG30" s="140">
        <f>IFERROR(AVERAGE(Input_Raw[[#This Row],[WS_O2_01]:[WS_O2_26]]),"")</f>
        <v>5.6524656965473854</v>
      </c>
      <c r="BH30" s="141"/>
      <c r="BI30" s="141"/>
      <c r="BJ30" s="13">
        <v>464400</v>
      </c>
      <c r="BK30" s="13">
        <v>0</v>
      </c>
      <c r="BL30" s="15">
        <f>Input_Raw[[#This Row],[66 kV_Wind_F1_Export_reading]]-Input_Raw[[#This Row],[66 kV_Wind_F1_Import_reading]]</f>
        <v>464400</v>
      </c>
      <c r="BM30" s="14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135">
        <v>502.87</v>
      </c>
      <c r="BR30" s="207"/>
    </row>
    <row r="31" spans="1:70" ht="15">
      <c r="A31" s="229">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29">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29">
        <f t="shared" si="3"/>
        <v>45773</v>
      </c>
      <c r="B33" s="11">
        <f>YEAR(Input_Raw[[#This Row],[Date]])+IF(MONTH(Input_Raw[[#This Row],[Date]])&gt;=4,1,0)</f>
        <v>2026</v>
      </c>
      <c r="C33" s="11">
        <f>YEAR(Input_Raw[[#This Row],[Date]])</f>
        <v>2025</v>
      </c>
      <c r="D33" s="12">
        <f t="shared" si="7"/>
        <v>45748</v>
      </c>
      <c r="E33" s="11">
        <f>DAY(EOMONTH(Input_Raw[[#This Row],[Date]],0))</f>
        <v>30</v>
      </c>
      <c r="F33" s="137">
        <v>23625</v>
      </c>
      <c r="G33" s="137">
        <v>30087</v>
      </c>
      <c r="H33" s="137">
        <v>18188</v>
      </c>
      <c r="I33" s="137">
        <v>32299</v>
      </c>
      <c r="J33" s="137">
        <v>21016</v>
      </c>
      <c r="K33" s="137">
        <v>25979</v>
      </c>
      <c r="L33" s="137">
        <v>32148</v>
      </c>
      <c r="M33" s="137">
        <v>22049</v>
      </c>
      <c r="N33" s="137">
        <v>21341</v>
      </c>
      <c r="O33" s="137">
        <v>18454</v>
      </c>
      <c r="P33" s="137">
        <v>20631</v>
      </c>
      <c r="Q33" s="137">
        <v>21342</v>
      </c>
      <c r="R33" s="137">
        <v>18941</v>
      </c>
      <c r="S33" s="137">
        <v>19393</v>
      </c>
      <c r="T33" s="137">
        <v>21293</v>
      </c>
      <c r="U33" s="137">
        <v>26007</v>
      </c>
      <c r="V33" s="137">
        <v>30680</v>
      </c>
      <c r="W33" s="137">
        <v>22536</v>
      </c>
      <c r="X33" s="137">
        <v>26408</v>
      </c>
      <c r="Y33" s="137">
        <v>20947</v>
      </c>
      <c r="Z33" s="137">
        <v>22561</v>
      </c>
      <c r="AA33" s="137">
        <v>28932</v>
      </c>
      <c r="AB33" s="137">
        <v>21099</v>
      </c>
      <c r="AC33" s="13">
        <v>23190</v>
      </c>
      <c r="AD33" s="13">
        <v>21022</v>
      </c>
      <c r="AE33" s="13">
        <v>23193</v>
      </c>
      <c r="AF33" s="138">
        <v>6.1047916917337268</v>
      </c>
      <c r="AG33" s="138">
        <v>6.6689583352870363</v>
      </c>
      <c r="AH33" s="138">
        <v>5.5809027743008377</v>
      </c>
      <c r="AI33" s="138">
        <v>7.020208329790159</v>
      </c>
      <c r="AJ33" s="138">
        <v>6.7056944403383421</v>
      </c>
      <c r="AK33" s="138">
        <v>6.3908333472079679</v>
      </c>
      <c r="AL33" s="138">
        <v>7.0044444559348875</v>
      </c>
      <c r="AM33" s="138">
        <v>5.8493749681446268</v>
      </c>
      <c r="AN33" s="138">
        <v>5.8084027783738215</v>
      </c>
      <c r="AO33" s="138">
        <v>5.7264583342605135</v>
      </c>
      <c r="AP33" s="138">
        <v>5.8411111119720651</v>
      </c>
      <c r="AQ33" s="138">
        <v>5.8868055277400533</v>
      </c>
      <c r="AR33" s="138">
        <v>5.6961111004153864</v>
      </c>
      <c r="AS33" s="138">
        <v>5.6830555482043117</v>
      </c>
      <c r="AT33" s="138">
        <v>5.8809722405340903</v>
      </c>
      <c r="AU33" s="138">
        <v>6.3784027968843704</v>
      </c>
      <c r="AV33" s="138">
        <v>6.8856944607363708</v>
      </c>
      <c r="AW33" s="138">
        <v>6.0894444593124852</v>
      </c>
      <c r="AX33" s="138">
        <v>6.6792361169225583</v>
      </c>
      <c r="AY33" s="138">
        <v>6.0615277795327991</v>
      </c>
      <c r="AZ33" s="138">
        <v>6.1051389012071775</v>
      </c>
      <c r="BA33" s="138">
        <v>6.7019444190793518</v>
      </c>
      <c r="BB33" s="138">
        <v>5.8595138746831115</v>
      </c>
      <c r="BC33" s="14">
        <v>6.1435416696800065</v>
      </c>
      <c r="BD33" s="14">
        <v>6.7364583487311958</v>
      </c>
      <c r="BE33" s="14">
        <v>6.0562500100996717</v>
      </c>
      <c r="BF33" s="139">
        <f>SUM(Input_Raw[[#This Row],[O2_01]:[O2_26]])</f>
        <v>613361</v>
      </c>
      <c r="BG33" s="140">
        <f>IFERROR(AVERAGE(Input_Raw[[#This Row],[WS_O2_01]:[WS_O2_26]]),"")</f>
        <v>6.2132799161964192</v>
      </c>
      <c r="BH33" s="141"/>
      <c r="BI33" s="141"/>
      <c r="BJ33" s="13">
        <v>591750</v>
      </c>
      <c r="BK33" s="13">
        <v>0</v>
      </c>
      <c r="BL33" s="15">
        <f>Input_Raw[[#This Row],[66 kV_Wind_F1_Export_reading]]-Input_Raw[[#This Row],[66 kV_Wind_F1_Import_reading]]</f>
        <v>591750</v>
      </c>
      <c r="BM33" s="142">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135">
        <v>645.69000000000005</v>
      </c>
      <c r="BR33" s="207"/>
    </row>
    <row r="34" spans="1:70" ht="15">
      <c r="A34" s="229">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29">
        <f t="shared" si="3"/>
        <v>45775</v>
      </c>
      <c r="B35" s="11">
        <f>YEAR(Input_Raw[[#This Row],[Date]])+IF(MONTH(Input_Raw[[#This Row],[Date]])&gt;=4,1,0)</f>
        <v>2026</v>
      </c>
      <c r="C35" s="11">
        <f>YEAR(Input_Raw[[#This Row],[Date]])</f>
        <v>2025</v>
      </c>
      <c r="D35" s="12">
        <f t="shared" ref="D35:D40" si="8">A35-DAY(A35)+1</f>
        <v>45748</v>
      </c>
      <c r="E35" s="11">
        <f>DAY(EOMONTH(Input_Raw[[#This Row],[Date]],0))</f>
        <v>30</v>
      </c>
      <c r="F35" s="137">
        <v>25969</v>
      </c>
      <c r="G35" s="137">
        <v>33725</v>
      </c>
      <c r="H35" s="137">
        <v>20195</v>
      </c>
      <c r="I35" s="137">
        <v>35034</v>
      </c>
      <c r="J35" s="137">
        <v>28941</v>
      </c>
      <c r="K35" s="137">
        <v>18752</v>
      </c>
      <c r="L35" s="137">
        <v>34349</v>
      </c>
      <c r="M35" s="137">
        <v>25046</v>
      </c>
      <c r="N35" s="137">
        <v>23663</v>
      </c>
      <c r="O35" s="137">
        <v>17565</v>
      </c>
      <c r="P35" s="137">
        <v>22680</v>
      </c>
      <c r="Q35" s="137">
        <v>16866</v>
      </c>
      <c r="R35" s="137">
        <v>21105</v>
      </c>
      <c r="S35" s="137">
        <v>20172</v>
      </c>
      <c r="T35" s="137">
        <v>22472</v>
      </c>
      <c r="U35" s="137">
        <v>26758</v>
      </c>
      <c r="V35" s="137">
        <v>30758</v>
      </c>
      <c r="W35" s="137">
        <v>24323</v>
      </c>
      <c r="X35" s="137">
        <v>33584</v>
      </c>
      <c r="Y35" s="137">
        <v>24463</v>
      </c>
      <c r="Z35" s="137">
        <v>21721</v>
      </c>
      <c r="AA35" s="137">
        <v>28665</v>
      </c>
      <c r="AB35" s="137">
        <v>23637</v>
      </c>
      <c r="AC35" s="13">
        <v>25311</v>
      </c>
      <c r="AD35" s="13">
        <v>30829</v>
      </c>
      <c r="AE35" s="13">
        <v>22931</v>
      </c>
      <c r="AF35" s="138">
        <v>6.5059440544435203</v>
      </c>
      <c r="AG35" s="138">
        <v>7.2239860304585655</v>
      </c>
      <c r="AH35" s="138">
        <v>5.9941258726420079</v>
      </c>
      <c r="AI35" s="138">
        <v>7.3876388768354992</v>
      </c>
      <c r="AJ35" s="138">
        <v>7.4201398662753757</v>
      </c>
      <c r="AK35" s="138">
        <v>6.5766666465335399</v>
      </c>
      <c r="AL35" s="138">
        <v>7.4234722306330934</v>
      </c>
      <c r="AM35" s="138">
        <v>6.4560139912825285</v>
      </c>
      <c r="AN35" s="138">
        <v>6.2309091257882239</v>
      </c>
      <c r="AO35" s="138">
        <v>5.8613986068672226</v>
      </c>
      <c r="AP35" s="138">
        <v>6.3037062941731241</v>
      </c>
      <c r="AQ35" s="138">
        <v>6.2456643281283073</v>
      </c>
      <c r="AR35" s="138">
        <v>6.1618181758827211</v>
      </c>
      <c r="AS35" s="138">
        <v>6.1025362040685529</v>
      </c>
      <c r="AT35" s="138">
        <v>6.2818881164897542</v>
      </c>
      <c r="AU35" s="138">
        <v>6.7829166584544689</v>
      </c>
      <c r="AV35" s="138">
        <v>7.3135416847136252</v>
      </c>
      <c r="AW35" s="138">
        <v>6.2672916551430973</v>
      </c>
      <c r="AX35" s="138">
        <v>7.0571527654925914</v>
      </c>
      <c r="AY35" s="138">
        <v>6.4876389056444133</v>
      </c>
      <c r="AZ35" s="138">
        <v>6.3334027843342859</v>
      </c>
      <c r="BA35" s="138">
        <v>6.8922916503830054</v>
      </c>
      <c r="BB35" s="138">
        <v>6.3926760378018193</v>
      </c>
      <c r="BC35" s="14">
        <v>6.6690277987056268</v>
      </c>
      <c r="BD35" s="14">
        <v>7.1105594418265543</v>
      </c>
      <c r="BE35" s="14">
        <v>6.3776388838887188</v>
      </c>
      <c r="BF35" s="139">
        <f>SUM(Input_Raw[[#This Row],[O2_01]:[O2_26]])</f>
        <v>659514</v>
      </c>
      <c r="BG35" s="140">
        <f>IFERROR(AVERAGE(Input_Raw[[#This Row],[WS_O2_01]:[WS_O2_26]]),"")</f>
        <v>6.610001795649624</v>
      </c>
      <c r="BH35" s="141"/>
      <c r="BI35" s="141"/>
      <c r="BJ35" s="13">
        <v>638550</v>
      </c>
      <c r="BK35" s="13">
        <v>0</v>
      </c>
      <c r="BL35" s="15">
        <f>Input_Raw[[#This Row],[66 kV_Wind_F1_Export_reading]]-Input_Raw[[#This Row],[66 kV_Wind_F1_Import_reading]]</f>
        <v>638550</v>
      </c>
      <c r="BM35" s="142">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135">
        <v>695.35</v>
      </c>
      <c r="BR35" s="207"/>
    </row>
    <row r="36" spans="1:70" ht="15">
      <c r="A36" s="229">
        <f t="shared" si="3"/>
        <v>45776</v>
      </c>
      <c r="B36" s="11">
        <f>YEAR(Input_Raw[[#This Row],[Date]])+IF(MONTH(Input_Raw[[#This Row],[Date]])&gt;=4,1,0)</f>
        <v>2026</v>
      </c>
      <c r="C36" s="11">
        <f>YEAR(Input_Raw[[#This Row],[Date]])</f>
        <v>2025</v>
      </c>
      <c r="D36" s="12">
        <f t="shared" si="8"/>
        <v>45748</v>
      </c>
      <c r="E36" s="11">
        <f>DAY(EOMONTH(Input_Raw[[#This Row],[Date]],0))</f>
        <v>30</v>
      </c>
      <c r="F36" s="137">
        <v>39002</v>
      </c>
      <c r="G36" s="137">
        <v>46987</v>
      </c>
      <c r="H36" s="137">
        <v>27484</v>
      </c>
      <c r="I36" s="137">
        <v>47661</v>
      </c>
      <c r="J36" s="137">
        <v>37871</v>
      </c>
      <c r="K36" s="137">
        <v>30203</v>
      </c>
      <c r="L36" s="137">
        <v>47322</v>
      </c>
      <c r="M36" s="137">
        <v>39218</v>
      </c>
      <c r="N36" s="137">
        <v>40871</v>
      </c>
      <c r="O36" s="137">
        <v>33673</v>
      </c>
      <c r="P36" s="137">
        <v>38381</v>
      </c>
      <c r="Q36" s="137">
        <v>36596</v>
      </c>
      <c r="R36" s="137">
        <v>34720</v>
      </c>
      <c r="S36" s="137">
        <v>36243</v>
      </c>
      <c r="T36" s="137">
        <v>40415</v>
      </c>
      <c r="U36" s="137">
        <v>41729</v>
      </c>
      <c r="V36" s="137">
        <v>48820</v>
      </c>
      <c r="W36" s="137">
        <v>43095</v>
      </c>
      <c r="X36" s="137">
        <v>45273</v>
      </c>
      <c r="Y36" s="137">
        <v>41925</v>
      </c>
      <c r="Z36" s="137">
        <v>35807</v>
      </c>
      <c r="AA36" s="137">
        <v>41434</v>
      </c>
      <c r="AB36" s="137">
        <v>38719</v>
      </c>
      <c r="AC36" s="13">
        <v>40826</v>
      </c>
      <c r="AD36" s="13">
        <v>27193</v>
      </c>
      <c r="AE36" s="13">
        <v>40476</v>
      </c>
      <c r="AF36" s="138">
        <v>8.2575362557950154</v>
      </c>
      <c r="AG36" s="138">
        <v>8.9462499684757599</v>
      </c>
      <c r="AH36" s="138">
        <v>7.7197916607061972</v>
      </c>
      <c r="AI36" s="138">
        <v>9.1398611432976153</v>
      </c>
      <c r="AJ36" s="138">
        <v>9.0705555578072801</v>
      </c>
      <c r="AK36" s="138">
        <v>8.4181944661670247</v>
      </c>
      <c r="AL36" s="138">
        <v>9.349166678057772</v>
      </c>
      <c r="AM36" s="138">
        <v>8.2625000046359158</v>
      </c>
      <c r="AN36" s="138">
        <v>8.1900000274181295</v>
      </c>
      <c r="AO36" s="138">
        <v>7.5788194520605892</v>
      </c>
      <c r="AP36" s="138">
        <v>8.0100694364971545</v>
      </c>
      <c r="AQ36" s="138">
        <v>8.0178472333484159</v>
      </c>
      <c r="AR36" s="138">
        <v>7.8329166703753952</v>
      </c>
      <c r="AS36" s="138">
        <v>7.8897222578525499</v>
      </c>
      <c r="AT36" s="138">
        <v>8.2663889030615447</v>
      </c>
      <c r="AU36" s="138">
        <v>8.5734265234086866</v>
      </c>
      <c r="AV36" s="138">
        <v>9.0420833362473338</v>
      </c>
      <c r="AW36" s="138">
        <v>8.2504166596465573</v>
      </c>
      <c r="AX36" s="138">
        <v>8.9582638641198447</v>
      </c>
      <c r="AY36" s="138">
        <v>8.3747916387187047</v>
      </c>
      <c r="AZ36" s="138">
        <v>7.9308333430025204</v>
      </c>
      <c r="BA36" s="138">
        <v>8.5792360968059924</v>
      </c>
      <c r="BB36" s="138">
        <v>8.180902765856839</v>
      </c>
      <c r="BC36" s="14">
        <v>8.381666630506512</v>
      </c>
      <c r="BD36" s="14">
        <v>8.7623611589272752</v>
      </c>
      <c r="BE36" s="14">
        <v>8.3297916418976214</v>
      </c>
      <c r="BF36" s="139">
        <f>SUM(Input_Raw[[#This Row],[O2_01]:[O2_26]])</f>
        <v>1021944</v>
      </c>
      <c r="BG36" s="140">
        <f>IFERROR(AVERAGE(Input_Raw[[#This Row],[WS_O2_01]:[WS_O2_26]]),"")</f>
        <v>8.3966689759497797</v>
      </c>
      <c r="BH36" s="141"/>
      <c r="BI36" s="141"/>
      <c r="BJ36" s="13">
        <v>988650</v>
      </c>
      <c r="BK36" s="13">
        <v>0</v>
      </c>
      <c r="BL36" s="15">
        <f>Input_Raw[[#This Row],[66 kV_Wind_F1_Export_reading]]-Input_Raw[[#This Row],[66 kV_Wind_F1_Import_reading]]</f>
        <v>988650</v>
      </c>
      <c r="BM36" s="142">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135">
        <v>1133.8399999999999</v>
      </c>
      <c r="BR36" s="207"/>
    </row>
    <row r="37" spans="1:70" ht="15">
      <c r="A37" s="229">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29">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29">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29">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29">
        <f t="shared" si="3"/>
        <v>45781</v>
      </c>
      <c r="B41" s="11">
        <f>YEAR(Input_Raw[[#This Row],[Date]])+IF(MONTH(Input_Raw[[#This Row],[Date]])&gt;=4,1,0)</f>
        <v>2026</v>
      </c>
      <c r="C41" s="11">
        <f>YEAR(Input_Raw[[#This Row],[Date]])</f>
        <v>2025</v>
      </c>
      <c r="D41" s="12">
        <f t="shared" ref="D41:D46" si="9">A41-DAY(A41)+1</f>
        <v>45778</v>
      </c>
      <c r="E41" s="11">
        <f>DAY(EOMONTH(Input_Raw[[#This Row],[Date]],0))</f>
        <v>31</v>
      </c>
      <c r="F41" s="137">
        <v>17974</v>
      </c>
      <c r="G41" s="137">
        <v>29174</v>
      </c>
      <c r="H41" s="137">
        <v>25699</v>
      </c>
      <c r="I41" s="137">
        <v>27656</v>
      </c>
      <c r="J41" s="137">
        <v>29142</v>
      </c>
      <c r="K41" s="137">
        <v>28832</v>
      </c>
      <c r="L41" s="137">
        <v>23702</v>
      </c>
      <c r="M41" s="137">
        <v>17190</v>
      </c>
      <c r="N41" s="137">
        <v>28449</v>
      </c>
      <c r="O41" s="137">
        <v>29343</v>
      </c>
      <c r="P41" s="137">
        <v>28037</v>
      </c>
      <c r="Q41" s="137">
        <v>29548</v>
      </c>
      <c r="R41" s="137">
        <v>25159</v>
      </c>
      <c r="S41" s="137">
        <v>26738</v>
      </c>
      <c r="T41" s="137">
        <v>27808</v>
      </c>
      <c r="U41" s="137">
        <v>28968</v>
      </c>
      <c r="V41" s="137">
        <v>30672</v>
      </c>
      <c r="W41" s="137">
        <v>30284</v>
      </c>
      <c r="X41" s="137">
        <v>28628</v>
      </c>
      <c r="Y41" s="137">
        <v>26654</v>
      </c>
      <c r="Z41" s="137">
        <v>30867</v>
      </c>
      <c r="AA41" s="137">
        <v>28077</v>
      </c>
      <c r="AB41" s="137">
        <v>29011</v>
      </c>
      <c r="AC41" s="13">
        <v>28077</v>
      </c>
      <c r="AD41" s="13">
        <v>25433</v>
      </c>
      <c r="AE41" s="13">
        <v>30825</v>
      </c>
      <c r="AF41" s="138">
        <v>6.6283333823084725</v>
      </c>
      <c r="AG41" s="138">
        <v>6.7306944347090134</v>
      </c>
      <c r="AH41" s="138">
        <v>6.555486115316544</v>
      </c>
      <c r="AI41" s="138">
        <v>6.7367361138264261</v>
      </c>
      <c r="AJ41" s="138">
        <v>6.8492361216081461</v>
      </c>
      <c r="AK41" s="138">
        <v>6.7620833247072092</v>
      </c>
      <c r="AL41" s="138">
        <v>6.2467361030479234</v>
      </c>
      <c r="AM41" s="138">
        <v>6.5400000371866707</v>
      </c>
      <c r="AN41" s="138">
        <v>6.7583333386315161</v>
      </c>
      <c r="AO41" s="138">
        <v>6.9047916821307567</v>
      </c>
      <c r="AP41" s="138">
        <v>6.8123611062765059</v>
      </c>
      <c r="AQ41" s="138">
        <v>6.877708334889669</v>
      </c>
      <c r="AR41" s="138">
        <v>6.532847223182511</v>
      </c>
      <c r="AS41" s="138">
        <v>6.6881250060266852</v>
      </c>
      <c r="AT41" s="138">
        <v>6.7800694488816742</v>
      </c>
      <c r="AU41" s="138">
        <v>7.0406569403181463</v>
      </c>
      <c r="AV41" s="138">
        <v>7.0868055737680802</v>
      </c>
      <c r="AW41" s="138">
        <v>6.8567361268732201</v>
      </c>
      <c r="AX41" s="138">
        <v>6.820000018510548</v>
      </c>
      <c r="AY41" s="138">
        <v>6.5916666504409527</v>
      </c>
      <c r="AZ41" s="138">
        <v>6.9837500196364104</v>
      </c>
      <c r="BA41" s="138">
        <v>6.7583333286974074</v>
      </c>
      <c r="BB41" s="138">
        <v>6.8652777688370774</v>
      </c>
      <c r="BC41" s="14">
        <v>6.6847222256991508</v>
      </c>
      <c r="BD41" s="14">
        <v>6.8663380498617403</v>
      </c>
      <c r="BE41" s="14">
        <v>6.9373611037929761</v>
      </c>
      <c r="BF41" s="139">
        <f>SUM(Input_Raw[[#This Row],[O2_01]:[O2_26]])</f>
        <v>711947</v>
      </c>
      <c r="BG41" s="140">
        <f>IFERROR(AVERAGE(Input_Raw[[#This Row],[WS_O2_01]:[WS_O2_26]]),"")</f>
        <v>6.7651995991986684</v>
      </c>
      <c r="BH41" s="141"/>
      <c r="BI41" s="141"/>
      <c r="BJ41" s="13">
        <v>685800</v>
      </c>
      <c r="BK41" s="13">
        <v>450</v>
      </c>
      <c r="BL41" s="15">
        <f>Input_Raw[[#This Row],[66 kV_Wind_F1_Export_reading]]-Input_Raw[[#This Row],[66 kV_Wind_F1_Import_reading]]</f>
        <v>685350</v>
      </c>
      <c r="BM41" s="142">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135">
        <v>773.86</v>
      </c>
      <c r="BR41" s="207"/>
    </row>
    <row r="42" spans="1:70" ht="15">
      <c r="A42" s="229">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29">
        <f t="shared" si="3"/>
        <v>45783</v>
      </c>
      <c r="B43" s="11">
        <f>YEAR(Input_Raw[[#This Row],[Date]])+IF(MONTH(Input_Raw[[#This Row],[Date]])&gt;=4,1,0)</f>
        <v>2026</v>
      </c>
      <c r="C43" s="11">
        <f>YEAR(Input_Raw[[#This Row],[Date]])</f>
        <v>2025</v>
      </c>
      <c r="D43" s="12">
        <f t="shared" si="9"/>
        <v>45778</v>
      </c>
      <c r="E43" s="11">
        <f>DAY(EOMONTH(Input_Raw[[#This Row],[Date]],0))</f>
        <v>31</v>
      </c>
      <c r="F43" s="137">
        <v>10165</v>
      </c>
      <c r="G43" s="137">
        <v>15091</v>
      </c>
      <c r="H43" s="137">
        <v>15302</v>
      </c>
      <c r="I43" s="137">
        <v>15082</v>
      </c>
      <c r="J43" s="137">
        <v>14339</v>
      </c>
      <c r="K43" s="137">
        <v>23291</v>
      </c>
      <c r="L43" s="137">
        <v>18793</v>
      </c>
      <c r="M43" s="137">
        <v>11190</v>
      </c>
      <c r="N43" s="137">
        <v>15245</v>
      </c>
      <c r="O43" s="137">
        <v>18504</v>
      </c>
      <c r="P43" s="137">
        <v>16459</v>
      </c>
      <c r="Q43" s="137">
        <v>15671</v>
      </c>
      <c r="R43" s="137">
        <v>14458</v>
      </c>
      <c r="S43" s="137">
        <v>16788</v>
      </c>
      <c r="T43" s="137">
        <v>17961</v>
      </c>
      <c r="U43" s="137">
        <v>177</v>
      </c>
      <c r="V43" s="137">
        <v>24296</v>
      </c>
      <c r="W43" s="137">
        <v>25931</v>
      </c>
      <c r="X43" s="137">
        <v>26460</v>
      </c>
      <c r="Y43" s="137">
        <v>24540</v>
      </c>
      <c r="Z43" s="137">
        <v>23651</v>
      </c>
      <c r="AA43" s="137">
        <v>21281</v>
      </c>
      <c r="AB43" s="137">
        <v>15228</v>
      </c>
      <c r="AC43" s="13">
        <v>87</v>
      </c>
      <c r="AD43" s="13">
        <v>14231</v>
      </c>
      <c r="AE43" s="13">
        <v>10926</v>
      </c>
      <c r="AF43" s="138">
        <v>7.0833333301544128</v>
      </c>
      <c r="AG43" s="138">
        <v>6.633473677384222</v>
      </c>
      <c r="AH43" s="138">
        <v>6.8706315887601717</v>
      </c>
      <c r="AI43" s="138">
        <v>6.3598425228764661</v>
      </c>
      <c r="AJ43" s="138">
        <v>6.7275257712786924</v>
      </c>
      <c r="AK43" s="138">
        <v>6.9846456820570557</v>
      </c>
      <c r="AL43" s="138">
        <v>6.177559055446638</v>
      </c>
      <c r="AM43" s="138">
        <v>6.7677895012654705</v>
      </c>
      <c r="AN43" s="138">
        <v>6.8908421240354789</v>
      </c>
      <c r="AO43" s="138">
        <v>7.1290526358704769</v>
      </c>
      <c r="AP43" s="138">
        <v>6.996526287731367</v>
      </c>
      <c r="AQ43" s="138">
        <v>6.9836841972250667</v>
      </c>
      <c r="AR43" s="138">
        <v>6.851263171748105</v>
      </c>
      <c r="AS43" s="138">
        <v>6.9905262796502328</v>
      </c>
      <c r="AT43" s="138">
        <v>7.1088421118886824</v>
      </c>
      <c r="AU43" s="138">
        <v>7.1131868228152495</v>
      </c>
      <c r="AV43" s="138">
        <v>7.266614180380901</v>
      </c>
      <c r="AW43" s="138">
        <v>7.1201575065222293</v>
      </c>
      <c r="AX43" s="138">
        <v>6.9016535317334595</v>
      </c>
      <c r="AY43" s="138">
        <v>6.8773228042707659</v>
      </c>
      <c r="AZ43" s="138">
        <v>6.9615872805080681</v>
      </c>
      <c r="BA43" s="138">
        <v>6.8491269842026705</v>
      </c>
      <c r="BB43" s="138">
        <v>6.8997894883155784</v>
      </c>
      <c r="BC43" s="14">
        <v>7.1285483708545057</v>
      </c>
      <c r="BD43" s="14">
        <v>6.4670212890239451</v>
      </c>
      <c r="BE43" s="14">
        <v>6.9038947400293802</v>
      </c>
      <c r="BF43" s="139">
        <f>SUM(Input_Raw[[#This Row],[O2_01]:[O2_26]])</f>
        <v>425147</v>
      </c>
      <c r="BG43" s="140">
        <f>IFERROR(AVERAGE(Input_Raw[[#This Row],[WS_O2_01]:[WS_O2_26]]),"")</f>
        <v>6.8863246513857428</v>
      </c>
      <c r="BH43" s="141"/>
      <c r="BI43" s="141"/>
      <c r="BJ43" s="13">
        <v>412650</v>
      </c>
      <c r="BK43" s="13">
        <v>0</v>
      </c>
      <c r="BL43" s="15">
        <f>Input_Raw[[#This Row],[66 kV_Wind_F1_Export_reading]]-Input_Raw[[#This Row],[66 kV_Wind_F1_Import_reading]]</f>
        <v>412650</v>
      </c>
      <c r="BM43" s="142">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135">
        <v>541.99</v>
      </c>
      <c r="BR43" s="207"/>
    </row>
    <row r="44" spans="1:70" ht="15">
      <c r="A44" s="229">
        <f t="shared" si="3"/>
        <v>45784</v>
      </c>
      <c r="B44" s="11">
        <f>YEAR(Input_Raw[[#This Row],[Date]])+IF(MONTH(Input_Raw[[#This Row],[Date]])&gt;=4,1,0)</f>
        <v>2026</v>
      </c>
      <c r="C44" s="11">
        <f>YEAR(Input_Raw[[#This Row],[Date]])</f>
        <v>2025</v>
      </c>
      <c r="D44" s="12">
        <f t="shared" si="9"/>
        <v>45778</v>
      </c>
      <c r="E44" s="11">
        <f>DAY(EOMONTH(Input_Raw[[#This Row],[Date]],0))</f>
        <v>31</v>
      </c>
      <c r="F44" s="137">
        <v>11319</v>
      </c>
      <c r="G44" s="137">
        <v>16965</v>
      </c>
      <c r="H44" s="137">
        <v>1852</v>
      </c>
      <c r="I44" s="137">
        <v>19556</v>
      </c>
      <c r="J44" s="137">
        <v>16886</v>
      </c>
      <c r="K44" s="137">
        <v>19918</v>
      </c>
      <c r="L44" s="137">
        <v>16111</v>
      </c>
      <c r="M44" s="137">
        <v>11676</v>
      </c>
      <c r="N44" s="137">
        <v>15126</v>
      </c>
      <c r="O44" s="137">
        <v>14677</v>
      </c>
      <c r="P44" s="137">
        <v>14545</v>
      </c>
      <c r="Q44" s="137">
        <v>11445</v>
      </c>
      <c r="R44" s="137">
        <v>15086</v>
      </c>
      <c r="S44" s="137">
        <v>14856</v>
      </c>
      <c r="T44" s="137">
        <v>14641</v>
      </c>
      <c r="U44" s="137">
        <v>1279</v>
      </c>
      <c r="V44" s="137">
        <v>19367</v>
      </c>
      <c r="W44" s="137">
        <v>21456</v>
      </c>
      <c r="X44" s="137">
        <v>20272</v>
      </c>
      <c r="Y44" s="137">
        <v>19397</v>
      </c>
      <c r="Z44" s="137">
        <v>21725</v>
      </c>
      <c r="AA44" s="137">
        <v>19485</v>
      </c>
      <c r="AB44" s="137">
        <v>12584</v>
      </c>
      <c r="AC44" s="13">
        <v>10416</v>
      </c>
      <c r="AD44" s="13">
        <v>15407</v>
      </c>
      <c r="AE44" s="13">
        <v>15166</v>
      </c>
      <c r="AF44" s="138">
        <v>5.7431746153604379</v>
      </c>
      <c r="AG44" s="138">
        <v>5.8574400138854941</v>
      </c>
      <c r="AH44" s="138">
        <v>5.5644628060750687</v>
      </c>
      <c r="AI44" s="138">
        <v>5.6082638866371539</v>
      </c>
      <c r="AJ44" s="138">
        <v>5.9282399761676734</v>
      </c>
      <c r="AK44" s="138">
        <v>6.0339583332339899</v>
      </c>
      <c r="AL44" s="138">
        <v>5.3851388750804761</v>
      </c>
      <c r="AM44" s="138">
        <v>5.6519200096130326</v>
      </c>
      <c r="AN44" s="138">
        <v>5.6112698453759347</v>
      </c>
      <c r="AO44" s="138">
        <v>5.6850793636773505</v>
      </c>
      <c r="AP44" s="138">
        <v>5.7726190563971285</v>
      </c>
      <c r="AQ44" s="138">
        <v>5.8937301455095135</v>
      </c>
      <c r="AR44" s="138">
        <v>5.800880002498622</v>
      </c>
      <c r="AS44" s="138">
        <v>5.7049206317003236</v>
      </c>
      <c r="AT44" s="138">
        <v>5.6931967223063058</v>
      </c>
      <c r="AU44" s="138">
        <v>5.7809243668027266</v>
      </c>
      <c r="AV44" s="138">
        <v>6.1783333114451802</v>
      </c>
      <c r="AW44" s="138">
        <v>6.1342360915409149</v>
      </c>
      <c r="AX44" s="138">
        <v>5.7728472294078905</v>
      </c>
      <c r="AY44" s="138">
        <v>6.1546808472761843</v>
      </c>
      <c r="AZ44" s="138">
        <v>6.0544444616470052</v>
      </c>
      <c r="BA44" s="138">
        <v>5.9904861185285743</v>
      </c>
      <c r="BB44" s="138">
        <v>5.7900000253160053</v>
      </c>
      <c r="BC44" s="14">
        <v>6.1613194454047395</v>
      </c>
      <c r="BD44" s="14">
        <v>6.000416666346907</v>
      </c>
      <c r="BE44" s="14">
        <v>5.7176190587056244</v>
      </c>
      <c r="BF44" s="139">
        <f>SUM(Input_Raw[[#This Row],[O2_01]:[O2_26]])</f>
        <v>391213</v>
      </c>
      <c r="BG44" s="140">
        <f>IFERROR(AVERAGE(Input_Raw[[#This Row],[WS_O2_01]:[WS_O2_26]]),"")</f>
        <v>5.8334462271515468</v>
      </c>
      <c r="BH44" s="141"/>
      <c r="BI44" s="141"/>
      <c r="BJ44" s="13">
        <v>377100</v>
      </c>
      <c r="BK44" s="13">
        <v>0</v>
      </c>
      <c r="BL44" s="15">
        <f>Input_Raw[[#This Row],[66 kV_Wind_F1_Export_reading]]-Input_Raw[[#This Row],[66 kV_Wind_F1_Import_reading]]</f>
        <v>377100</v>
      </c>
      <c r="BM44" s="142">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135">
        <v>371.67</v>
      </c>
      <c r="BR44" s="207"/>
    </row>
    <row r="45" spans="1:70" ht="15">
      <c r="A45" s="229">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29">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29">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29">
        <f t="shared" si="3"/>
        <v>45788</v>
      </c>
      <c r="B48" s="11">
        <f>YEAR(Input_Raw[[#This Row],[Date]])+IF(MONTH(Input_Raw[[#This Row],[Date]])&gt;=4,1,0)</f>
        <v>2026</v>
      </c>
      <c r="C48" s="11">
        <f>YEAR(Input_Raw[[#This Row],[Date]])</f>
        <v>2025</v>
      </c>
      <c r="D48" s="12">
        <f t="shared" si="10"/>
        <v>45778</v>
      </c>
      <c r="E48" s="11">
        <f>DAY(EOMONTH(Input_Raw[[#This Row],[Date]],0))</f>
        <v>31</v>
      </c>
      <c r="F48" s="137">
        <v>11784</v>
      </c>
      <c r="G48" s="137">
        <v>18152</v>
      </c>
      <c r="H48" s="137">
        <v>10710</v>
      </c>
      <c r="I48" s="137">
        <v>14944</v>
      </c>
      <c r="J48" s="137">
        <v>16638</v>
      </c>
      <c r="K48" s="137">
        <v>12050</v>
      </c>
      <c r="L48" s="137">
        <v>12314</v>
      </c>
      <c r="M48" s="137">
        <v>12976</v>
      </c>
      <c r="N48" s="137">
        <v>11136</v>
      </c>
      <c r="O48" s="137">
        <v>9042</v>
      </c>
      <c r="P48" s="137">
        <v>10160</v>
      </c>
      <c r="Q48" s="137">
        <v>7229</v>
      </c>
      <c r="R48" s="137">
        <v>10619</v>
      </c>
      <c r="S48" s="137">
        <v>10415</v>
      </c>
      <c r="T48" s="137">
        <v>11894</v>
      </c>
      <c r="U48" s="137">
        <v>10970</v>
      </c>
      <c r="V48" s="137">
        <v>13086</v>
      </c>
      <c r="W48" s="137">
        <v>10907</v>
      </c>
      <c r="X48" s="137">
        <v>9508</v>
      </c>
      <c r="Y48" s="137">
        <v>9816</v>
      </c>
      <c r="Z48" s="137">
        <v>9404</v>
      </c>
      <c r="AA48" s="137">
        <v>13232</v>
      </c>
      <c r="AB48" s="137">
        <v>10858</v>
      </c>
      <c r="AC48" s="13">
        <v>10039</v>
      </c>
      <c r="AD48" s="13">
        <v>17651</v>
      </c>
      <c r="AE48" s="13">
        <v>10027</v>
      </c>
      <c r="AF48" s="138">
        <v>4.9400000000000004</v>
      </c>
      <c r="AG48" s="138">
        <v>5.32</v>
      </c>
      <c r="AH48" s="138">
        <v>4.51</v>
      </c>
      <c r="AI48" s="138">
        <v>5.05</v>
      </c>
      <c r="AJ48" s="138">
        <v>5.31</v>
      </c>
      <c r="AK48" s="138">
        <v>4.9000000000000004</v>
      </c>
      <c r="AL48" s="138">
        <v>4.6500000000000004</v>
      </c>
      <c r="AM48" s="138">
        <v>4.7699999999999996</v>
      </c>
      <c r="AN48" s="138">
        <v>4.58</v>
      </c>
      <c r="AO48" s="138">
        <v>4.33</v>
      </c>
      <c r="AP48" s="138">
        <v>4.5</v>
      </c>
      <c r="AQ48" s="138">
        <v>4.53</v>
      </c>
      <c r="AR48" s="138">
        <v>4.5</v>
      </c>
      <c r="AS48" s="138">
        <v>4.54</v>
      </c>
      <c r="AT48" s="138">
        <v>4.7</v>
      </c>
      <c r="AU48" s="138">
        <v>4.5999999999999996</v>
      </c>
      <c r="AV48" s="138">
        <v>5.08</v>
      </c>
      <c r="AW48" s="138">
        <v>4.5999999999999996</v>
      </c>
      <c r="AX48" s="138">
        <v>4.58</v>
      </c>
      <c r="AY48" s="138">
        <v>4.5</v>
      </c>
      <c r="AZ48" s="138">
        <v>4.3499999999999996</v>
      </c>
      <c r="BA48" s="138">
        <v>5.04</v>
      </c>
      <c r="BB48" s="138">
        <v>4.55</v>
      </c>
      <c r="BC48" s="14">
        <v>4.46</v>
      </c>
      <c r="BD48" s="14">
        <v>5.37</v>
      </c>
      <c r="BE48" s="14">
        <v>4.62</v>
      </c>
      <c r="BF48" s="139">
        <f>SUM(Input_Raw[[#This Row],[O2_01]:[O2_26]])</f>
        <v>305561</v>
      </c>
      <c r="BG48" s="140">
        <f>IFERROR(AVERAGE(Input_Raw[[#This Row],[WS_O2_01]:[WS_O2_26]]),"")</f>
        <v>4.7261538461538457</v>
      </c>
      <c r="BH48" s="141"/>
      <c r="BI48" s="141"/>
      <c r="BJ48" s="13">
        <v>296550</v>
      </c>
      <c r="BK48" s="13">
        <v>450</v>
      </c>
      <c r="BL48" s="15">
        <f>Input_Raw[[#This Row],[66 kV_Wind_F1_Export_reading]]-Input_Raw[[#This Row],[66 kV_Wind_F1_Import_reading]]</f>
        <v>296100</v>
      </c>
      <c r="BM48" s="142">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135">
        <v>313.27999999999997</v>
      </c>
      <c r="BR48" s="207"/>
    </row>
    <row r="49" spans="1:70" ht="15">
      <c r="A49" s="229">
        <f t="shared" si="3"/>
        <v>45789</v>
      </c>
      <c r="B49" s="11">
        <f>YEAR(Input_Raw[[#This Row],[Date]])+IF(MONTH(Input_Raw[[#This Row],[Date]])&gt;=4,1,0)</f>
        <v>2026</v>
      </c>
      <c r="C49" s="11">
        <f>YEAR(Input_Raw[[#This Row],[Date]])</f>
        <v>2025</v>
      </c>
      <c r="D49" s="12">
        <f t="shared" si="10"/>
        <v>45778</v>
      </c>
      <c r="E49" s="11">
        <f>DAY(EOMONTH(Input_Raw[[#This Row],[Date]],0))</f>
        <v>31</v>
      </c>
      <c r="F49" s="137">
        <v>13179</v>
      </c>
      <c r="G49" s="137">
        <v>18885</v>
      </c>
      <c r="H49" s="137">
        <v>12004</v>
      </c>
      <c r="I49" s="137">
        <v>15005</v>
      </c>
      <c r="J49" s="137">
        <v>16569</v>
      </c>
      <c r="K49" s="137">
        <v>11228</v>
      </c>
      <c r="L49" s="137">
        <v>10674</v>
      </c>
      <c r="M49" s="137">
        <v>12686</v>
      </c>
      <c r="N49" s="137">
        <v>12783</v>
      </c>
      <c r="O49" s="137">
        <v>10350</v>
      </c>
      <c r="P49" s="137">
        <v>11071</v>
      </c>
      <c r="Q49" s="137">
        <v>9535</v>
      </c>
      <c r="R49" s="137">
        <v>10103</v>
      </c>
      <c r="S49" s="137">
        <v>11238</v>
      </c>
      <c r="T49" s="137">
        <v>11575</v>
      </c>
      <c r="U49" s="137">
        <v>10406</v>
      </c>
      <c r="V49" s="137">
        <v>12451</v>
      </c>
      <c r="W49" s="137">
        <v>11034</v>
      </c>
      <c r="X49" s="137">
        <v>9396</v>
      </c>
      <c r="Y49" s="137">
        <v>9383</v>
      </c>
      <c r="Z49" s="137">
        <v>9631</v>
      </c>
      <c r="AA49" s="137">
        <v>11832</v>
      </c>
      <c r="AB49" s="137">
        <v>12422</v>
      </c>
      <c r="AC49" s="13">
        <v>10435</v>
      </c>
      <c r="AD49" s="13">
        <v>17749</v>
      </c>
      <c r="AE49" s="13">
        <v>13322</v>
      </c>
      <c r="AF49" s="138">
        <v>5.2</v>
      </c>
      <c r="AG49" s="138">
        <v>5.56</v>
      </c>
      <c r="AH49" s="138">
        <v>4.87</v>
      </c>
      <c r="AI49" s="138">
        <v>5.29</v>
      </c>
      <c r="AJ49" s="138">
        <v>5.43</v>
      </c>
      <c r="AK49" s="138">
        <v>5.14</v>
      </c>
      <c r="AL49" s="138">
        <v>4.58</v>
      </c>
      <c r="AM49" s="138">
        <v>4.9000000000000004</v>
      </c>
      <c r="AN49" s="138">
        <v>4.99</v>
      </c>
      <c r="AO49" s="138">
        <v>4.59</v>
      </c>
      <c r="AP49" s="138">
        <v>4.8</v>
      </c>
      <c r="AQ49" s="138">
        <v>4.76</v>
      </c>
      <c r="AR49" s="138">
        <v>4.6100000000000003</v>
      </c>
      <c r="AS49" s="138">
        <v>4.79</v>
      </c>
      <c r="AT49" s="138">
        <v>4.8099999999999996</v>
      </c>
      <c r="AU49" s="138">
        <v>4.7300000000000004</v>
      </c>
      <c r="AV49" s="138">
        <v>5.14</v>
      </c>
      <c r="AW49" s="138">
        <v>4.8099999999999996</v>
      </c>
      <c r="AX49" s="138">
        <v>4.66</v>
      </c>
      <c r="AY49" s="138">
        <v>4.5599999999999996</v>
      </c>
      <c r="AZ49" s="138">
        <v>4.5999999999999996</v>
      </c>
      <c r="BA49" s="138">
        <v>5.18</v>
      </c>
      <c r="BB49" s="138">
        <v>4.91</v>
      </c>
      <c r="BC49" s="14">
        <v>4.6500000000000004</v>
      </c>
      <c r="BD49" s="14">
        <v>5.62</v>
      </c>
      <c r="BE49" s="14">
        <v>5</v>
      </c>
      <c r="BF49" s="139">
        <f>SUM(Input_Raw[[#This Row],[O2_01]:[O2_26]])</f>
        <v>314946</v>
      </c>
      <c r="BG49" s="140">
        <f>IFERROR(AVERAGE(Input_Raw[[#This Row],[WS_O2_01]:[WS_O2_26]]),"")</f>
        <v>4.9300000000000006</v>
      </c>
      <c r="BH49" s="141"/>
      <c r="BI49" s="141"/>
      <c r="BJ49" s="13">
        <v>306000</v>
      </c>
      <c r="BK49" s="13">
        <v>0</v>
      </c>
      <c r="BL49" s="15">
        <f>Input_Raw[[#This Row],[66 kV_Wind_F1_Export_reading]]-Input_Raw[[#This Row],[66 kV_Wind_F1_Import_reading]]</f>
        <v>306000</v>
      </c>
      <c r="BM49" s="142">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135">
        <v>314.91000000000003</v>
      </c>
      <c r="BR49" s="207"/>
    </row>
    <row r="50" spans="1:70" ht="15">
      <c r="A50" s="229">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29">
        <f t="shared" si="3"/>
        <v>45791</v>
      </c>
      <c r="B51" s="11">
        <f>YEAR(Input_Raw[[#This Row],[Date]])+IF(MONTH(Input_Raw[[#This Row],[Date]])&gt;=4,1,0)</f>
        <v>2026</v>
      </c>
      <c r="C51" s="11">
        <f>YEAR(Input_Raw[[#This Row],[Date]])</f>
        <v>2025</v>
      </c>
      <c r="D51" s="12">
        <f t="shared" si="10"/>
        <v>45778</v>
      </c>
      <c r="E51" s="11">
        <f>DAY(EOMONTH(Input_Raw[[#This Row],[Date]],0))</f>
        <v>31</v>
      </c>
      <c r="F51" s="137">
        <v>16319</v>
      </c>
      <c r="G51" s="137">
        <v>18583</v>
      </c>
      <c r="H51" s="137">
        <v>14080</v>
      </c>
      <c r="I51" s="137">
        <v>17417</v>
      </c>
      <c r="J51" s="137">
        <v>15099</v>
      </c>
      <c r="K51" s="137">
        <v>17720</v>
      </c>
      <c r="L51" s="137">
        <v>11697</v>
      </c>
      <c r="M51" s="137">
        <v>15283</v>
      </c>
      <c r="N51" s="137">
        <v>15322</v>
      </c>
      <c r="O51" s="137">
        <v>15415</v>
      </c>
      <c r="P51" s="137">
        <v>14181</v>
      </c>
      <c r="Q51" s="137">
        <v>15302</v>
      </c>
      <c r="R51" s="137">
        <v>13452</v>
      </c>
      <c r="S51" s="137">
        <v>14700</v>
      </c>
      <c r="T51" s="137">
        <v>15173</v>
      </c>
      <c r="U51" s="137">
        <v>15303</v>
      </c>
      <c r="V51" s="137">
        <v>18475</v>
      </c>
      <c r="W51" s="137">
        <v>17089</v>
      </c>
      <c r="X51" s="137">
        <v>16326</v>
      </c>
      <c r="Y51" s="137">
        <v>15624</v>
      </c>
      <c r="Z51" s="137">
        <v>16085</v>
      </c>
      <c r="AA51" s="137">
        <v>19544</v>
      </c>
      <c r="AB51" s="137">
        <v>14410</v>
      </c>
      <c r="AC51" s="13">
        <v>16242</v>
      </c>
      <c r="AD51" s="13">
        <v>16100</v>
      </c>
      <c r="AE51" s="13">
        <v>15454</v>
      </c>
      <c r="AF51" s="138">
        <v>5.0697222265104447</v>
      </c>
      <c r="AG51" s="138">
        <v>5.2796527701947404</v>
      </c>
      <c r="AH51" s="138">
        <v>5.0058333228031771</v>
      </c>
      <c r="AI51" s="138">
        <v>5.2352083424727116</v>
      </c>
      <c r="AJ51" s="138">
        <v>5.3366666841838075</v>
      </c>
      <c r="AK51" s="138">
        <v>5.4969444332851287</v>
      </c>
      <c r="AL51" s="138">
        <v>4.6087407412352377</v>
      </c>
      <c r="AM51" s="138">
        <v>4.9868055598603336</v>
      </c>
      <c r="AN51" s="138">
        <v>5.0220833408335821</v>
      </c>
      <c r="AO51" s="138">
        <v>5.1212499849498263</v>
      </c>
      <c r="AP51" s="138">
        <v>4.9609722122549984</v>
      </c>
      <c r="AQ51" s="138">
        <v>5.0131250172853434</v>
      </c>
      <c r="AR51" s="138">
        <v>4.8337500062253715</v>
      </c>
      <c r="AS51" s="138">
        <v>5.0288194426231909</v>
      </c>
      <c r="AT51" s="138">
        <v>5.0727777878443394</v>
      </c>
      <c r="AU51" s="138">
        <v>5.1334722331828528</v>
      </c>
      <c r="AV51" s="138">
        <v>5.5704861175682785</v>
      </c>
      <c r="AW51" s="138">
        <v>5.2768750050001643</v>
      </c>
      <c r="AX51" s="138">
        <v>5.0336805486844645</v>
      </c>
      <c r="AY51" s="138">
        <v>5.0945138848490181</v>
      </c>
      <c r="AZ51" s="138">
        <v>5.1834722244077245</v>
      </c>
      <c r="BA51" s="138">
        <v>5.7272222141424809</v>
      </c>
      <c r="BB51" s="138">
        <v>5.0188732184994356</v>
      </c>
      <c r="BC51" s="14">
        <v>5.0988194222251568</v>
      </c>
      <c r="BD51" s="14">
        <v>5.3312499945362397</v>
      </c>
      <c r="BE51" s="14">
        <v>5.0004861218233891</v>
      </c>
      <c r="BF51" s="139">
        <f>SUM(Input_Raw[[#This Row],[O2_01]:[O2_26]])</f>
        <v>410395</v>
      </c>
      <c r="BG51" s="140">
        <f>IFERROR(AVERAGE(Input_Raw[[#This Row],[WS_O2_01]:[WS_O2_26]]),"")</f>
        <v>5.1362116483646725</v>
      </c>
      <c r="BH51" s="141"/>
      <c r="BI51" s="141"/>
      <c r="BJ51" s="13">
        <v>396450</v>
      </c>
      <c r="BK51" s="13">
        <v>450</v>
      </c>
      <c r="BL51" s="15">
        <f>Input_Raw[[#This Row],[66 kV_Wind_F1_Export_reading]]-Input_Raw[[#This Row],[66 kV_Wind_F1_Import_reading]]</f>
        <v>396000</v>
      </c>
      <c r="BM51" s="1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135">
        <v>415.16</v>
      </c>
      <c r="BR51" s="207"/>
    </row>
    <row r="52" spans="1:70" ht="15">
      <c r="A52" s="229">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29">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29">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29">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29">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29">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29">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29">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29">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29">
        <f t="shared" si="3"/>
        <v>45801</v>
      </c>
      <c r="B61" s="11">
        <f>YEAR(Input_Raw[[#This Row],[Date]])+IF(MONTH(Input_Raw[[#This Row],[Date]])&gt;=4,1,0)</f>
        <v>2026</v>
      </c>
      <c r="C61" s="11">
        <f>YEAR(Input_Raw[[#This Row],[Date]])</f>
        <v>2025</v>
      </c>
      <c r="D61" s="12">
        <f t="shared" si="12"/>
        <v>45778</v>
      </c>
      <c r="E61" s="11">
        <f>DAY(EOMONTH(Input_Raw[[#This Row],[Date]],0))</f>
        <v>31</v>
      </c>
      <c r="F61" s="137">
        <v>27867</v>
      </c>
      <c r="G61" s="137">
        <v>31651</v>
      </c>
      <c r="H61" s="137">
        <v>27965</v>
      </c>
      <c r="I61" s="137">
        <v>37041</v>
      </c>
      <c r="J61" s="137">
        <v>32935</v>
      </c>
      <c r="K61" s="137">
        <v>34792</v>
      </c>
      <c r="L61" s="137">
        <v>37142</v>
      </c>
      <c r="M61" s="137">
        <v>16489</v>
      </c>
      <c r="N61" s="137">
        <v>27378</v>
      </c>
      <c r="O61" s="137">
        <v>28918</v>
      </c>
      <c r="P61" s="137">
        <v>28336</v>
      </c>
      <c r="Q61" s="137">
        <v>14646</v>
      </c>
      <c r="R61" s="137">
        <v>29021</v>
      </c>
      <c r="S61" s="137">
        <v>28337</v>
      </c>
      <c r="T61" s="137">
        <v>27961</v>
      </c>
      <c r="U61" s="137">
        <v>36391</v>
      </c>
      <c r="V61" s="137">
        <v>43558</v>
      </c>
      <c r="W61" s="137">
        <v>34099</v>
      </c>
      <c r="X61" s="137">
        <v>37403</v>
      </c>
      <c r="Y61" s="137">
        <v>35369</v>
      </c>
      <c r="Z61" s="137">
        <v>36290</v>
      </c>
      <c r="AA61" s="137">
        <v>39991</v>
      </c>
      <c r="AB61" s="137">
        <v>28932</v>
      </c>
      <c r="AC61" s="13">
        <v>36419</v>
      </c>
      <c r="AD61" s="13">
        <v>29481</v>
      </c>
      <c r="AE61" s="13">
        <v>25631</v>
      </c>
      <c r="AF61" s="138">
        <v>8.5741110695732896</v>
      </c>
      <c r="AG61" s="138">
        <v>9.3281111293368735</v>
      </c>
      <c r="AH61" s="138">
        <v>6.7628682482150069</v>
      </c>
      <c r="AI61" s="138">
        <v>7.3269444596436175</v>
      </c>
      <c r="AJ61" s="138">
        <v>9.2793332841661034</v>
      </c>
      <c r="AK61" s="138">
        <v>7.164027791056359</v>
      </c>
      <c r="AL61" s="138">
        <v>7.2506250217556873</v>
      </c>
      <c r="AM61" s="138">
        <v>8.7490000036027595</v>
      </c>
      <c r="AN61" s="138">
        <v>8.5430000093248033</v>
      </c>
      <c r="AO61" s="138">
        <v>6.8703876179318009</v>
      </c>
      <c r="AP61" s="138">
        <v>6.8695384474900969</v>
      </c>
      <c r="AQ61" s="138">
        <v>6.7288372119267699</v>
      </c>
      <c r="AR61" s="138">
        <v>6.8412307450404448</v>
      </c>
      <c r="AS61" s="138">
        <v>6.8389230975737867</v>
      </c>
      <c r="AT61" s="138">
        <v>6.8010852660319525</v>
      </c>
      <c r="AU61" s="138">
        <v>7.3260416537523172</v>
      </c>
      <c r="AV61" s="138">
        <v>8.0110416817996111</v>
      </c>
      <c r="AW61" s="138">
        <v>6.9788194584349714</v>
      </c>
      <c r="AX61" s="138">
        <v>7.2005555538667494</v>
      </c>
      <c r="AY61" s="138">
        <v>7.0827083190282121</v>
      </c>
      <c r="AZ61" s="138">
        <v>7.1904166547788391</v>
      </c>
      <c r="BA61" s="138">
        <v>7.7211111196213222</v>
      </c>
      <c r="BB61" s="138">
        <v>6.8802325369775668</v>
      </c>
      <c r="BC61" s="14">
        <v>7.1316666189167188</v>
      </c>
      <c r="BD61" s="14">
        <v>8.7936666859520738</v>
      </c>
      <c r="BE61" s="14">
        <v>8.5232222186194395</v>
      </c>
      <c r="BF61" s="139">
        <f>SUM(Input_Raw[[#This Row],[O2_01]:[O2_26]])</f>
        <v>814043</v>
      </c>
      <c r="BG61" s="140">
        <f>IFERROR(AVERAGE(Input_Raw[[#This Row],[WS_O2_01]:[WS_O2_26]]),"")</f>
        <v>7.5679809963237359</v>
      </c>
      <c r="BH61" s="141"/>
      <c r="BI61" s="141"/>
      <c r="BJ61" s="13">
        <v>785250</v>
      </c>
      <c r="BK61" s="13">
        <v>0</v>
      </c>
      <c r="BL61" s="15">
        <f>Input_Raw[[#This Row],[66 kV_Wind_F1_Export_reading]]-Input_Raw[[#This Row],[66 kV_Wind_F1_Import_reading]]</f>
        <v>785250</v>
      </c>
      <c r="BM61" s="142">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135">
        <v>847.72</v>
      </c>
      <c r="BR61" s="207"/>
    </row>
    <row r="62" spans="1:70" ht="15">
      <c r="A62" s="229">
        <f t="shared" si="3"/>
        <v>45802</v>
      </c>
      <c r="B62" s="11">
        <f>YEAR(Input_Raw[[#This Row],[Date]])+IF(MONTH(Input_Raw[[#This Row],[Date]])&gt;=4,1,0)</f>
        <v>2026</v>
      </c>
      <c r="C62" s="11">
        <f>YEAR(Input_Raw[[#This Row],[Date]])</f>
        <v>2025</v>
      </c>
      <c r="D62" s="12">
        <f t="shared" si="12"/>
        <v>45778</v>
      </c>
      <c r="E62" s="11">
        <f>DAY(EOMONTH(Input_Raw[[#This Row],[Date]],0))</f>
        <v>31</v>
      </c>
      <c r="F62" s="137">
        <v>31523</v>
      </c>
      <c r="G62" s="137">
        <v>31804</v>
      </c>
      <c r="H62" s="137">
        <v>32524</v>
      </c>
      <c r="I62" s="137">
        <v>35537</v>
      </c>
      <c r="J62" s="137">
        <v>30576</v>
      </c>
      <c r="K62" s="137">
        <v>37549</v>
      </c>
      <c r="L62" s="137">
        <v>32089</v>
      </c>
      <c r="M62" s="137">
        <v>13402</v>
      </c>
      <c r="N62" s="137">
        <v>32584</v>
      </c>
      <c r="O62" s="137">
        <v>30599</v>
      </c>
      <c r="P62" s="137">
        <v>32802</v>
      </c>
      <c r="Q62" s="137">
        <v>29518</v>
      </c>
      <c r="R62" s="137">
        <v>33578</v>
      </c>
      <c r="S62" s="137">
        <v>34055</v>
      </c>
      <c r="T62" s="137">
        <v>34662</v>
      </c>
      <c r="U62" s="137">
        <v>37245</v>
      </c>
      <c r="V62" s="137">
        <v>36698</v>
      </c>
      <c r="W62" s="137">
        <v>36409</v>
      </c>
      <c r="X62" s="137">
        <v>34792</v>
      </c>
      <c r="Y62" s="137">
        <v>36870</v>
      </c>
      <c r="Z62" s="137">
        <v>19043</v>
      </c>
      <c r="AA62" s="137">
        <v>39460</v>
      </c>
      <c r="AB62" s="137">
        <v>33513</v>
      </c>
      <c r="AC62" s="13">
        <v>36629</v>
      </c>
      <c r="AD62" s="13">
        <v>24177</v>
      </c>
      <c r="AE62" s="13">
        <v>33380</v>
      </c>
      <c r="AF62" s="138">
        <v>7.39</v>
      </c>
      <c r="AG62" s="138">
        <v>8.5399999999999991</v>
      </c>
      <c r="AH62" s="138">
        <v>7.42</v>
      </c>
      <c r="AI62" s="138">
        <v>7.44</v>
      </c>
      <c r="AJ62" s="138">
        <v>8.41</v>
      </c>
      <c r="AK62" s="138">
        <v>7.81</v>
      </c>
      <c r="AL62" s="138">
        <v>7.1</v>
      </c>
      <c r="AM62" s="138">
        <v>7.66</v>
      </c>
      <c r="AN62" s="138">
        <v>7.5</v>
      </c>
      <c r="AO62" s="138">
        <v>7.36</v>
      </c>
      <c r="AP62" s="138">
        <v>7.55</v>
      </c>
      <c r="AQ62" s="138">
        <v>7.49</v>
      </c>
      <c r="AR62" s="138">
        <v>7.53</v>
      </c>
      <c r="AS62" s="138">
        <v>7.64</v>
      </c>
      <c r="AT62" s="138">
        <v>7.72</v>
      </c>
      <c r="AU62" s="138">
        <v>7.75</v>
      </c>
      <c r="AV62" s="138">
        <v>7.77</v>
      </c>
      <c r="AW62" s="138">
        <v>7.61</v>
      </c>
      <c r="AX62" s="138">
        <v>7.37</v>
      </c>
      <c r="AY62" s="138">
        <v>7.68</v>
      </c>
      <c r="AZ62" s="138">
        <v>7.9</v>
      </c>
      <c r="BA62" s="138">
        <v>8.09</v>
      </c>
      <c r="BB62" s="138">
        <v>7.57</v>
      </c>
      <c r="BC62" s="14">
        <v>7.6</v>
      </c>
      <c r="BD62" s="14">
        <v>8.27</v>
      </c>
      <c r="BE62" s="14">
        <v>7.56</v>
      </c>
      <c r="BF62" s="139">
        <f>SUM(Input_Raw[[#This Row],[O2_01]:[O2_26]])</f>
        <v>841018</v>
      </c>
      <c r="BG62" s="140">
        <f>IFERROR(AVERAGE(Input_Raw[[#This Row],[WS_O2_01]:[WS_O2_26]]),"")</f>
        <v>7.6819230769230789</v>
      </c>
      <c r="BH62" s="141"/>
      <c r="BI62" s="141"/>
      <c r="BJ62" s="13">
        <v>812250</v>
      </c>
      <c r="BK62" s="13">
        <v>0</v>
      </c>
      <c r="BL62" s="15">
        <f>Input_Raw[[#This Row],[66 kV_Wind_F1_Export_reading]]-Input_Raw[[#This Row],[66 kV_Wind_F1_Import_reading]]</f>
        <v>812250</v>
      </c>
      <c r="BM62" s="142">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135">
        <v>893.8</v>
      </c>
      <c r="BR62" s="207"/>
    </row>
    <row r="63" spans="1:70" ht="15">
      <c r="A63" s="229">
        <f t="shared" si="3"/>
        <v>45803</v>
      </c>
      <c r="B63" s="11">
        <f>YEAR(Input_Raw[[#This Row],[Date]])+IF(MONTH(Input_Raw[[#This Row],[Date]])&gt;=4,1,0)</f>
        <v>2026</v>
      </c>
      <c r="C63" s="11">
        <f>YEAR(Input_Raw[[#This Row],[Date]])</f>
        <v>2025</v>
      </c>
      <c r="D63" s="12">
        <f t="shared" si="12"/>
        <v>45778</v>
      </c>
      <c r="E63" s="11">
        <f>DAY(EOMONTH(Input_Raw[[#This Row],[Date]],0))</f>
        <v>31</v>
      </c>
      <c r="F63" s="137">
        <v>30294</v>
      </c>
      <c r="G63" s="137">
        <v>31689</v>
      </c>
      <c r="H63" s="137">
        <v>28918</v>
      </c>
      <c r="I63" s="137">
        <v>30880</v>
      </c>
      <c r="J63" s="137">
        <v>29206</v>
      </c>
      <c r="K63" s="137">
        <v>30683</v>
      </c>
      <c r="L63" s="137">
        <v>29635</v>
      </c>
      <c r="M63" s="137">
        <v>26348</v>
      </c>
      <c r="N63" s="137">
        <v>30386</v>
      </c>
      <c r="O63" s="137">
        <v>26076</v>
      </c>
      <c r="P63" s="137">
        <v>29120</v>
      </c>
      <c r="Q63" s="137">
        <v>27828</v>
      </c>
      <c r="R63" s="137">
        <v>27161</v>
      </c>
      <c r="S63" s="137">
        <v>28114</v>
      </c>
      <c r="T63" s="137">
        <v>26878</v>
      </c>
      <c r="U63" s="137">
        <v>28386</v>
      </c>
      <c r="V63" s="137">
        <v>31939</v>
      </c>
      <c r="W63" s="137">
        <v>31288</v>
      </c>
      <c r="X63" s="137">
        <v>28966</v>
      </c>
      <c r="Y63" s="137">
        <v>26825</v>
      </c>
      <c r="Z63" s="137">
        <v>27558</v>
      </c>
      <c r="AA63" s="137">
        <v>31331</v>
      </c>
      <c r="AB63" s="137">
        <v>30243</v>
      </c>
      <c r="AC63" s="13">
        <v>28117</v>
      </c>
      <c r="AD63" s="13">
        <v>27468</v>
      </c>
      <c r="AE63" s="13">
        <v>29985</v>
      </c>
      <c r="AF63" s="138">
        <v>7.26</v>
      </c>
      <c r="AG63" s="138">
        <v>7.51</v>
      </c>
      <c r="AH63" s="138">
        <v>6.95</v>
      </c>
      <c r="AI63" s="138">
        <v>7.26</v>
      </c>
      <c r="AJ63" s="138">
        <v>7.45</v>
      </c>
      <c r="AK63" s="138">
        <v>7.23</v>
      </c>
      <c r="AL63" s="138">
        <v>7.14</v>
      </c>
      <c r="AM63" s="138">
        <v>7.21</v>
      </c>
      <c r="AN63" s="138">
        <v>7.18</v>
      </c>
      <c r="AO63" s="138">
        <v>6.69</v>
      </c>
      <c r="AP63" s="138">
        <v>7.06</v>
      </c>
      <c r="AQ63" s="138">
        <v>6.95</v>
      </c>
      <c r="AR63" s="138">
        <v>6.86</v>
      </c>
      <c r="AS63" s="138">
        <v>6.97</v>
      </c>
      <c r="AT63" s="138">
        <v>6.79</v>
      </c>
      <c r="AU63" s="138">
        <v>6.98</v>
      </c>
      <c r="AV63" s="138">
        <v>7.38</v>
      </c>
      <c r="AW63" s="138">
        <v>7.15</v>
      </c>
      <c r="AX63" s="138">
        <v>6.93</v>
      </c>
      <c r="AY63" s="138">
        <v>6.81</v>
      </c>
      <c r="AZ63" s="138">
        <v>7.15</v>
      </c>
      <c r="BA63" s="138">
        <v>7.45</v>
      </c>
      <c r="BB63" s="138">
        <v>7.14</v>
      </c>
      <c r="BC63" s="14">
        <v>6.94</v>
      </c>
      <c r="BD63" s="14">
        <v>7.29</v>
      </c>
      <c r="BE63" s="14">
        <v>7.39</v>
      </c>
      <c r="BF63" s="139">
        <f>SUM(Input_Raw[[#This Row],[O2_01]:[O2_26]])</f>
        <v>755322</v>
      </c>
      <c r="BG63" s="140">
        <f>IFERROR(AVERAGE(Input_Raw[[#This Row],[WS_O2_01]:[WS_O2_26]]),"")</f>
        <v>7.1199999999999992</v>
      </c>
      <c r="BH63" s="141"/>
      <c r="BI63" s="141"/>
      <c r="BJ63" s="13">
        <v>731700</v>
      </c>
      <c r="BK63" s="13">
        <v>0</v>
      </c>
      <c r="BL63" s="15">
        <f>Input_Raw[[#This Row],[66 kV_Wind_F1_Export_reading]]-Input_Raw[[#This Row],[66 kV_Wind_F1_Import_reading]]</f>
        <v>731700</v>
      </c>
      <c r="BM63" s="142">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135">
        <v>797.2</v>
      </c>
      <c r="BR63" s="207"/>
    </row>
    <row r="64" spans="1:70" ht="15">
      <c r="A64" s="229">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29">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29">
        <f t="shared" si="3"/>
        <v>45806</v>
      </c>
      <c r="B66" s="11">
        <f>YEAR(Input_Raw[[#This Row],[Date]])+IF(MONTH(Input_Raw[[#This Row],[Date]])&gt;=4,1,0)</f>
        <v>2026</v>
      </c>
      <c r="C66" s="11">
        <f>YEAR(Input_Raw[[#This Row],[Date]])</f>
        <v>2025</v>
      </c>
      <c r="D66" s="12">
        <f t="shared" si="13"/>
        <v>45778</v>
      </c>
      <c r="E66" s="11">
        <f>DAY(EOMONTH(Input_Raw[[#This Row],[Date]],0))</f>
        <v>31</v>
      </c>
      <c r="F66" s="137">
        <v>34991</v>
      </c>
      <c r="G66" s="137">
        <v>35336</v>
      </c>
      <c r="H66" s="137">
        <v>34454</v>
      </c>
      <c r="I66" s="137">
        <v>27457</v>
      </c>
      <c r="J66" s="137">
        <v>34066</v>
      </c>
      <c r="K66" s="137">
        <v>38069</v>
      </c>
      <c r="L66" s="137">
        <v>36624</v>
      </c>
      <c r="M66" s="137">
        <v>36586</v>
      </c>
      <c r="N66" s="137">
        <v>35770</v>
      </c>
      <c r="O66" s="137">
        <v>35884</v>
      </c>
      <c r="P66" s="137">
        <v>35836</v>
      </c>
      <c r="Q66" s="137">
        <v>35861</v>
      </c>
      <c r="R66" s="137">
        <v>34932</v>
      </c>
      <c r="S66" s="137">
        <v>36054</v>
      </c>
      <c r="T66" s="137">
        <v>35776</v>
      </c>
      <c r="U66" s="137">
        <v>34759</v>
      </c>
      <c r="V66" s="137">
        <v>40825</v>
      </c>
      <c r="W66" s="137">
        <v>38317</v>
      </c>
      <c r="X66" s="137">
        <v>35573</v>
      </c>
      <c r="Y66" s="137">
        <v>33065</v>
      </c>
      <c r="Z66" s="137">
        <v>38437</v>
      </c>
      <c r="AA66" s="137">
        <v>38478</v>
      </c>
      <c r="AB66" s="137">
        <v>36437</v>
      </c>
      <c r="AC66" s="13">
        <v>36704</v>
      </c>
      <c r="AD66" s="13">
        <v>36147</v>
      </c>
      <c r="AE66" s="13">
        <v>36092</v>
      </c>
      <c r="AF66" s="138">
        <v>7.31</v>
      </c>
      <c r="AG66" s="138">
        <v>7.48</v>
      </c>
      <c r="AH66" s="138">
        <v>7.19</v>
      </c>
      <c r="AI66" s="138">
        <v>7.46</v>
      </c>
      <c r="AJ66" s="138">
        <v>7.41</v>
      </c>
      <c r="AK66" s="138">
        <v>7.75</v>
      </c>
      <c r="AL66" s="138">
        <v>7.54</v>
      </c>
      <c r="AM66" s="138">
        <v>7.41</v>
      </c>
      <c r="AN66" s="138">
        <v>7.34</v>
      </c>
      <c r="AO66" s="138">
        <v>7.39</v>
      </c>
      <c r="AP66" s="138">
        <v>7.49</v>
      </c>
      <c r="AQ66" s="138">
        <v>7.42</v>
      </c>
      <c r="AR66" s="138">
        <v>7.29</v>
      </c>
      <c r="AS66" s="138">
        <v>7.4</v>
      </c>
      <c r="AT66" s="138">
        <v>7.39</v>
      </c>
      <c r="AU66" s="138">
        <v>7.36</v>
      </c>
      <c r="AV66" s="138">
        <v>7.97</v>
      </c>
      <c r="AW66" s="138">
        <v>7.64</v>
      </c>
      <c r="AX66" s="138">
        <v>7.4</v>
      </c>
      <c r="AY66" s="138">
        <v>7.17</v>
      </c>
      <c r="AZ66" s="138">
        <v>7.7</v>
      </c>
      <c r="BA66" s="138">
        <v>7.86</v>
      </c>
      <c r="BB66" s="138">
        <v>7.49</v>
      </c>
      <c r="BC66" s="14">
        <v>7.43</v>
      </c>
      <c r="BD66" s="14">
        <v>7.38</v>
      </c>
      <c r="BE66" s="14">
        <v>7.46</v>
      </c>
      <c r="BF66" s="139">
        <f>SUM(Input_Raw[[#This Row],[O2_01]:[O2_26]])</f>
        <v>932530</v>
      </c>
      <c r="BG66" s="140">
        <f>IFERROR(AVERAGE(Input_Raw[[#This Row],[WS_O2_01]:[WS_O2_26]]),"")</f>
        <v>7.4665384615384625</v>
      </c>
      <c r="BH66" s="141"/>
      <c r="BI66" s="141"/>
      <c r="BJ66" s="13">
        <v>901800</v>
      </c>
      <c r="BK66" s="13">
        <v>450</v>
      </c>
      <c r="BL66" s="15">
        <f>Input_Raw[[#This Row],[66 kV_Wind_F1_Export_reading]]-Input_Raw[[#This Row],[66 kV_Wind_F1_Import_reading]]</f>
        <v>901350</v>
      </c>
      <c r="BM66" s="142">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135">
        <v>986.68</v>
      </c>
      <c r="BR66" s="207"/>
    </row>
    <row r="67" spans="1:70" ht="15">
      <c r="A67" s="229">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29">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29">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29">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29">
        <f t="shared" ref="A71:A125"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139">
        <f>SUM(Input_Raw[[#This Row],[O2_01]:[O2_26]])</f>
        <v>1102681</v>
      </c>
      <c r="BG71" s="140">
        <f>IFERROR(AVERAGE(Input_Raw[[#This Row],[WS_O2_01]:[WS_O2_26]]),"")</f>
        <v>8.4554725520298923</v>
      </c>
      <c r="BH71" s="141"/>
      <c r="BI71" s="141"/>
      <c r="BJ71" s="13">
        <v>1066950</v>
      </c>
      <c r="BK71" s="13">
        <v>0</v>
      </c>
      <c r="BL71" s="15">
        <f>Input_Raw[[#This Row],[66 kV_Wind_F1_Export_reading]]-Input_Raw[[#This Row],[66 kV_Wind_F1_Import_reading]]</f>
        <v>1066950</v>
      </c>
      <c r="BM71" s="142">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99"/>
      <c r="BQ71" s="135">
        <v>1108.56</v>
      </c>
      <c r="BR71" s="207"/>
    </row>
    <row r="72" spans="1:70" ht="15">
      <c r="A72" s="229">
        <f t="shared" si="14"/>
        <v>45812</v>
      </c>
      <c r="B72" s="11">
        <f>YEAR(Input_Raw[[#This Row],[Date]])+IF(MONTH(Input_Raw[[#This Row],[Date]])&gt;=4,1,0)</f>
        <v>2026</v>
      </c>
      <c r="C72" s="11">
        <f>YEAR(Input_Raw[[#This Row],[Date]])</f>
        <v>2025</v>
      </c>
      <c r="D72" s="12">
        <f t="shared" si="15"/>
        <v>45809</v>
      </c>
      <c r="E72" s="11">
        <f>DAY(EOMONTH(Input_Raw[[#This Row],[Date]],0))</f>
        <v>30</v>
      </c>
      <c r="F72" s="137">
        <v>24898</v>
      </c>
      <c r="G72" s="137">
        <v>25759</v>
      </c>
      <c r="H72" s="137">
        <v>26108</v>
      </c>
      <c r="I72" s="137">
        <v>25763</v>
      </c>
      <c r="J72" s="137">
        <v>24508</v>
      </c>
      <c r="K72" s="137">
        <v>27140</v>
      </c>
      <c r="L72" s="137">
        <v>24286</v>
      </c>
      <c r="M72" s="137">
        <v>27126</v>
      </c>
      <c r="N72" s="137">
        <v>25943</v>
      </c>
      <c r="O72" s="137">
        <v>25043</v>
      </c>
      <c r="P72" s="137">
        <v>25689</v>
      </c>
      <c r="Q72" s="137">
        <v>27206</v>
      </c>
      <c r="R72" s="137">
        <v>25486</v>
      </c>
      <c r="S72" s="137">
        <v>26571</v>
      </c>
      <c r="T72" s="137">
        <v>25789</v>
      </c>
      <c r="U72" s="137">
        <v>25548</v>
      </c>
      <c r="V72" s="137">
        <v>27895</v>
      </c>
      <c r="W72" s="137">
        <v>27513</v>
      </c>
      <c r="X72" s="137">
        <v>26102</v>
      </c>
      <c r="Y72" s="137">
        <v>25085</v>
      </c>
      <c r="Z72" s="137">
        <v>26598</v>
      </c>
      <c r="AA72" s="137">
        <v>27739</v>
      </c>
      <c r="AB72" s="137">
        <v>27511</v>
      </c>
      <c r="AC72" s="13">
        <v>27210</v>
      </c>
      <c r="AD72" s="13">
        <v>26511</v>
      </c>
      <c r="AE72" s="13">
        <v>26960</v>
      </c>
      <c r="AF72" s="138">
        <v>6.4132638805442355</v>
      </c>
      <c r="AG72" s="138">
        <v>6.3800000117884696</v>
      </c>
      <c r="AH72" s="138">
        <v>6.3997222168577999</v>
      </c>
      <c r="AI72" s="138">
        <v>6.5212499904963677</v>
      </c>
      <c r="AJ72" s="138">
        <v>6.3159722329841692</v>
      </c>
      <c r="AK72" s="138">
        <v>6.8665972103675115</v>
      </c>
      <c r="AL72" s="138">
        <v>6.3281944245099933</v>
      </c>
      <c r="AM72" s="138">
        <v>6.5190972329841683</v>
      </c>
      <c r="AN72" s="138">
        <v>6.4479166832235082</v>
      </c>
      <c r="AO72" s="138">
        <v>6.4703472190433038</v>
      </c>
      <c r="AP72" s="138">
        <v>6.5356944501399932</v>
      </c>
      <c r="AQ72" s="138">
        <v>6.5947916838857807</v>
      </c>
      <c r="AR72" s="138">
        <v>6.4675694406032527</v>
      </c>
      <c r="AS72" s="138">
        <v>6.5563888765043608</v>
      </c>
      <c r="AT72" s="138">
        <v>6.4813888784911837</v>
      </c>
      <c r="AU72" s="138">
        <v>6.5064583321412357</v>
      </c>
      <c r="AV72" s="138">
        <v>6.9205555733707129</v>
      </c>
      <c r="AW72" s="138">
        <v>6.6986805333031478</v>
      </c>
      <c r="AX72" s="138">
        <v>6.5718055533038191</v>
      </c>
      <c r="AY72" s="138">
        <v>6.4743749962912602</v>
      </c>
      <c r="AZ72" s="138">
        <v>6.6207638697491662</v>
      </c>
      <c r="BA72" s="138">
        <v>6.9824999819199185</v>
      </c>
      <c r="BB72" s="138">
        <v>6.6159722324874606</v>
      </c>
      <c r="BC72" s="14">
        <v>6.6070833479364657</v>
      </c>
      <c r="BD72" s="14">
        <v>6.3788889100154194</v>
      </c>
      <c r="BE72" s="14">
        <v>6.5644444310002807</v>
      </c>
      <c r="BF72" s="139">
        <f>SUM(Input_Raw[[#This Row],[O2_01]:[O2_26]])</f>
        <v>681987</v>
      </c>
      <c r="BG72" s="140">
        <f>IFERROR(AVERAGE(Input_Raw[[#This Row],[WS_O2_01]:[WS_O2_26]]),"")</f>
        <v>6.5476816228439612</v>
      </c>
      <c r="BH72" s="141"/>
      <c r="BI72" s="141"/>
      <c r="BJ72" s="13">
        <v>661950</v>
      </c>
      <c r="BK72" s="13">
        <v>0</v>
      </c>
      <c r="BL72" s="15">
        <f>Input_Raw[[#This Row],[66 kV_Wind_F1_Export_reading]]-Input_Raw[[#This Row],[66 kV_Wind_F1_Import_reading]]</f>
        <v>661950</v>
      </c>
      <c r="BM72" s="142">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99"/>
      <c r="BQ72" s="135">
        <v>27.04</v>
      </c>
      <c r="BR72" s="207"/>
    </row>
    <row r="73" spans="1:70" ht="15">
      <c r="A73" s="229">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29">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29">
        <f t="shared" si="14"/>
        <v>45815</v>
      </c>
      <c r="B75" s="11">
        <f>YEAR(Input_Raw[[#This Row],[Date]])+IF(MONTH(Input_Raw[[#This Row],[Date]])&gt;=4,1,0)</f>
        <v>2026</v>
      </c>
      <c r="C75" s="11">
        <f>YEAR(Input_Raw[[#This Row],[Date]])</f>
        <v>2025</v>
      </c>
      <c r="D75" s="12">
        <f t="shared" si="15"/>
        <v>45809</v>
      </c>
      <c r="E75" s="11">
        <f>DAY(EOMONTH(Input_Raw[[#This Row],[Date]],0))</f>
        <v>30</v>
      </c>
      <c r="F75" s="137">
        <v>36444</v>
      </c>
      <c r="G75" s="137">
        <v>39249</v>
      </c>
      <c r="H75" s="137">
        <v>34508</v>
      </c>
      <c r="I75" s="137">
        <v>37281</v>
      </c>
      <c r="J75" s="137">
        <v>35981</v>
      </c>
      <c r="K75" s="137">
        <v>35598</v>
      </c>
      <c r="L75" s="137">
        <v>29552</v>
      </c>
      <c r="M75" s="137">
        <v>35543</v>
      </c>
      <c r="N75" s="137">
        <v>35377</v>
      </c>
      <c r="O75" s="137">
        <v>27739</v>
      </c>
      <c r="P75" s="137">
        <v>32412</v>
      </c>
      <c r="Q75" s="137">
        <v>32626</v>
      </c>
      <c r="R75" s="137">
        <v>30645</v>
      </c>
      <c r="S75" s="137">
        <v>31718</v>
      </c>
      <c r="T75" s="137">
        <v>32828</v>
      </c>
      <c r="U75" s="137">
        <v>34805</v>
      </c>
      <c r="V75" s="137">
        <v>36795</v>
      </c>
      <c r="W75" s="137">
        <v>33687</v>
      </c>
      <c r="X75" s="137">
        <v>34286</v>
      </c>
      <c r="Y75" s="137">
        <v>33556</v>
      </c>
      <c r="Z75" s="137">
        <v>30481</v>
      </c>
      <c r="AA75" s="137">
        <v>36261</v>
      </c>
      <c r="AB75" s="137">
        <v>33585</v>
      </c>
      <c r="AC75" s="13">
        <v>33319</v>
      </c>
      <c r="AD75" s="13">
        <v>36168</v>
      </c>
      <c r="AE75" s="13">
        <v>36341</v>
      </c>
      <c r="AF75" s="138">
        <v>7.768541673819219</v>
      </c>
      <c r="AG75" s="138">
        <v>7.8717361258135856</v>
      </c>
      <c r="AH75" s="138">
        <v>7.4576388763056816</v>
      </c>
      <c r="AI75" s="138">
        <v>8.0348529478206316</v>
      </c>
      <c r="AJ75" s="138">
        <v>7.7257639037238182</v>
      </c>
      <c r="AK75" s="138">
        <v>7.6244444325566256</v>
      </c>
      <c r="AL75" s="138">
        <v>7.9134545152837532</v>
      </c>
      <c r="AM75" s="138">
        <v>7.6634722368584676</v>
      </c>
      <c r="AN75" s="138">
        <v>7.6497222118907473</v>
      </c>
      <c r="AO75" s="138">
        <v>6.8254166576597362</v>
      </c>
      <c r="AP75" s="138">
        <v>7.3805555552244151</v>
      </c>
      <c r="AQ75" s="138">
        <v>7.3603472146722941</v>
      </c>
      <c r="AR75" s="138">
        <v>7.1381249941057598</v>
      </c>
      <c r="AS75" s="138">
        <v>7.2479166189829458</v>
      </c>
      <c r="AT75" s="138">
        <v>7.2613888780275921</v>
      </c>
      <c r="AU75" s="138">
        <v>7.4703472256660399</v>
      </c>
      <c r="AV75" s="138">
        <v>7.7663194421264814</v>
      </c>
      <c r="AW75" s="138">
        <v>7.3791666593816485</v>
      </c>
      <c r="AX75" s="138">
        <v>7.4386764571947168</v>
      </c>
      <c r="AY75" s="138">
        <v>7.3408333443933032</v>
      </c>
      <c r="AZ75" s="138">
        <v>7.1206944808363835</v>
      </c>
      <c r="BA75" s="138">
        <v>7.8234027442004885</v>
      </c>
      <c r="BB75" s="138">
        <v>7.6009027792347723</v>
      </c>
      <c r="BC75" s="14">
        <v>7.3146527691019827</v>
      </c>
      <c r="BD75" s="14">
        <v>7.5798611210452158</v>
      </c>
      <c r="BE75" s="14">
        <v>7.7581944697433016</v>
      </c>
      <c r="BF75" s="139">
        <f>SUM(Input_Raw[[#This Row],[O2_01]:[O2_26]])</f>
        <v>886785</v>
      </c>
      <c r="BG75" s="140">
        <f>IFERROR(AVERAGE(Input_Raw[[#This Row],[WS_O2_01]:[WS_O2_26]]),"")</f>
        <v>7.5198626282949839</v>
      </c>
      <c r="BH75" s="141"/>
      <c r="BI75" s="141"/>
      <c r="BJ75" s="13">
        <v>860400</v>
      </c>
      <c r="BK75" s="13">
        <v>0</v>
      </c>
      <c r="BL75" s="15">
        <f>Input_Raw[[#This Row],[66 kV_Wind_F1_Export_reading]]-Input_Raw[[#This Row],[66 kV_Wind_F1_Import_reading]]</f>
        <v>860400</v>
      </c>
      <c r="BM75" s="142">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99"/>
      <c r="BQ75" s="135">
        <v>899.42</v>
      </c>
      <c r="BR75" s="207"/>
    </row>
    <row r="76" spans="1:70" ht="15">
      <c r="A76" s="229">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29">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29">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29">
        <f t="shared" si="14"/>
        <v>45819</v>
      </c>
      <c r="B79" s="11">
        <f>YEAR(Input_Raw[[#This Row],[Date]])+IF(MONTH(Input_Raw[[#This Row],[Date]])&gt;=4,1,0)</f>
        <v>2026</v>
      </c>
      <c r="C79" s="11">
        <f>YEAR(Input_Raw[[#This Row],[Date]])</f>
        <v>2025</v>
      </c>
      <c r="D79" s="12">
        <f>A79-DAY(A79)+1</f>
        <v>45809</v>
      </c>
      <c r="E79" s="11">
        <f>DAY(EOMONTH(Input_Raw[[#This Row],[Date]],0))</f>
        <v>30</v>
      </c>
      <c r="F79" s="137">
        <v>9734</v>
      </c>
      <c r="G79" s="137">
        <v>36977</v>
      </c>
      <c r="H79" s="137">
        <v>29844</v>
      </c>
      <c r="I79" s="137">
        <v>39436</v>
      </c>
      <c r="J79" s="137">
        <v>36794</v>
      </c>
      <c r="K79" s="137">
        <v>40136</v>
      </c>
      <c r="L79" s="137">
        <v>37443</v>
      </c>
      <c r="M79" s="137">
        <v>32554</v>
      </c>
      <c r="N79" s="137">
        <v>31584</v>
      </c>
      <c r="O79" s="137">
        <v>29395</v>
      </c>
      <c r="P79" s="137">
        <v>30425</v>
      </c>
      <c r="Q79" s="137">
        <v>29594</v>
      </c>
      <c r="R79" s="137">
        <v>30667</v>
      </c>
      <c r="S79" s="137">
        <v>31516</v>
      </c>
      <c r="T79" s="137">
        <v>33467</v>
      </c>
      <c r="U79" s="137">
        <v>31802</v>
      </c>
      <c r="V79" s="137">
        <v>43028</v>
      </c>
      <c r="W79" s="137">
        <v>38012</v>
      </c>
      <c r="X79" s="137">
        <v>38995</v>
      </c>
      <c r="Y79" s="137">
        <v>36328</v>
      </c>
      <c r="Z79" s="137">
        <v>32780</v>
      </c>
      <c r="AA79" s="137">
        <v>42577</v>
      </c>
      <c r="AB79" s="137">
        <v>32660</v>
      </c>
      <c r="AC79" s="13">
        <v>32861</v>
      </c>
      <c r="AD79" s="13">
        <v>34949</v>
      </c>
      <c r="AE79" s="13">
        <v>31821</v>
      </c>
      <c r="AF79" s="138">
        <v>7.0827272463511743</v>
      </c>
      <c r="AG79" s="138">
        <v>7.347777799185776</v>
      </c>
      <c r="AH79" s="138">
        <v>6.8309722393751136</v>
      </c>
      <c r="AI79" s="138">
        <v>7.7086111058791396</v>
      </c>
      <c r="AJ79" s="138">
        <v>7.4347916940848018</v>
      </c>
      <c r="AK79" s="138">
        <v>7.79847219917509</v>
      </c>
      <c r="AL79" s="138">
        <v>7.5847916685872496</v>
      </c>
      <c r="AM79" s="138">
        <v>7.1610416637526599</v>
      </c>
      <c r="AN79" s="138">
        <v>7.0099305609862004</v>
      </c>
      <c r="AO79" s="138">
        <v>6.8956944545110055</v>
      </c>
      <c r="AP79" s="138">
        <v>6.9265277783075963</v>
      </c>
      <c r="AQ79" s="138">
        <v>6.8605555925104342</v>
      </c>
      <c r="AR79" s="138">
        <v>6.9643356583335176</v>
      </c>
      <c r="AS79" s="138">
        <v>7.0265972697072527</v>
      </c>
      <c r="AT79" s="138">
        <v>7.2197222262620908</v>
      </c>
      <c r="AU79" s="138">
        <v>7.3999305533038227</v>
      </c>
      <c r="AV79" s="138">
        <v>8.0122916466659859</v>
      </c>
      <c r="AW79" s="138">
        <v>7.5482639041211836</v>
      </c>
      <c r="AX79" s="138">
        <v>7.5443749990728053</v>
      </c>
      <c r="AY79" s="138">
        <v>7.3913194421264841</v>
      </c>
      <c r="AZ79" s="138">
        <v>7.1441666666004373</v>
      </c>
      <c r="BA79" s="138">
        <v>8.2018749896022918</v>
      </c>
      <c r="BB79" s="138">
        <v>7.1577083749903556</v>
      </c>
      <c r="BC79" s="14">
        <v>7.1293749958276731</v>
      </c>
      <c r="BD79" s="14">
        <v>7.1595833400885249</v>
      </c>
      <c r="BE79" s="14">
        <v>7.0726388825310593</v>
      </c>
      <c r="BF79" s="139">
        <f>SUM(Input_Raw[[#This Row],[O2_01]:[O2_26]])</f>
        <v>875379</v>
      </c>
      <c r="BG79" s="140">
        <f>IFERROR(AVERAGE(Input_Raw[[#This Row],[WS_O2_01]:[WS_O2_26]]),"")</f>
        <v>7.2928491135361435</v>
      </c>
      <c r="BH79" s="141"/>
      <c r="BI79" s="141"/>
      <c r="BJ79" s="13">
        <v>847350</v>
      </c>
      <c r="BK79" s="13">
        <v>0</v>
      </c>
      <c r="BL79" s="15">
        <f>Input_Raw[[#This Row],[66 kV_Wind_F1_Export_reading]]-Input_Raw[[#This Row],[66 kV_Wind_F1_Import_reading]]</f>
        <v>847350</v>
      </c>
      <c r="BM79" s="142">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99"/>
      <c r="BQ79" s="135">
        <v>911.21</v>
      </c>
      <c r="BR79" s="207"/>
    </row>
    <row r="80" spans="1:70" ht="15">
      <c r="A80" s="229">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29">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29">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29">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29">
        <f t="shared" si="14"/>
        <v>45824</v>
      </c>
      <c r="B84" s="11">
        <f>YEAR(Input_Raw[[#This Row],[Date]])+IF(MONTH(Input_Raw[[#This Row],[Date]])&gt;=4,1,0)</f>
        <v>2026</v>
      </c>
      <c r="C84" s="11">
        <f>YEAR(Input_Raw[[#This Row],[Date]])</f>
        <v>2025</v>
      </c>
      <c r="D84" s="12">
        <f>A84-DAY(A84)+1</f>
        <v>45809</v>
      </c>
      <c r="E84" s="11">
        <f>DAY(EOMONTH(Input_Raw[[#This Row],[Date]],0))</f>
        <v>30</v>
      </c>
      <c r="F84" s="137">
        <v>39130</v>
      </c>
      <c r="G84" s="137">
        <v>42568</v>
      </c>
      <c r="H84" s="137">
        <v>38565</v>
      </c>
      <c r="I84" s="137">
        <v>36994</v>
      </c>
      <c r="J84" s="137">
        <v>40178</v>
      </c>
      <c r="K84" s="137">
        <v>31287</v>
      </c>
      <c r="L84" s="137">
        <v>35642</v>
      </c>
      <c r="M84" s="137">
        <v>32516</v>
      </c>
      <c r="N84" s="137">
        <v>37258</v>
      </c>
      <c r="O84" s="137">
        <v>39353</v>
      </c>
      <c r="P84" s="137">
        <v>39549</v>
      </c>
      <c r="Q84" s="137">
        <v>9859</v>
      </c>
      <c r="R84" s="137">
        <v>39723</v>
      </c>
      <c r="S84" s="137">
        <v>41004</v>
      </c>
      <c r="T84" s="137">
        <v>40211</v>
      </c>
      <c r="U84" s="137">
        <v>34356</v>
      </c>
      <c r="V84" s="137">
        <v>38744</v>
      </c>
      <c r="W84" s="137">
        <v>30414</v>
      </c>
      <c r="X84" s="137">
        <v>34847</v>
      </c>
      <c r="Y84" s="137">
        <v>27510</v>
      </c>
      <c r="Z84" s="137">
        <v>32444</v>
      </c>
      <c r="AA84" s="137">
        <v>35130</v>
      </c>
      <c r="AB84" s="137">
        <v>38850</v>
      </c>
      <c r="AC84" s="13">
        <v>35934</v>
      </c>
      <c r="AD84" s="13">
        <v>41655</v>
      </c>
      <c r="AE84" s="13">
        <v>30609</v>
      </c>
      <c r="AF84" s="138">
        <v>8.16</v>
      </c>
      <c r="AG84" s="138">
        <v>8.51</v>
      </c>
      <c r="AH84" s="138">
        <v>8.0500000000000007</v>
      </c>
      <c r="AI84" s="138">
        <v>8.5399999999999991</v>
      </c>
      <c r="AJ84" s="138">
        <v>8.36</v>
      </c>
      <c r="AK84" s="138">
        <v>7.97</v>
      </c>
      <c r="AL84" s="138">
        <v>8.4499999999999993</v>
      </c>
      <c r="AM84" s="138">
        <v>7.81</v>
      </c>
      <c r="AN84" s="138">
        <v>7.9</v>
      </c>
      <c r="AO84" s="138">
        <v>8.17</v>
      </c>
      <c r="AP84" s="138">
        <v>8.32</v>
      </c>
      <c r="AQ84" s="138">
        <v>8.02</v>
      </c>
      <c r="AR84" s="138">
        <v>8.23</v>
      </c>
      <c r="AS84" s="138">
        <v>8.4499999999999993</v>
      </c>
      <c r="AT84" s="138">
        <v>8.3699999999999992</v>
      </c>
      <c r="AU84" s="138">
        <v>8.2100000000000009</v>
      </c>
      <c r="AV84" s="138">
        <v>8.9</v>
      </c>
      <c r="AW84" s="138">
        <v>7.81</v>
      </c>
      <c r="AX84" s="138">
        <v>8.17</v>
      </c>
      <c r="AY84" s="138">
        <v>8.0500000000000007</v>
      </c>
      <c r="AZ84" s="138">
        <v>8.01</v>
      </c>
      <c r="BA84" s="138">
        <v>8.4700000000000006</v>
      </c>
      <c r="BB84" s="138">
        <v>8.19</v>
      </c>
      <c r="BC84" s="14">
        <v>8.1</v>
      </c>
      <c r="BD84" s="14">
        <v>8.35</v>
      </c>
      <c r="BE84" s="14">
        <v>7.76</v>
      </c>
      <c r="BF84" s="139">
        <f>SUM(Input_Raw[[#This Row],[O2_01]:[O2_26]])</f>
        <v>924330</v>
      </c>
      <c r="BG84" s="140">
        <f>IFERROR(AVERAGE(Input_Raw[[#This Row],[WS_O2_01]:[WS_O2_26]]),"")</f>
        <v>8.2050000000000001</v>
      </c>
      <c r="BH84" s="141"/>
      <c r="BI84" s="141"/>
      <c r="BJ84" s="13">
        <v>899100</v>
      </c>
      <c r="BK84" s="13">
        <v>0</v>
      </c>
      <c r="BL84" s="15">
        <f>Input_Raw[[#This Row],[66 kV_Wind_F1_Export_reading]]-Input_Raw[[#This Row],[66 kV_Wind_F1_Import_reading]]</f>
        <v>899100</v>
      </c>
      <c r="BM84" s="142">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99"/>
      <c r="BQ84" s="135">
        <v>988.32</v>
      </c>
      <c r="BR84" s="207"/>
    </row>
    <row r="85" spans="1:70" ht="15">
      <c r="A85" s="229">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29">
        <f t="shared" si="14"/>
        <v>45826</v>
      </c>
      <c r="B86" s="11">
        <f>YEAR(Input_Raw[[#This Row],[Date]])+IF(MONTH(Input_Raw[[#This Row],[Date]])&gt;=4,1,0)</f>
        <v>2026</v>
      </c>
      <c r="C86" s="11">
        <f>YEAR(Input_Raw[[#This Row],[Date]])</f>
        <v>2025</v>
      </c>
      <c r="D86" s="12">
        <f>A86-DAY(A86)+1</f>
        <v>45809</v>
      </c>
      <c r="E86" s="11">
        <f>DAY(EOMONTH(Input_Raw[[#This Row],[Date]],0))</f>
        <v>30</v>
      </c>
      <c r="F86" s="137">
        <v>44447</v>
      </c>
      <c r="G86" s="137">
        <v>46395</v>
      </c>
      <c r="H86" s="137">
        <v>44523</v>
      </c>
      <c r="I86" s="137">
        <v>46220</v>
      </c>
      <c r="J86" s="137">
        <v>44448</v>
      </c>
      <c r="K86" s="137">
        <v>46246</v>
      </c>
      <c r="L86" s="137">
        <v>45647</v>
      </c>
      <c r="M86" s="137">
        <v>35384</v>
      </c>
      <c r="N86" s="137">
        <v>43011</v>
      </c>
      <c r="O86" s="137">
        <v>43123</v>
      </c>
      <c r="P86" s="137">
        <v>44761</v>
      </c>
      <c r="Q86" s="137">
        <v>0</v>
      </c>
      <c r="R86" s="137">
        <v>42752</v>
      </c>
      <c r="S86" s="137">
        <v>45291</v>
      </c>
      <c r="T86" s="137">
        <v>47505</v>
      </c>
      <c r="U86" s="137">
        <v>45385</v>
      </c>
      <c r="V86" s="137">
        <v>47491</v>
      </c>
      <c r="W86" s="137">
        <v>46030</v>
      </c>
      <c r="X86" s="137">
        <v>46597</v>
      </c>
      <c r="Y86" s="137">
        <v>45114</v>
      </c>
      <c r="Z86" s="137">
        <v>43476</v>
      </c>
      <c r="AA86" s="137">
        <v>45732</v>
      </c>
      <c r="AB86" s="137">
        <v>45536</v>
      </c>
      <c r="AC86" s="13">
        <v>45654</v>
      </c>
      <c r="AD86" s="13">
        <v>46792</v>
      </c>
      <c r="AE86" s="13">
        <v>46495</v>
      </c>
      <c r="AF86" s="138">
        <v>8.41</v>
      </c>
      <c r="AG86" s="138">
        <v>8.6199999999999992</v>
      </c>
      <c r="AH86" s="138">
        <v>8.26</v>
      </c>
      <c r="AI86" s="138">
        <v>8.6</v>
      </c>
      <c r="AJ86" s="138">
        <v>8.43</v>
      </c>
      <c r="AK86" s="138">
        <v>8.7799999999999994</v>
      </c>
      <c r="AL86" s="138">
        <v>8.5299999999999994</v>
      </c>
      <c r="AM86" s="138">
        <v>8.3699999999999992</v>
      </c>
      <c r="AN86" s="138">
        <v>8.27</v>
      </c>
      <c r="AO86" s="138">
        <v>8.17</v>
      </c>
      <c r="AP86" s="138">
        <v>8.42</v>
      </c>
      <c r="AQ86" s="138">
        <v>8.64</v>
      </c>
      <c r="AR86" s="138">
        <v>8.1999999999999993</v>
      </c>
      <c r="AS86" s="138">
        <v>8.43</v>
      </c>
      <c r="AT86" s="138">
        <v>8.5299999999999994</v>
      </c>
      <c r="AU86" s="138">
        <v>8.69</v>
      </c>
      <c r="AV86" s="138">
        <v>9.0399999999999991</v>
      </c>
      <c r="AW86" s="138">
        <v>8.61</v>
      </c>
      <c r="AX86" s="138">
        <v>8.8000000000000007</v>
      </c>
      <c r="AY86" s="138">
        <v>8.5399999999999991</v>
      </c>
      <c r="AZ86" s="138">
        <v>8.4600000000000009</v>
      </c>
      <c r="BA86" s="138">
        <v>8.86</v>
      </c>
      <c r="BB86" s="138">
        <v>8.44</v>
      </c>
      <c r="BC86" s="14">
        <v>8.48</v>
      </c>
      <c r="BD86" s="14">
        <v>8.49</v>
      </c>
      <c r="BE86" s="14">
        <v>8.4600000000000009</v>
      </c>
      <c r="BF86" s="139">
        <f>SUM(Input_Raw[[#This Row],[O2_01]:[O2_26]])</f>
        <v>1124055</v>
      </c>
      <c r="BG86" s="140">
        <f>IFERROR(AVERAGE(Input_Raw[[#This Row],[WS_O2_01]:[WS_O2_26]]),"")</f>
        <v>8.5203846153846161</v>
      </c>
      <c r="BH86" s="141"/>
      <c r="BI86" s="141"/>
      <c r="BJ86" s="13">
        <v>1089450</v>
      </c>
      <c r="BK86" s="13">
        <v>0</v>
      </c>
      <c r="BL86" s="15">
        <f>Input_Raw[[#This Row],[66 kV_Wind_F1_Export_reading]]-Input_Raw[[#This Row],[66 kV_Wind_F1_Import_reading]]</f>
        <v>1089450</v>
      </c>
      <c r="BM86" s="142">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99"/>
      <c r="BQ86" s="135">
        <v>1202.27</v>
      </c>
      <c r="BR86" s="207"/>
    </row>
    <row r="87" spans="1:70" ht="15">
      <c r="A87" s="229">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135">
        <v>1596.54</v>
      </c>
      <c r="BR87" s="207"/>
    </row>
    <row r="88" spans="1:70" ht="15">
      <c r="A88" s="229">
        <f t="shared" si="14"/>
        <v>45828</v>
      </c>
      <c r="B88" s="11">
        <f>YEAR(Input_Raw[[#This Row],[Date]])+IF(MONTH(Input_Raw[[#This Row],[Date]])&gt;=4,1,0)</f>
        <v>2026</v>
      </c>
      <c r="C88" s="11">
        <f>YEAR(Input_Raw[[#This Row],[Date]])</f>
        <v>2025</v>
      </c>
      <c r="D88" s="12">
        <f t="shared" ref="D88:D89" si="17">A88-DAY(A88)+1</f>
        <v>45809</v>
      </c>
      <c r="E88" s="11">
        <f>DAY(EOMONTH(Input_Raw[[#This Row],[Date]],0))</f>
        <v>30</v>
      </c>
      <c r="F88" s="137">
        <v>53793</v>
      </c>
      <c r="G88" s="137">
        <v>54625</v>
      </c>
      <c r="H88" s="137">
        <v>53938</v>
      </c>
      <c r="I88" s="137">
        <v>28462</v>
      </c>
      <c r="J88" s="137">
        <v>54458</v>
      </c>
      <c r="K88" s="137">
        <v>25348</v>
      </c>
      <c r="L88" s="137">
        <v>26899</v>
      </c>
      <c r="M88" s="137">
        <v>26779</v>
      </c>
      <c r="N88" s="137">
        <v>55200</v>
      </c>
      <c r="O88" s="137">
        <v>51226</v>
      </c>
      <c r="P88" s="137">
        <v>52720</v>
      </c>
      <c r="Q88" s="137">
        <v>2</v>
      </c>
      <c r="R88" s="137">
        <v>52599</v>
      </c>
      <c r="S88" s="137">
        <v>53088</v>
      </c>
      <c r="T88" s="137">
        <v>48939</v>
      </c>
      <c r="U88" s="137">
        <v>23998</v>
      </c>
      <c r="V88" s="137">
        <v>30663</v>
      </c>
      <c r="W88" s="137">
        <v>26196</v>
      </c>
      <c r="X88" s="137">
        <v>22014</v>
      </c>
      <c r="Y88" s="137">
        <v>28404</v>
      </c>
      <c r="Z88" s="137">
        <v>26386</v>
      </c>
      <c r="AA88" s="137">
        <v>26278</v>
      </c>
      <c r="AB88" s="137">
        <v>54129</v>
      </c>
      <c r="AC88" s="13">
        <v>30076</v>
      </c>
      <c r="AD88" s="13">
        <v>56557</v>
      </c>
      <c r="AE88" s="13">
        <v>26295</v>
      </c>
      <c r="AF88" s="138">
        <v>9.5837499996026256</v>
      </c>
      <c r="AG88" s="138">
        <v>9.7621527810891351</v>
      </c>
      <c r="AH88" s="138">
        <v>9.5527778102291876</v>
      </c>
      <c r="AI88" s="138">
        <v>8.3640403880013281</v>
      </c>
      <c r="AJ88" s="138">
        <v>9.5911805563502757</v>
      </c>
      <c r="AK88" s="138">
        <v>8.0910999810695579</v>
      </c>
      <c r="AL88" s="138">
        <v>8.1708421305606187</v>
      </c>
      <c r="AM88" s="138">
        <v>8.6714141513361991</v>
      </c>
      <c r="AN88" s="138">
        <v>9.7222222321563176</v>
      </c>
      <c r="AO88" s="138">
        <v>9.4076388743188488</v>
      </c>
      <c r="AP88" s="138">
        <v>9.5963193807336875</v>
      </c>
      <c r="AQ88" s="138">
        <v>9.5979166858725868</v>
      </c>
      <c r="AR88" s="138">
        <v>9.5624305407206034</v>
      </c>
      <c r="AS88" s="138">
        <v>9.5958333214123943</v>
      </c>
      <c r="AT88" s="138">
        <v>9.2876388629277411</v>
      </c>
      <c r="AU88" s="138">
        <v>7.6072000169753959</v>
      </c>
      <c r="AV88" s="138">
        <v>8.4265999937057465</v>
      </c>
      <c r="AW88" s="138">
        <v>8.0541414323479152</v>
      </c>
      <c r="AX88" s="138">
        <v>7.8661616131512764</v>
      </c>
      <c r="AY88" s="138">
        <v>8.0892999839782682</v>
      </c>
      <c r="AZ88" s="138">
        <v>8.1819191677401726</v>
      </c>
      <c r="BA88" s="138">
        <v>7.9512121219827661</v>
      </c>
      <c r="BB88" s="138">
        <v>9.7455244731236021</v>
      </c>
      <c r="BC88" s="14">
        <v>8.2485999941825767</v>
      </c>
      <c r="BD88" s="14">
        <v>9.6964583297570428</v>
      </c>
      <c r="BE88" s="14">
        <v>8.5580434851024361</v>
      </c>
      <c r="BF88" s="139">
        <f>SUM(Input_Raw[[#This Row],[O2_01]:[O2_26]])</f>
        <v>989072</v>
      </c>
      <c r="BG88" s="140">
        <f>IFERROR(AVERAGE(Input_Raw[[#This Row],[WS_O2_01]:[WS_O2_26]]),"")</f>
        <v>8.8839391657087781</v>
      </c>
      <c r="BH88" s="141"/>
      <c r="BI88" s="141"/>
      <c r="BJ88" s="13">
        <v>956250</v>
      </c>
      <c r="BK88" s="13">
        <v>0</v>
      </c>
      <c r="BL88" s="15">
        <f>Input_Raw[[#This Row],[66 kV_Wind_F1_Export_reading]]-Input_Raw[[#This Row],[66 kV_Wind_F1_Import_reading]]</f>
        <v>956250</v>
      </c>
      <c r="BM88" s="142">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99"/>
      <c r="BQ88" s="135">
        <v>1078.22</v>
      </c>
      <c r="BR88" s="207"/>
    </row>
    <row r="89" spans="1:70" ht="15">
      <c r="A89" s="229">
        <f t="shared" si="14"/>
        <v>45829</v>
      </c>
      <c r="B89" s="11">
        <f>YEAR(Input_Raw[[#This Row],[Date]])+IF(MONTH(Input_Raw[[#This Row],[Date]])&gt;=4,1,0)</f>
        <v>2026</v>
      </c>
      <c r="C89" s="11">
        <f>YEAR(Input_Raw[[#This Row],[Date]])</f>
        <v>2025</v>
      </c>
      <c r="D89" s="12">
        <f t="shared" si="17"/>
        <v>45809</v>
      </c>
      <c r="E89" s="11">
        <f>DAY(EOMONTH(Input_Raw[[#This Row],[Date]],0))</f>
        <v>30</v>
      </c>
      <c r="F89" s="137">
        <v>48915</v>
      </c>
      <c r="G89" s="137">
        <v>52214</v>
      </c>
      <c r="H89" s="137">
        <v>49894</v>
      </c>
      <c r="I89" s="137">
        <v>46630</v>
      </c>
      <c r="J89" s="137">
        <v>51899</v>
      </c>
      <c r="K89" s="137">
        <v>43979</v>
      </c>
      <c r="L89" s="137">
        <v>48182</v>
      </c>
      <c r="M89" s="137">
        <v>50739</v>
      </c>
      <c r="N89" s="137">
        <v>52017</v>
      </c>
      <c r="O89" s="137">
        <v>50278</v>
      </c>
      <c r="P89" s="137">
        <v>47808</v>
      </c>
      <c r="Q89" s="137">
        <v>3</v>
      </c>
      <c r="R89" s="137">
        <v>49448</v>
      </c>
      <c r="S89" s="137">
        <v>48944</v>
      </c>
      <c r="T89" s="137">
        <v>45933</v>
      </c>
      <c r="U89" s="137">
        <v>42701</v>
      </c>
      <c r="V89" s="137">
        <v>49013</v>
      </c>
      <c r="W89" s="137">
        <v>44036</v>
      </c>
      <c r="X89" s="137">
        <v>40849</v>
      </c>
      <c r="Y89" s="137">
        <v>45324</v>
      </c>
      <c r="Z89" s="137">
        <v>45389</v>
      </c>
      <c r="AA89" s="137">
        <v>40673</v>
      </c>
      <c r="AB89" s="137">
        <v>51283</v>
      </c>
      <c r="AC89" s="13">
        <v>50597</v>
      </c>
      <c r="AD89" s="13">
        <v>54700</v>
      </c>
      <c r="AE89" s="13">
        <v>52790</v>
      </c>
      <c r="AF89" s="138">
        <v>8.98</v>
      </c>
      <c r="AG89" s="138">
        <v>9.25</v>
      </c>
      <c r="AH89" s="138">
        <v>8.8800000000000008</v>
      </c>
      <c r="AI89" s="138">
        <v>8.81</v>
      </c>
      <c r="AJ89" s="138">
        <v>9.26</v>
      </c>
      <c r="AK89" s="138">
        <v>8.4499999999999993</v>
      </c>
      <c r="AL89" s="138">
        <v>8.94</v>
      </c>
      <c r="AM89" s="138">
        <v>9.01</v>
      </c>
      <c r="AN89" s="138">
        <v>9.24</v>
      </c>
      <c r="AO89" s="138">
        <v>8.92</v>
      </c>
      <c r="AP89" s="138">
        <v>8.9</v>
      </c>
      <c r="AQ89" s="138">
        <v>8.75</v>
      </c>
      <c r="AR89" s="138">
        <v>8.92</v>
      </c>
      <c r="AS89" s="138">
        <v>8.8800000000000008</v>
      </c>
      <c r="AT89" s="138">
        <v>8.81</v>
      </c>
      <c r="AU89" s="138">
        <v>8.2899999999999991</v>
      </c>
      <c r="AV89" s="138">
        <v>8.76</v>
      </c>
      <c r="AW89" s="138">
        <v>8.34</v>
      </c>
      <c r="AX89" s="138">
        <v>8.44</v>
      </c>
      <c r="AY89" s="138">
        <v>8.65</v>
      </c>
      <c r="AZ89" s="138">
        <v>8.4600000000000009</v>
      </c>
      <c r="BA89" s="138">
        <v>8.07</v>
      </c>
      <c r="BB89" s="138">
        <v>9.25</v>
      </c>
      <c r="BC89" s="14">
        <v>8.93</v>
      </c>
      <c r="BD89" s="14">
        <v>9.3000000000000007</v>
      </c>
      <c r="BE89" s="14">
        <v>9.24</v>
      </c>
      <c r="BF89" s="139">
        <f>SUM(Input_Raw[[#This Row],[O2_01]:[O2_26]])</f>
        <v>1204238</v>
      </c>
      <c r="BG89" s="140">
        <f>IFERROR(AVERAGE(Input_Raw[[#This Row],[WS_O2_01]:[WS_O2_26]]),"")</f>
        <v>8.8357692307692322</v>
      </c>
      <c r="BH89" s="141"/>
      <c r="BI89" s="141"/>
      <c r="BJ89" s="13">
        <v>1165500</v>
      </c>
      <c r="BK89" s="13">
        <v>0</v>
      </c>
      <c r="BL89" s="15">
        <f>Input_Raw[[#This Row],[66 kV_Wind_F1_Export_reading]]-Input_Raw[[#This Row],[66 kV_Wind_F1_Import_reading]]</f>
        <v>1165500</v>
      </c>
      <c r="BM89" s="142">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99"/>
      <c r="BQ89" s="135">
        <v>1261.1600000000001</v>
      </c>
      <c r="BR89" s="207"/>
    </row>
    <row r="90" spans="1:70" ht="15">
      <c r="A90" s="229">
        <f t="shared" si="14"/>
        <v>45830</v>
      </c>
      <c r="B90" s="11">
        <f>YEAR(Input_Raw[[#This Row],[Date]])+IF(MONTH(Input_Raw[[#This Row],[Date]])&gt;=4,1,0)</f>
        <v>2026</v>
      </c>
      <c r="C90" s="11">
        <f>YEAR(Input_Raw[[#This Row],[Date]])</f>
        <v>2025</v>
      </c>
      <c r="D90" s="12">
        <f t="shared" ref="D90:D95" si="18">A90-DAY(A90)+1</f>
        <v>45809</v>
      </c>
      <c r="E90" s="11">
        <f>DAY(EOMONTH(Input_Raw[[#This Row],[Date]],0))</f>
        <v>30</v>
      </c>
      <c r="F90" s="137">
        <v>29608</v>
      </c>
      <c r="G90" s="137">
        <v>32913</v>
      </c>
      <c r="H90" s="137">
        <v>33071</v>
      </c>
      <c r="I90" s="137">
        <v>28909</v>
      </c>
      <c r="J90" s="137">
        <v>33162</v>
      </c>
      <c r="K90" s="137">
        <v>28395</v>
      </c>
      <c r="L90" s="137">
        <v>25670</v>
      </c>
      <c r="M90" s="137">
        <v>33659</v>
      </c>
      <c r="N90" s="137">
        <v>32328</v>
      </c>
      <c r="O90" s="137">
        <v>29827</v>
      </c>
      <c r="P90" s="137">
        <v>29493</v>
      </c>
      <c r="Q90" s="137">
        <v>1</v>
      </c>
      <c r="R90" s="137">
        <v>30075</v>
      </c>
      <c r="S90" s="137">
        <v>31473</v>
      </c>
      <c r="T90" s="137">
        <v>26706</v>
      </c>
      <c r="U90" s="137">
        <v>26754</v>
      </c>
      <c r="V90" s="137">
        <v>30399</v>
      </c>
      <c r="W90" s="137">
        <v>29382</v>
      </c>
      <c r="X90" s="137">
        <v>26158</v>
      </c>
      <c r="Y90" s="137">
        <v>27533</v>
      </c>
      <c r="Z90" s="137">
        <v>30069</v>
      </c>
      <c r="AA90" s="137">
        <v>24705</v>
      </c>
      <c r="AB90" s="137">
        <v>32944</v>
      </c>
      <c r="AC90" s="13">
        <v>30198</v>
      </c>
      <c r="AD90" s="13">
        <v>35011</v>
      </c>
      <c r="AE90" s="13">
        <v>31309</v>
      </c>
      <c r="AF90" s="138">
        <v>7.15</v>
      </c>
      <c r="AG90" s="138">
        <v>7.3</v>
      </c>
      <c r="AH90" s="138">
        <v>7.28</v>
      </c>
      <c r="AI90" s="138">
        <v>6.95</v>
      </c>
      <c r="AJ90" s="138">
        <v>7.4</v>
      </c>
      <c r="AK90" s="138">
        <v>7.1</v>
      </c>
      <c r="AL90" s="138">
        <v>6.57</v>
      </c>
      <c r="AM90" s="138">
        <v>7.25</v>
      </c>
      <c r="AN90" s="138">
        <v>7.32</v>
      </c>
      <c r="AO90" s="138">
        <v>7.03</v>
      </c>
      <c r="AP90" s="138">
        <v>7.11</v>
      </c>
      <c r="AQ90" s="138">
        <v>7.51</v>
      </c>
      <c r="AR90" s="138">
        <v>7.07</v>
      </c>
      <c r="AS90" s="138">
        <v>7.21</v>
      </c>
      <c r="AT90" s="138">
        <v>6.77</v>
      </c>
      <c r="AU90" s="138">
        <v>6.76</v>
      </c>
      <c r="AV90" s="138">
        <v>7.21</v>
      </c>
      <c r="AW90" s="138">
        <v>7.02</v>
      </c>
      <c r="AX90" s="138">
        <v>6.84</v>
      </c>
      <c r="AY90" s="138">
        <v>6.86</v>
      </c>
      <c r="AZ90" s="138">
        <v>7.06</v>
      </c>
      <c r="BA90" s="138">
        <v>6.61</v>
      </c>
      <c r="BB90" s="138">
        <v>7.32</v>
      </c>
      <c r="BC90" s="14">
        <v>6.98</v>
      </c>
      <c r="BD90" s="14">
        <v>7.4</v>
      </c>
      <c r="BE90" s="14">
        <v>7.21</v>
      </c>
      <c r="BF90" s="139">
        <f>SUM(Input_Raw[[#This Row],[O2_01]:[O2_26]])</f>
        <v>749752</v>
      </c>
      <c r="BG90" s="140">
        <f>IFERROR(AVERAGE(Input_Raw[[#This Row],[WS_O2_01]:[WS_O2_26]]),"")</f>
        <v>7.0880769230769243</v>
      </c>
      <c r="BH90" s="141"/>
      <c r="BI90" s="141"/>
      <c r="BJ90" s="13">
        <v>729900</v>
      </c>
      <c r="BK90" s="13">
        <v>0</v>
      </c>
      <c r="BL90" s="15">
        <f>Input_Raw[[#This Row],[66 kV_Wind_F1_Export_reading]]-Input_Raw[[#This Row],[66 kV_Wind_F1_Import_reading]]</f>
        <v>729900</v>
      </c>
      <c r="BM90" s="142">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99"/>
      <c r="BQ90" s="135">
        <v>790.8</v>
      </c>
      <c r="BR90" s="207"/>
    </row>
    <row r="91" spans="1:70" ht="15">
      <c r="A91" s="229">
        <f t="shared" si="14"/>
        <v>45831</v>
      </c>
      <c r="B91" s="11">
        <f>YEAR(Input_Raw[[#This Row],[Date]])+IF(MONTH(Input_Raw[[#This Row],[Date]])&gt;=4,1,0)</f>
        <v>2026</v>
      </c>
      <c r="C91" s="11">
        <f>YEAR(Input_Raw[[#This Row],[Date]])</f>
        <v>2025</v>
      </c>
      <c r="D91" s="12">
        <f t="shared" si="18"/>
        <v>45809</v>
      </c>
      <c r="E91" s="11">
        <f>DAY(EOMONTH(Input_Raw[[#This Row],[Date]],0))</f>
        <v>30</v>
      </c>
      <c r="F91" s="137">
        <v>32259</v>
      </c>
      <c r="G91" s="137">
        <v>36662</v>
      </c>
      <c r="H91" s="137">
        <v>33725</v>
      </c>
      <c r="I91" s="137">
        <v>28913</v>
      </c>
      <c r="J91" s="137">
        <v>33535</v>
      </c>
      <c r="K91" s="137">
        <v>32886</v>
      </c>
      <c r="L91" s="137">
        <v>30932</v>
      </c>
      <c r="M91" s="137">
        <v>33205</v>
      </c>
      <c r="N91" s="137">
        <v>35738</v>
      </c>
      <c r="O91" s="137">
        <v>33998</v>
      </c>
      <c r="P91" s="137">
        <v>33536</v>
      </c>
      <c r="Q91" s="137">
        <v>0</v>
      </c>
      <c r="R91" s="137">
        <v>34442</v>
      </c>
      <c r="S91" s="137">
        <v>35000</v>
      </c>
      <c r="T91" s="137">
        <v>33852</v>
      </c>
      <c r="U91" s="137">
        <v>32991</v>
      </c>
      <c r="V91" s="137">
        <v>35432</v>
      </c>
      <c r="W91" s="137">
        <v>33258</v>
      </c>
      <c r="X91" s="137">
        <v>34347</v>
      </c>
      <c r="Y91" s="137">
        <v>30969</v>
      </c>
      <c r="Z91" s="137">
        <v>32231</v>
      </c>
      <c r="AA91" s="137">
        <v>28383</v>
      </c>
      <c r="AB91" s="137">
        <v>36008</v>
      </c>
      <c r="AC91" s="13">
        <v>33852</v>
      </c>
      <c r="AD91" s="13">
        <v>38693</v>
      </c>
      <c r="AE91" s="13">
        <v>35736</v>
      </c>
      <c r="AF91" s="138">
        <v>7.43</v>
      </c>
      <c r="AG91" s="138">
        <v>7.67</v>
      </c>
      <c r="AH91" s="138">
        <v>7.6</v>
      </c>
      <c r="AI91" s="138">
        <v>7.05</v>
      </c>
      <c r="AJ91" s="138">
        <v>7.64</v>
      </c>
      <c r="AK91" s="138">
        <v>7.68</v>
      </c>
      <c r="AL91" s="138">
        <v>7.18</v>
      </c>
      <c r="AM91" s="138">
        <v>7.45</v>
      </c>
      <c r="AN91" s="138">
        <v>7.78</v>
      </c>
      <c r="AO91" s="138">
        <v>7.57</v>
      </c>
      <c r="AP91" s="138">
        <v>7.67</v>
      </c>
      <c r="AQ91" s="138">
        <v>8.9700000000000006</v>
      </c>
      <c r="AR91" s="138">
        <v>7.57</v>
      </c>
      <c r="AS91" s="138">
        <v>7.66</v>
      </c>
      <c r="AT91" s="138">
        <v>7.54</v>
      </c>
      <c r="AU91" s="138">
        <v>7.58</v>
      </c>
      <c r="AV91" s="138">
        <v>7.84</v>
      </c>
      <c r="AW91" s="138">
        <v>7.52</v>
      </c>
      <c r="AX91" s="138">
        <v>7.63</v>
      </c>
      <c r="AY91" s="138">
        <v>7.31</v>
      </c>
      <c r="AZ91" s="138">
        <v>7.45</v>
      </c>
      <c r="BA91" s="138">
        <v>7.07</v>
      </c>
      <c r="BB91" s="138">
        <v>7.76</v>
      </c>
      <c r="BC91" s="14">
        <v>7.43</v>
      </c>
      <c r="BD91" s="14">
        <v>7.78</v>
      </c>
      <c r="BE91" s="14">
        <v>7.68</v>
      </c>
      <c r="BF91" s="139">
        <f>SUM(Input_Raw[[#This Row],[O2_01]:[O2_26]])</f>
        <v>840583</v>
      </c>
      <c r="BG91" s="140">
        <f>IFERROR(AVERAGE(Input_Raw[[#This Row],[WS_O2_01]:[WS_O2_26]]),"")</f>
        <v>7.5965384615384624</v>
      </c>
      <c r="BH91" s="141"/>
      <c r="BI91" s="141"/>
      <c r="BJ91" s="13">
        <v>820350</v>
      </c>
      <c r="BK91" s="13">
        <v>0</v>
      </c>
      <c r="BL91" s="15">
        <f>Input_Raw[[#This Row],[66 kV_Wind_F1_Export_reading]]-Input_Raw[[#This Row],[66 kV_Wind_F1_Import_reading]]</f>
        <v>820350</v>
      </c>
      <c r="BM91" s="142">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99"/>
      <c r="BQ91" s="135">
        <v>894.97</v>
      </c>
      <c r="BR91" s="207"/>
    </row>
    <row r="92" spans="1:70" ht="15">
      <c r="A92" s="229">
        <f t="shared" si="14"/>
        <v>45832</v>
      </c>
      <c r="B92" s="11">
        <f>YEAR(Input_Raw[[#This Row],[Date]])+IF(MONTH(Input_Raw[[#This Row],[Date]])&gt;=4,1,0)</f>
        <v>2026</v>
      </c>
      <c r="C92" s="11">
        <f>YEAR(Input_Raw[[#This Row],[Date]])</f>
        <v>2025</v>
      </c>
      <c r="D92" s="12">
        <f t="shared" si="18"/>
        <v>45809</v>
      </c>
      <c r="E92" s="11">
        <f>DAY(EOMONTH(Input_Raw[[#This Row],[Date]],0))</f>
        <v>30</v>
      </c>
      <c r="F92" s="137">
        <v>43504</v>
      </c>
      <c r="G92" s="137">
        <v>46613</v>
      </c>
      <c r="H92" s="137">
        <v>43680</v>
      </c>
      <c r="I92" s="137">
        <v>42991</v>
      </c>
      <c r="J92" s="137">
        <v>46848</v>
      </c>
      <c r="K92" s="137">
        <v>42185</v>
      </c>
      <c r="L92" s="137">
        <v>44567</v>
      </c>
      <c r="M92" s="137">
        <v>39645</v>
      </c>
      <c r="N92" s="137">
        <v>44922</v>
      </c>
      <c r="O92" s="137">
        <v>41740</v>
      </c>
      <c r="P92" s="137">
        <v>43228</v>
      </c>
      <c r="Q92" s="137">
        <v>0</v>
      </c>
      <c r="R92" s="137">
        <v>43455</v>
      </c>
      <c r="S92" s="137">
        <v>43210</v>
      </c>
      <c r="T92" s="137">
        <v>40798</v>
      </c>
      <c r="U92" s="137">
        <v>38965</v>
      </c>
      <c r="V92" s="137">
        <v>45630</v>
      </c>
      <c r="W92" s="137">
        <v>41810</v>
      </c>
      <c r="X92" s="137">
        <v>48279</v>
      </c>
      <c r="Y92" s="137">
        <v>41972</v>
      </c>
      <c r="Z92" s="137">
        <v>44172</v>
      </c>
      <c r="AA92" s="137">
        <v>40585</v>
      </c>
      <c r="AB92" s="137">
        <v>44719</v>
      </c>
      <c r="AC92" s="13">
        <v>43964</v>
      </c>
      <c r="AD92" s="13">
        <v>49046</v>
      </c>
      <c r="AE92" s="13">
        <v>45247</v>
      </c>
      <c r="AF92" s="138">
        <v>8.31</v>
      </c>
      <c r="AG92" s="138">
        <v>8.58</v>
      </c>
      <c r="AH92" s="138">
        <v>8.1999999999999993</v>
      </c>
      <c r="AI92" s="138">
        <v>8.34</v>
      </c>
      <c r="AJ92" s="138">
        <v>8.6999999999999993</v>
      </c>
      <c r="AK92" s="138">
        <v>8.23</v>
      </c>
      <c r="AL92" s="138">
        <v>8.35</v>
      </c>
      <c r="AM92" s="138">
        <v>8.36</v>
      </c>
      <c r="AN92" s="138">
        <v>8.44</v>
      </c>
      <c r="AO92" s="138">
        <v>8.0299999999999994</v>
      </c>
      <c r="AP92" s="138">
        <v>8.2899999999999991</v>
      </c>
      <c r="AQ92" s="138">
        <v>9.76</v>
      </c>
      <c r="AR92" s="138">
        <v>8.23</v>
      </c>
      <c r="AS92" s="138">
        <v>8.23</v>
      </c>
      <c r="AT92" s="138">
        <v>8.01</v>
      </c>
      <c r="AU92" s="138">
        <v>7.85</v>
      </c>
      <c r="AV92" s="138">
        <v>8.5299999999999994</v>
      </c>
      <c r="AW92" s="138">
        <v>8.08</v>
      </c>
      <c r="AX92" s="138">
        <v>8.59</v>
      </c>
      <c r="AY92" s="138">
        <v>8.14</v>
      </c>
      <c r="AZ92" s="138">
        <v>8.25</v>
      </c>
      <c r="BA92" s="138">
        <v>8.08</v>
      </c>
      <c r="BB92" s="138">
        <v>8.35</v>
      </c>
      <c r="BC92" s="14">
        <v>8.19</v>
      </c>
      <c r="BD92" s="14">
        <v>8.61</v>
      </c>
      <c r="BE92" s="14">
        <v>8.41</v>
      </c>
      <c r="BF92" s="139">
        <f>SUM(Input_Raw[[#This Row],[O2_01]:[O2_26]])</f>
        <v>1091775</v>
      </c>
      <c r="BG92" s="140">
        <f>IFERROR(AVERAGE(Input_Raw[[#This Row],[WS_O2_01]:[WS_O2_26]]),"")</f>
        <v>8.3515384615384622</v>
      </c>
      <c r="BH92" s="141"/>
      <c r="BI92" s="141"/>
      <c r="BJ92" s="13">
        <v>1056600</v>
      </c>
      <c r="BK92" s="13">
        <v>0</v>
      </c>
      <c r="BL92" s="15">
        <f>Input_Raw[[#This Row],[66 kV_Wind_F1_Export_reading]]-Input_Raw[[#This Row],[66 kV_Wind_F1_Import_reading]]</f>
        <v>1056600</v>
      </c>
      <c r="BM92" s="142">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99"/>
      <c r="BQ92" s="135">
        <v>1165.22</v>
      </c>
      <c r="BR92" s="207"/>
    </row>
    <row r="93" spans="1:70" ht="15">
      <c r="A93" s="229">
        <f t="shared" si="14"/>
        <v>45833</v>
      </c>
      <c r="B93" s="11">
        <f>YEAR(Input_Raw[[#This Row],[Date]])+IF(MONTH(Input_Raw[[#This Row],[Date]])&gt;=4,1,0)</f>
        <v>2026</v>
      </c>
      <c r="C93" s="11">
        <f>YEAR(Input_Raw[[#This Row],[Date]])</f>
        <v>2025</v>
      </c>
      <c r="D93" s="12">
        <f t="shared" si="18"/>
        <v>45809</v>
      </c>
      <c r="E93" s="11">
        <f>DAY(EOMONTH(Input_Raw[[#This Row],[Date]],0))</f>
        <v>30</v>
      </c>
      <c r="F93" s="137">
        <v>9881</v>
      </c>
      <c r="G93" s="137">
        <v>9958</v>
      </c>
      <c r="H93" s="137">
        <v>9307</v>
      </c>
      <c r="I93" s="137">
        <v>10703</v>
      </c>
      <c r="J93" s="137">
        <v>10550</v>
      </c>
      <c r="K93" s="137">
        <v>13541</v>
      </c>
      <c r="L93" s="137">
        <v>10134</v>
      </c>
      <c r="M93" s="137">
        <v>9903</v>
      </c>
      <c r="N93" s="137">
        <v>9690</v>
      </c>
      <c r="O93" s="137">
        <v>8295</v>
      </c>
      <c r="P93" s="137">
        <v>10093</v>
      </c>
      <c r="Q93" s="137">
        <v>0</v>
      </c>
      <c r="R93" s="137">
        <v>8970</v>
      </c>
      <c r="S93" s="137">
        <v>8612</v>
      </c>
      <c r="T93" s="137">
        <v>8951</v>
      </c>
      <c r="U93" s="137">
        <v>10180</v>
      </c>
      <c r="V93" s="137">
        <v>15934</v>
      </c>
      <c r="W93" s="137">
        <v>12551</v>
      </c>
      <c r="X93" s="137">
        <v>13990</v>
      </c>
      <c r="Y93" s="137">
        <v>10246</v>
      </c>
      <c r="Z93" s="137">
        <v>13211</v>
      </c>
      <c r="AA93" s="137">
        <v>14081</v>
      </c>
      <c r="AB93" s="137">
        <v>9260</v>
      </c>
      <c r="AC93" s="13">
        <v>11296</v>
      </c>
      <c r="AD93" s="13">
        <v>11852</v>
      </c>
      <c r="AE93" s="13">
        <v>9536</v>
      </c>
      <c r="AF93" s="138">
        <v>4.8899999999999997</v>
      </c>
      <c r="AG93" s="138">
        <v>4.76</v>
      </c>
      <c r="AH93" s="138">
        <v>4.66</v>
      </c>
      <c r="AI93" s="138">
        <v>4.8499999999999996</v>
      </c>
      <c r="AJ93" s="138">
        <v>4.84</v>
      </c>
      <c r="AK93" s="138">
        <v>5.7</v>
      </c>
      <c r="AL93" s="138">
        <v>4.78</v>
      </c>
      <c r="AM93" s="138">
        <v>4.66</v>
      </c>
      <c r="AN93" s="138">
        <v>4.75</v>
      </c>
      <c r="AO93" s="138">
        <v>4.53</v>
      </c>
      <c r="AP93" s="138">
        <v>4.88</v>
      </c>
      <c r="AQ93" s="138">
        <v>5.4</v>
      </c>
      <c r="AR93" s="138">
        <v>4.6900000000000004</v>
      </c>
      <c r="AS93" s="138">
        <v>4.6100000000000003</v>
      </c>
      <c r="AT93" s="138">
        <v>4.59</v>
      </c>
      <c r="AU93" s="138">
        <v>4.84</v>
      </c>
      <c r="AV93" s="138">
        <v>5.87</v>
      </c>
      <c r="AW93" s="138">
        <v>5.25</v>
      </c>
      <c r="AX93" s="138">
        <v>5.34</v>
      </c>
      <c r="AY93" s="138">
        <v>4.9000000000000004</v>
      </c>
      <c r="AZ93" s="138">
        <v>5.31</v>
      </c>
      <c r="BA93" s="138">
        <v>5.48</v>
      </c>
      <c r="BB93" s="138">
        <v>4.63</v>
      </c>
      <c r="BC93" s="14">
        <v>4.97</v>
      </c>
      <c r="BD93" s="14">
        <v>4.97</v>
      </c>
      <c r="BE93" s="14">
        <v>4.7</v>
      </c>
      <c r="BF93" s="139">
        <f>SUM(Input_Raw[[#This Row],[O2_01]:[O2_26]])</f>
        <v>270725</v>
      </c>
      <c r="BG93" s="140">
        <f>IFERROR(AVERAGE(Input_Raw[[#This Row],[WS_O2_01]:[WS_O2_26]]),"")</f>
        <v>4.9557692307692314</v>
      </c>
      <c r="BH93" s="141"/>
      <c r="BI93" s="141"/>
      <c r="BJ93" s="13">
        <v>263250</v>
      </c>
      <c r="BK93" s="13">
        <v>0</v>
      </c>
      <c r="BL93" s="15">
        <f>Input_Raw[[#This Row],[66 kV_Wind_F1_Export_reading]]-Input_Raw[[#This Row],[66 kV_Wind_F1_Import_reading]]</f>
        <v>263250</v>
      </c>
      <c r="BM93" s="142">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99"/>
      <c r="BQ93" s="135">
        <v>286.3</v>
      </c>
      <c r="BR93" s="207"/>
    </row>
    <row r="94" spans="1:70" ht="15">
      <c r="A94" s="229">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29">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29">
        <f t="shared" si="14"/>
        <v>45836</v>
      </c>
      <c r="B96" s="11">
        <f>YEAR(Input_Raw[[#This Row],[Date]])+IF(MONTH(Input_Raw[[#This Row],[Date]])&gt;=4,1,0)</f>
        <v>2026</v>
      </c>
      <c r="C96" s="11">
        <f>YEAR(Input_Raw[[#This Row],[Date]])</f>
        <v>2025</v>
      </c>
      <c r="D96" s="12">
        <f t="shared" ref="D96:D101" si="19">A96-DAY(A96)+1</f>
        <v>45809</v>
      </c>
      <c r="E96" s="11">
        <f>DAY(EOMONTH(Input_Raw[[#This Row],[Date]],0))</f>
        <v>30</v>
      </c>
      <c r="F96" s="137">
        <v>56204</v>
      </c>
      <c r="G96" s="137">
        <v>55284</v>
      </c>
      <c r="H96" s="137">
        <v>54660</v>
      </c>
      <c r="I96" s="137">
        <v>53600</v>
      </c>
      <c r="J96" s="137">
        <v>54703</v>
      </c>
      <c r="K96" s="137">
        <v>58092</v>
      </c>
      <c r="L96" s="137">
        <v>53572</v>
      </c>
      <c r="M96" s="137">
        <v>42838</v>
      </c>
      <c r="N96" s="137">
        <v>56209</v>
      </c>
      <c r="O96" s="137">
        <v>54705</v>
      </c>
      <c r="P96" s="137">
        <v>56457</v>
      </c>
      <c r="Q96" s="137">
        <v>0</v>
      </c>
      <c r="R96" s="137">
        <v>56738</v>
      </c>
      <c r="S96" s="137">
        <v>56319</v>
      </c>
      <c r="T96" s="137">
        <v>58053</v>
      </c>
      <c r="U96" s="137">
        <v>55682</v>
      </c>
      <c r="V96" s="137">
        <v>56104</v>
      </c>
      <c r="W96" s="137">
        <v>58276</v>
      </c>
      <c r="X96" s="137">
        <v>57627</v>
      </c>
      <c r="Y96" s="137">
        <v>52311</v>
      </c>
      <c r="Z96" s="137">
        <v>56225</v>
      </c>
      <c r="AA96" s="137">
        <v>58011</v>
      </c>
      <c r="AB96" s="137">
        <v>53851</v>
      </c>
      <c r="AC96" s="13">
        <v>54860</v>
      </c>
      <c r="AD96" s="13">
        <v>56866</v>
      </c>
      <c r="AE96" s="13">
        <v>55344</v>
      </c>
      <c r="AF96" s="138">
        <v>9.8893749978807044</v>
      </c>
      <c r="AG96" s="138">
        <v>9.882500025961118</v>
      </c>
      <c r="AH96" s="138">
        <v>9.6034722295072203</v>
      </c>
      <c r="AI96" s="138">
        <v>9.6678472459316094</v>
      </c>
      <c r="AJ96" s="138">
        <v>9.7336111234293856</v>
      </c>
      <c r="AK96" s="138">
        <v>10.148611088593784</v>
      </c>
      <c r="AL96" s="138">
        <v>9.5979166461361629</v>
      </c>
      <c r="AM96" s="138">
        <v>9.7179166351755288</v>
      </c>
      <c r="AN96" s="138">
        <v>9.8218055533038058</v>
      </c>
      <c r="AO96" s="138">
        <v>9.6160416636201962</v>
      </c>
      <c r="AP96" s="138">
        <v>9.9553472333484123</v>
      </c>
      <c r="AQ96" s="138">
        <v>5.8127777808242165</v>
      </c>
      <c r="AR96" s="138">
        <v>9.8643055326408664</v>
      </c>
      <c r="AS96" s="138">
        <v>9.7319444417953331</v>
      </c>
      <c r="AT96" s="138">
        <v>9.9236111144224601</v>
      </c>
      <c r="AU96" s="138">
        <v>9.9079860978656171</v>
      </c>
      <c r="AV96" s="138">
        <v>10.319583321611068</v>
      </c>
      <c r="AW96" s="138">
        <v>9.96680551767348</v>
      </c>
      <c r="AX96" s="138">
        <v>10.145625011788461</v>
      </c>
      <c r="AY96" s="138">
        <v>9.5035416450765222</v>
      </c>
      <c r="AZ96" s="138">
        <v>10.035208341148147</v>
      </c>
      <c r="BA96" s="138">
        <v>10.341805544164432</v>
      </c>
      <c r="BB96" s="138">
        <v>9.751041690508508</v>
      </c>
      <c r="BC96" s="14">
        <v>9.6993750267558489</v>
      </c>
      <c r="BD96" s="14">
        <v>9.8125694427225216</v>
      </c>
      <c r="BE96" s="14">
        <v>9.7290277613533771</v>
      </c>
      <c r="BF96" s="139">
        <f>SUM(Input_Raw[[#This Row],[O2_01]:[O2_26]])</f>
        <v>1382591</v>
      </c>
      <c r="BG96" s="140">
        <f>IFERROR(AVERAGE(Input_Raw[[#This Row],[WS_O2_01]:[WS_O2_26]]),"")</f>
        <v>9.6992174120476466</v>
      </c>
      <c r="BH96" s="141"/>
      <c r="BI96" s="141"/>
      <c r="BJ96" s="13">
        <v>1334250</v>
      </c>
      <c r="BK96" s="13">
        <v>0</v>
      </c>
      <c r="BL96" s="15">
        <f>Input_Raw[[#This Row],[66 kV_Wind_F1_Export_reading]]-Input_Raw[[#This Row],[66 kV_Wind_F1_Import_reading]]</f>
        <v>1334250</v>
      </c>
      <c r="BM96" s="142">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99"/>
      <c r="BQ96" s="135">
        <v>1434.41</v>
      </c>
      <c r="BR96" s="207"/>
    </row>
    <row r="97" spans="1:70" ht="15">
      <c r="A97" s="229">
        <f t="shared" si="14"/>
        <v>45837</v>
      </c>
      <c r="B97" s="11">
        <f>YEAR(Input_Raw[[#This Row],[Date]])+IF(MONTH(Input_Raw[[#This Row],[Date]])&gt;=4,1,0)</f>
        <v>2026</v>
      </c>
      <c r="C97" s="11">
        <f>YEAR(Input_Raw[[#This Row],[Date]])</f>
        <v>2025</v>
      </c>
      <c r="D97" s="12">
        <f t="shared" si="19"/>
        <v>45809</v>
      </c>
      <c r="E97" s="11">
        <f>DAY(EOMONTH(Input_Raw[[#This Row],[Date]],0))</f>
        <v>30</v>
      </c>
      <c r="F97" s="137">
        <v>54692</v>
      </c>
      <c r="G97" s="137">
        <v>56261</v>
      </c>
      <c r="H97" s="137">
        <v>53336</v>
      </c>
      <c r="I97" s="137">
        <v>58716</v>
      </c>
      <c r="J97" s="137">
        <v>53004</v>
      </c>
      <c r="K97" s="137">
        <v>62725</v>
      </c>
      <c r="L97" s="137">
        <v>57606</v>
      </c>
      <c r="M97" s="137">
        <v>46179</v>
      </c>
      <c r="N97" s="137">
        <v>45425</v>
      </c>
      <c r="O97" s="137">
        <v>55795</v>
      </c>
      <c r="P97" s="137">
        <v>57284</v>
      </c>
      <c r="Q97" s="137">
        <v>0</v>
      </c>
      <c r="R97" s="137">
        <v>57422</v>
      </c>
      <c r="S97" s="137">
        <v>58023</v>
      </c>
      <c r="T97" s="137">
        <v>56720</v>
      </c>
      <c r="U97" s="137">
        <v>58947</v>
      </c>
      <c r="V97" s="137">
        <v>61742</v>
      </c>
      <c r="W97" s="137">
        <v>63546</v>
      </c>
      <c r="X97" s="137">
        <v>62375</v>
      </c>
      <c r="Y97" s="137">
        <v>60462</v>
      </c>
      <c r="Z97" s="137">
        <v>62347</v>
      </c>
      <c r="AA97" s="137">
        <v>63422</v>
      </c>
      <c r="AB97" s="137">
        <v>53083</v>
      </c>
      <c r="AC97" s="13">
        <v>60695</v>
      </c>
      <c r="AD97" s="13">
        <v>55475</v>
      </c>
      <c r="AE97" s="13">
        <v>55208</v>
      </c>
      <c r="AF97" s="138">
        <v>9.73</v>
      </c>
      <c r="AG97" s="138">
        <v>9.94</v>
      </c>
      <c r="AH97" s="138">
        <v>9.48</v>
      </c>
      <c r="AI97" s="138">
        <v>10.119999999999999</v>
      </c>
      <c r="AJ97" s="138">
        <v>9.74</v>
      </c>
      <c r="AK97" s="138">
        <v>10.8</v>
      </c>
      <c r="AL97" s="138">
        <v>10.09</v>
      </c>
      <c r="AM97" s="138">
        <v>9.86</v>
      </c>
      <c r="AN97" s="138">
        <v>9.5299999999999994</v>
      </c>
      <c r="AO97" s="138">
        <v>9.8800000000000008</v>
      </c>
      <c r="AP97" s="138">
        <v>10.01</v>
      </c>
      <c r="AQ97" s="138">
        <v>10.9</v>
      </c>
      <c r="AR97" s="138">
        <v>9.9600000000000009</v>
      </c>
      <c r="AS97" s="138">
        <v>10.039999999999999</v>
      </c>
      <c r="AT97" s="138">
        <v>9.9600000000000009</v>
      </c>
      <c r="AU97" s="138">
        <v>10.28</v>
      </c>
      <c r="AV97" s="138">
        <v>11.07</v>
      </c>
      <c r="AW97" s="138">
        <v>10.65</v>
      </c>
      <c r="AX97" s="138">
        <v>10.77</v>
      </c>
      <c r="AY97" s="138">
        <v>10.29</v>
      </c>
      <c r="AZ97" s="138">
        <v>10.64</v>
      </c>
      <c r="BA97" s="138">
        <v>11.09</v>
      </c>
      <c r="BB97" s="138">
        <v>9.6</v>
      </c>
      <c r="BC97" s="14">
        <v>10.220000000000001</v>
      </c>
      <c r="BD97" s="14">
        <v>9.64</v>
      </c>
      <c r="BE97" s="14">
        <v>9.7899999999999991</v>
      </c>
      <c r="BF97" s="139">
        <f>SUM(Input_Raw[[#This Row],[O2_01]:[O2_26]])</f>
        <v>1430490</v>
      </c>
      <c r="BG97" s="140">
        <f>IFERROR(AVERAGE(Input_Raw[[#This Row],[WS_O2_01]:[WS_O2_26]]),"")</f>
        <v>10.156923076923078</v>
      </c>
      <c r="BH97" s="141"/>
      <c r="BI97" s="141"/>
      <c r="BJ97" s="13">
        <v>1379250</v>
      </c>
      <c r="BK97" s="13">
        <v>0</v>
      </c>
      <c r="BL97" s="15">
        <f>Input_Raw[[#This Row],[66 kV_Wind_F1_Export_reading]]-Input_Raw[[#This Row],[66 kV_Wind_F1_Import_reading]]</f>
        <v>1379250</v>
      </c>
      <c r="BM97" s="142">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99"/>
      <c r="BQ97" s="135">
        <v>1508.13</v>
      </c>
      <c r="BR97" s="207"/>
    </row>
    <row r="98" spans="1:70" ht="15">
      <c r="A98" s="229">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29">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29">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29">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29">
        <f t="shared" si="14"/>
        <v>45842</v>
      </c>
      <c r="B102" s="11">
        <f>YEAR(Input_Raw[[#This Row],[Date]])+IF(MONTH(Input_Raw[[#This Row],[Date]])&gt;=4,1,0)</f>
        <v>2026</v>
      </c>
      <c r="C102" s="11">
        <f>YEAR(Input_Raw[[#This Row],[Date]])</f>
        <v>2025</v>
      </c>
      <c r="D102" s="12">
        <f t="shared" ref="D102" si="20">A102-DAY(A102)+1</f>
        <v>45839</v>
      </c>
      <c r="E102" s="11">
        <f>DAY(EOMONTH(Input_Raw[[#This Row],[Date]],0))</f>
        <v>31</v>
      </c>
      <c r="F102" s="137">
        <v>16805</v>
      </c>
      <c r="G102" s="137">
        <v>19166</v>
      </c>
      <c r="H102" s="137">
        <v>16241</v>
      </c>
      <c r="I102" s="137">
        <v>17686</v>
      </c>
      <c r="J102" s="137">
        <v>19538</v>
      </c>
      <c r="K102" s="137">
        <v>17027</v>
      </c>
      <c r="L102" s="137">
        <v>17148</v>
      </c>
      <c r="M102" s="137">
        <v>17269</v>
      </c>
      <c r="N102" s="137">
        <v>16169</v>
      </c>
      <c r="O102" s="137">
        <v>16197</v>
      </c>
      <c r="P102" s="137">
        <v>15861</v>
      </c>
      <c r="Q102" s="137">
        <v>0</v>
      </c>
      <c r="R102" s="137">
        <v>15946</v>
      </c>
      <c r="S102" s="137">
        <v>16553</v>
      </c>
      <c r="T102" s="137">
        <v>16111</v>
      </c>
      <c r="U102" s="137">
        <v>15978</v>
      </c>
      <c r="V102" s="137">
        <v>18015</v>
      </c>
      <c r="W102" s="137">
        <v>17420</v>
      </c>
      <c r="X102" s="137">
        <v>17110</v>
      </c>
      <c r="Y102" s="137">
        <v>2838</v>
      </c>
      <c r="Z102" s="137">
        <v>17444</v>
      </c>
      <c r="AA102" s="137">
        <v>17634</v>
      </c>
      <c r="AB102" s="137">
        <v>15831</v>
      </c>
      <c r="AC102" s="13">
        <v>18545</v>
      </c>
      <c r="AD102" s="13">
        <v>21118</v>
      </c>
      <c r="AE102" s="13">
        <v>16699</v>
      </c>
      <c r="AF102" s="138">
        <v>5.6438888923989392</v>
      </c>
      <c r="AG102" s="138">
        <v>5.7808333436648045</v>
      </c>
      <c r="AH102" s="138">
        <v>5.4604166572292634</v>
      </c>
      <c r="AI102" s="138">
        <v>5.5066666669315758</v>
      </c>
      <c r="AJ102" s="138">
        <v>5.9132638855112916</v>
      </c>
      <c r="AK102" s="138">
        <v>5.9399305598603345</v>
      </c>
      <c r="AL102" s="138">
        <v>5.4963889022668191</v>
      </c>
      <c r="AM102" s="138">
        <v>5.4656944390800257</v>
      </c>
      <c r="AN102" s="138">
        <v>5.5429861173033705</v>
      </c>
      <c r="AO102" s="138">
        <v>5.4837500138415223</v>
      </c>
      <c r="AP102" s="138">
        <v>5.519652762346797</v>
      </c>
      <c r="AQ102" s="138">
        <v>6.2409027872814065</v>
      </c>
      <c r="AR102" s="138">
        <v>5.4021527717510853</v>
      </c>
      <c r="AS102" s="138">
        <v>5.5036111209127627</v>
      </c>
      <c r="AT102" s="138">
        <v>5.385972221692402</v>
      </c>
      <c r="AU102" s="138">
        <v>5.3752777824799214</v>
      </c>
      <c r="AV102" s="138">
        <v>5.677222217950554</v>
      </c>
      <c r="AW102" s="138">
        <v>5.5332639018694554</v>
      </c>
      <c r="AX102" s="138">
        <v>5.4981944461663552</v>
      </c>
      <c r="AY102" s="138">
        <v>4.341333338419596</v>
      </c>
      <c r="AZ102" s="138">
        <v>5.6029166744814969</v>
      </c>
      <c r="BA102" s="138">
        <v>5.6165277858575173</v>
      </c>
      <c r="BB102" s="138">
        <v>5.4295138857430869</v>
      </c>
      <c r="BC102" s="14">
        <v>5.688541665673255</v>
      </c>
      <c r="BD102" s="14">
        <v>6.0053472138113442</v>
      </c>
      <c r="BE102" s="14">
        <v>5.5500694695446215</v>
      </c>
      <c r="BF102" s="139">
        <f>SUM(Input_Raw[[#This Row],[O2_01]:[O2_26]])</f>
        <v>416349</v>
      </c>
      <c r="BG102" s="140">
        <f>IFERROR(AVERAGE(Input_Raw[[#This Row],[WS_O2_01]:[WS_O2_26]]),"")</f>
        <v>5.5617045970796006</v>
      </c>
      <c r="BH102" s="141"/>
      <c r="BI102" s="141"/>
      <c r="BJ102" s="13">
        <v>405900</v>
      </c>
      <c r="BK102" s="13">
        <v>0</v>
      </c>
      <c r="BL102" s="15">
        <f>Input_Raw[[#This Row],[66 kV_Wind_F1_Export_reading]]-Input_Raw[[#This Row],[66 kV_Wind_F1_Import_reading]]</f>
        <v>405900</v>
      </c>
      <c r="BM102" s="142">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99"/>
      <c r="BQ102" s="135">
        <v>445.95</v>
      </c>
      <c r="BR102" s="207"/>
    </row>
    <row r="103" spans="1:70" ht="15">
      <c r="A103" s="229">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29">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29">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29">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29">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29">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29">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29">
        <f t="shared" si="14"/>
        <v>45850</v>
      </c>
      <c r="B110" s="11">
        <f>YEAR(Input_Raw[[#This Row],[Date]])+IF(MONTH(Input_Raw[[#This Row],[Date]])&gt;=4,1,0)</f>
        <v>2026</v>
      </c>
      <c r="C110" s="11">
        <f>YEAR(Input_Raw[[#This Row],[Date]])</f>
        <v>2025</v>
      </c>
      <c r="D110" s="12">
        <f t="shared" si="22"/>
        <v>45839</v>
      </c>
      <c r="E110" s="11">
        <f>DAY(EOMONTH(Input_Raw[[#This Row],[Date]],0))</f>
        <v>31</v>
      </c>
      <c r="F110" s="137">
        <v>15673</v>
      </c>
      <c r="G110" s="137">
        <v>19382</v>
      </c>
      <c r="H110" s="137">
        <v>19725</v>
      </c>
      <c r="I110" s="137">
        <v>18338</v>
      </c>
      <c r="J110" s="137">
        <v>18317</v>
      </c>
      <c r="K110" s="137">
        <v>21452</v>
      </c>
      <c r="L110" s="137">
        <v>21040</v>
      </c>
      <c r="M110" s="137">
        <v>16762</v>
      </c>
      <c r="N110" s="137">
        <v>17782</v>
      </c>
      <c r="O110" s="137">
        <v>21459</v>
      </c>
      <c r="P110" s="137">
        <v>19340</v>
      </c>
      <c r="Q110" s="137">
        <v>17843</v>
      </c>
      <c r="R110" s="137">
        <v>19241</v>
      </c>
      <c r="S110" s="137">
        <v>20643</v>
      </c>
      <c r="T110" s="137">
        <v>20717</v>
      </c>
      <c r="U110" s="137">
        <v>18674</v>
      </c>
      <c r="V110" s="137">
        <v>21051</v>
      </c>
      <c r="W110" s="137">
        <v>12862</v>
      </c>
      <c r="X110" s="137">
        <v>22191</v>
      </c>
      <c r="Y110" s="137">
        <v>18985</v>
      </c>
      <c r="Z110" s="137">
        <v>20519</v>
      </c>
      <c r="AA110" s="137">
        <v>19570</v>
      </c>
      <c r="AB110" s="137">
        <v>19415</v>
      </c>
      <c r="AC110" s="13">
        <v>18473</v>
      </c>
      <c r="AD110" s="13">
        <v>18716</v>
      </c>
      <c r="AE110" s="13">
        <v>16351</v>
      </c>
      <c r="AF110" s="138">
        <v>5.6394405681770161</v>
      </c>
      <c r="AG110" s="138">
        <v>5.8697202947589897</v>
      </c>
      <c r="AH110" s="138">
        <v>5.9504895060212464</v>
      </c>
      <c r="AI110" s="138">
        <v>5.79</v>
      </c>
      <c r="AJ110" s="138">
        <v>5.8511805567476474</v>
      </c>
      <c r="AK110" s="138">
        <v>6.7864583416117554</v>
      </c>
      <c r="AL110" s="138">
        <v>6.12</v>
      </c>
      <c r="AM110" s="138">
        <v>5.5972222139437982</v>
      </c>
      <c r="AN110" s="138">
        <v>5.7861538483546324</v>
      </c>
      <c r="AO110" s="138">
        <v>6.2721678427049321</v>
      </c>
      <c r="AP110" s="138">
        <v>6.080139842066731</v>
      </c>
      <c r="AQ110" s="138">
        <v>7.1408391465673899</v>
      </c>
      <c r="AR110" s="138">
        <v>5.9806992874278881</v>
      </c>
      <c r="AS110" s="138">
        <v>6.1616083908747949</v>
      </c>
      <c r="AT110" s="138">
        <v>6.1143356585627657</v>
      </c>
      <c r="AU110" s="138">
        <v>6.158055532309743</v>
      </c>
      <c r="AV110" s="138">
        <v>6.4044444428549863</v>
      </c>
      <c r="AW110" s="138">
        <v>6.157986101177003</v>
      </c>
      <c r="AX110" s="138">
        <v>6.3</v>
      </c>
      <c r="AY110" s="138">
        <v>6.0699305550919629</v>
      </c>
      <c r="AZ110" s="138">
        <v>6.2273611028989144</v>
      </c>
      <c r="BA110" s="138">
        <v>6.1643055627743397</v>
      </c>
      <c r="BB110" s="138">
        <v>5.9635664316324091</v>
      </c>
      <c r="BC110" s="14">
        <v>5.7941666709052182</v>
      </c>
      <c r="BD110" s="14">
        <v>5.7924475603170329</v>
      </c>
      <c r="BE110" s="14">
        <v>5.6487499881121837</v>
      </c>
      <c r="BF110" s="139">
        <f>SUM(Input_Raw[[#This Row],[O2_01]:[O2_26]])</f>
        <v>494521</v>
      </c>
      <c r="BG110" s="140">
        <f>IFERROR(AVERAGE(Input_Raw[[#This Row],[WS_O2_01]:[WS_O2_26]]),"")</f>
        <v>6.0700565171497436</v>
      </c>
      <c r="BH110" s="141"/>
      <c r="BI110" s="141"/>
      <c r="BJ110" s="13">
        <v>483300</v>
      </c>
      <c r="BK110" s="13">
        <v>0</v>
      </c>
      <c r="BL110" s="15">
        <f>Input_Raw[[#This Row],[66 kV_Wind_F1_Export_reading]]-Input_Raw[[#This Row],[66 kV_Wind_F1_Import_reading]]</f>
        <v>483300</v>
      </c>
      <c r="BM110" s="142">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99"/>
      <c r="BQ110" s="135">
        <v>520.01</v>
      </c>
      <c r="BR110" s="207"/>
    </row>
    <row r="111" spans="1:70" ht="15">
      <c r="A111" s="229">
        <f t="shared" si="14"/>
        <v>45851</v>
      </c>
      <c r="B111" s="11">
        <f>YEAR(Input_Raw[[#This Row],[Date]])+IF(MONTH(Input_Raw[[#This Row],[Date]])&gt;=4,1,0)</f>
        <v>2026</v>
      </c>
      <c r="C111" s="11">
        <f>YEAR(Input_Raw[[#This Row],[Date]])</f>
        <v>2025</v>
      </c>
      <c r="D111" s="12">
        <f t="shared" si="22"/>
        <v>45839</v>
      </c>
      <c r="E111" s="11">
        <f>DAY(EOMONTH(Input_Raw[[#This Row],[Date]],0))</f>
        <v>31</v>
      </c>
      <c r="F111" s="137">
        <v>21476</v>
      </c>
      <c r="G111" s="137">
        <v>19172</v>
      </c>
      <c r="H111" s="137">
        <v>23007</v>
      </c>
      <c r="I111" s="137">
        <v>25030</v>
      </c>
      <c r="J111" s="137">
        <v>19845</v>
      </c>
      <c r="K111" s="137">
        <v>25393</v>
      </c>
      <c r="L111" s="137">
        <v>26035</v>
      </c>
      <c r="M111" s="137">
        <v>25797</v>
      </c>
      <c r="N111" s="137">
        <v>23027</v>
      </c>
      <c r="O111" s="137">
        <v>23848</v>
      </c>
      <c r="P111" s="137">
        <v>23082</v>
      </c>
      <c r="Q111" s="137">
        <v>22644</v>
      </c>
      <c r="R111" s="137">
        <v>21874</v>
      </c>
      <c r="S111" s="137">
        <v>24027</v>
      </c>
      <c r="T111" s="137">
        <v>18576</v>
      </c>
      <c r="U111" s="137">
        <v>27315</v>
      </c>
      <c r="V111" s="137">
        <v>25755</v>
      </c>
      <c r="W111" s="137">
        <v>24764</v>
      </c>
      <c r="X111" s="137">
        <v>27632</v>
      </c>
      <c r="Y111" s="137">
        <v>24434</v>
      </c>
      <c r="Z111" s="137">
        <v>25153</v>
      </c>
      <c r="AA111" s="137">
        <v>22901</v>
      </c>
      <c r="AB111" s="137">
        <v>23865</v>
      </c>
      <c r="AC111" s="13">
        <v>27569</v>
      </c>
      <c r="AD111" s="13">
        <v>21595</v>
      </c>
      <c r="AE111" s="13">
        <v>26374</v>
      </c>
      <c r="AF111" s="138">
        <v>6.47</v>
      </c>
      <c r="AG111" s="138">
        <v>6.72</v>
      </c>
      <c r="AH111" s="138">
        <v>6.44</v>
      </c>
      <c r="AI111" s="138">
        <v>6.65</v>
      </c>
      <c r="AJ111" s="138">
        <v>6.77</v>
      </c>
      <c r="AK111" s="138">
        <v>7.06</v>
      </c>
      <c r="AL111" s="138">
        <v>6.71</v>
      </c>
      <c r="AM111" s="138">
        <v>6.55</v>
      </c>
      <c r="AN111" s="138">
        <v>6.54</v>
      </c>
      <c r="AO111" s="138">
        <v>6.56</v>
      </c>
      <c r="AP111" s="138">
        <v>6.58</v>
      </c>
      <c r="AQ111" s="138">
        <v>7.73</v>
      </c>
      <c r="AR111" s="138">
        <v>6.47</v>
      </c>
      <c r="AS111" s="138">
        <v>6.62</v>
      </c>
      <c r="AT111" s="138">
        <v>6.45</v>
      </c>
      <c r="AU111" s="138">
        <v>6.78</v>
      </c>
      <c r="AV111" s="138">
        <v>6.9</v>
      </c>
      <c r="AW111" s="138">
        <v>6.6</v>
      </c>
      <c r="AX111" s="138">
        <v>6.81</v>
      </c>
      <c r="AY111" s="138">
        <v>6.63</v>
      </c>
      <c r="AZ111" s="138">
        <v>6.59</v>
      </c>
      <c r="BA111" s="138">
        <v>6.63</v>
      </c>
      <c r="BB111" s="138">
        <v>6.6</v>
      </c>
      <c r="BC111" s="14">
        <v>6.81</v>
      </c>
      <c r="BD111" s="14">
        <v>6.78</v>
      </c>
      <c r="BE111" s="14">
        <v>6.77</v>
      </c>
      <c r="BF111" s="139">
        <f>SUM(Input_Raw[[#This Row],[O2_01]:[O2_26]])</f>
        <v>620190</v>
      </c>
      <c r="BG111" s="140">
        <f>IFERROR(AVERAGE(Input_Raw[[#This Row],[WS_O2_01]:[WS_O2_26]]),"")</f>
        <v>6.7007692307692315</v>
      </c>
      <c r="BH111" s="141"/>
      <c r="BI111" s="141"/>
      <c r="BJ111" s="13">
        <v>606150</v>
      </c>
      <c r="BK111" s="13">
        <v>0</v>
      </c>
      <c r="BL111" s="15">
        <f>Input_Raw[[#This Row],[66 kV_Wind_F1_Export_reading]]-Input_Raw[[#This Row],[66 kV_Wind_F1_Import_reading]]</f>
        <v>606150</v>
      </c>
      <c r="BM111" s="142">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99"/>
      <c r="BQ111" s="135">
        <v>663.92</v>
      </c>
      <c r="BR111" s="207"/>
    </row>
    <row r="112" spans="1:70" ht="15">
      <c r="A112" s="229">
        <f t="shared" si="14"/>
        <v>45852</v>
      </c>
      <c r="B112" s="11">
        <f>YEAR(Input_Raw[[#This Row],[Date]])+IF(MONTH(Input_Raw[[#This Row],[Date]])&gt;=4,1,0)</f>
        <v>2026</v>
      </c>
      <c r="C112" s="11">
        <f>YEAR(Input_Raw[[#This Row],[Date]])</f>
        <v>2025</v>
      </c>
      <c r="D112" s="12">
        <f t="shared" si="22"/>
        <v>45839</v>
      </c>
      <c r="E112" s="11">
        <f>DAY(EOMONTH(Input_Raw[[#This Row],[Date]],0))</f>
        <v>31</v>
      </c>
      <c r="F112" s="137">
        <v>31296</v>
      </c>
      <c r="G112" s="137">
        <v>33542</v>
      </c>
      <c r="H112" s="137">
        <v>31057</v>
      </c>
      <c r="I112" s="137">
        <v>31467</v>
      </c>
      <c r="J112" s="137">
        <v>33446</v>
      </c>
      <c r="K112" s="137">
        <v>33434</v>
      </c>
      <c r="L112" s="137">
        <v>29036</v>
      </c>
      <c r="M112" s="137">
        <v>31247</v>
      </c>
      <c r="N112" s="137">
        <v>29890</v>
      </c>
      <c r="O112" s="137">
        <v>30515</v>
      </c>
      <c r="P112" s="137">
        <v>29505</v>
      </c>
      <c r="Q112" s="137">
        <v>29951</v>
      </c>
      <c r="R112" s="137">
        <v>27081</v>
      </c>
      <c r="S112" s="137">
        <v>30868</v>
      </c>
      <c r="T112" s="137">
        <v>28225</v>
      </c>
      <c r="U112" s="137">
        <v>32718</v>
      </c>
      <c r="V112" s="137">
        <v>33800</v>
      </c>
      <c r="W112" s="137">
        <v>30697</v>
      </c>
      <c r="X112" s="137">
        <v>31036</v>
      </c>
      <c r="Y112" s="137">
        <v>29550</v>
      </c>
      <c r="Z112" s="137">
        <v>32896</v>
      </c>
      <c r="AA112" s="137">
        <v>32203</v>
      </c>
      <c r="AB112" s="137">
        <v>32237</v>
      </c>
      <c r="AC112" s="13">
        <v>32387</v>
      </c>
      <c r="AD112" s="13">
        <v>35152</v>
      </c>
      <c r="AE112" s="13">
        <v>31215</v>
      </c>
      <c r="AF112" s="138">
        <v>7.29</v>
      </c>
      <c r="AG112" s="138">
        <v>7.42</v>
      </c>
      <c r="AH112" s="138">
        <v>7.15</v>
      </c>
      <c r="AI112" s="138">
        <v>7.28</v>
      </c>
      <c r="AJ112" s="138">
        <v>7.48</v>
      </c>
      <c r="AK112" s="138">
        <v>7.74</v>
      </c>
      <c r="AL112" s="138">
        <v>7.05</v>
      </c>
      <c r="AM112" s="138">
        <v>7.14</v>
      </c>
      <c r="AN112" s="138">
        <v>7.18</v>
      </c>
      <c r="AO112" s="138">
        <v>7.21</v>
      </c>
      <c r="AP112" s="138">
        <v>7.16</v>
      </c>
      <c r="AQ112" s="138">
        <v>7.96</v>
      </c>
      <c r="AR112" s="138">
        <v>6.89</v>
      </c>
      <c r="AS112" s="138">
        <v>7.23</v>
      </c>
      <c r="AT112" s="138">
        <v>7</v>
      </c>
      <c r="AU112" s="138">
        <v>7.34</v>
      </c>
      <c r="AV112" s="138">
        <v>7.58</v>
      </c>
      <c r="AW112" s="138">
        <v>7.28</v>
      </c>
      <c r="AX112" s="138">
        <v>7.18</v>
      </c>
      <c r="AY112" s="138">
        <v>7.14</v>
      </c>
      <c r="AZ112" s="138">
        <v>7.38</v>
      </c>
      <c r="BA112" s="138">
        <v>7.67</v>
      </c>
      <c r="BB112" s="138">
        <v>7.32</v>
      </c>
      <c r="BC112" s="14">
        <v>7.3</v>
      </c>
      <c r="BD112" s="14">
        <v>7.44</v>
      </c>
      <c r="BE112" s="14">
        <v>7.26</v>
      </c>
      <c r="BF112" s="139">
        <f>SUM(Input_Raw[[#This Row],[O2_01]:[O2_26]])</f>
        <v>814451</v>
      </c>
      <c r="BG112" s="140">
        <f>IFERROR(AVERAGE(Input_Raw[[#This Row],[WS_O2_01]:[WS_O2_26]]),"")</f>
        <v>7.3103846153846144</v>
      </c>
      <c r="BH112" s="141"/>
      <c r="BI112" s="141"/>
      <c r="BJ112" s="13">
        <v>793350</v>
      </c>
      <c r="BK112" s="13">
        <v>0</v>
      </c>
      <c r="BL112" s="15">
        <f>Input_Raw[[#This Row],[66 kV_Wind_F1_Export_reading]]-Input_Raw[[#This Row],[66 kV_Wind_F1_Import_reading]]</f>
        <v>793350</v>
      </c>
      <c r="BM112" s="142">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99"/>
      <c r="BQ112" s="135">
        <v>845.66</v>
      </c>
      <c r="BR112" s="207"/>
    </row>
    <row r="113" spans="1:70" ht="15">
      <c r="A113" s="229">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29">
        <f t="shared" si="14"/>
        <v>45854</v>
      </c>
      <c r="B114" s="11">
        <f>YEAR(Input_Raw[[#This Row],[Date]])+IF(MONTH(Input_Raw[[#This Row],[Date]])&gt;=4,1,0)</f>
        <v>2026</v>
      </c>
      <c r="C114" s="11">
        <f>YEAR(Input_Raw[[#This Row],[Date]])</f>
        <v>2025</v>
      </c>
      <c r="D114" s="12">
        <f t="shared" si="22"/>
        <v>45839</v>
      </c>
      <c r="E114" s="11">
        <f>DAY(EOMONTH(Input_Raw[[#This Row],[Date]],0))</f>
        <v>31</v>
      </c>
      <c r="F114" s="137">
        <v>21201</v>
      </c>
      <c r="G114" s="137">
        <v>24523</v>
      </c>
      <c r="H114" s="137">
        <v>19207</v>
      </c>
      <c r="I114" s="137">
        <v>21352</v>
      </c>
      <c r="J114" s="137">
        <v>23890</v>
      </c>
      <c r="K114" s="137">
        <v>23752</v>
      </c>
      <c r="L114" s="137">
        <v>21755</v>
      </c>
      <c r="M114" s="137">
        <v>21865</v>
      </c>
      <c r="N114" s="137">
        <v>21748</v>
      </c>
      <c r="O114" s="137">
        <v>22866</v>
      </c>
      <c r="P114" s="137">
        <v>20018</v>
      </c>
      <c r="Q114" s="137">
        <v>23069</v>
      </c>
      <c r="R114" s="137">
        <v>20377</v>
      </c>
      <c r="S114" s="137">
        <v>21454</v>
      </c>
      <c r="T114" s="137">
        <v>22687</v>
      </c>
      <c r="U114" s="137">
        <v>23642</v>
      </c>
      <c r="V114" s="137">
        <v>24254</v>
      </c>
      <c r="W114" s="137">
        <v>23318</v>
      </c>
      <c r="X114" s="137">
        <v>23931</v>
      </c>
      <c r="Y114" s="137">
        <v>20675</v>
      </c>
      <c r="Z114" s="137">
        <v>23833</v>
      </c>
      <c r="AA114" s="137">
        <v>20968</v>
      </c>
      <c r="AB114" s="137">
        <v>21199</v>
      </c>
      <c r="AC114" s="13">
        <v>24581</v>
      </c>
      <c r="AD114" s="13">
        <v>25183</v>
      </c>
      <c r="AE114" s="13">
        <v>22028</v>
      </c>
      <c r="AF114" s="138">
        <v>6.29</v>
      </c>
      <c r="AG114" s="138">
        <v>6.46</v>
      </c>
      <c r="AH114" s="138">
        <v>6.15</v>
      </c>
      <c r="AI114" s="138">
        <v>6.15</v>
      </c>
      <c r="AJ114" s="138">
        <v>6.5</v>
      </c>
      <c r="AK114" s="138">
        <v>6.88</v>
      </c>
      <c r="AL114" s="138">
        <v>6.12</v>
      </c>
      <c r="AM114" s="138">
        <v>6.14</v>
      </c>
      <c r="AN114" s="138">
        <v>6.35</v>
      </c>
      <c r="AO114" s="138">
        <v>6.37</v>
      </c>
      <c r="AP114" s="138">
        <v>6.17</v>
      </c>
      <c r="AQ114" s="138">
        <v>7.14</v>
      </c>
      <c r="AR114" s="138">
        <v>6.13</v>
      </c>
      <c r="AS114" s="138">
        <v>6.28</v>
      </c>
      <c r="AT114" s="138">
        <v>6.31</v>
      </c>
      <c r="AU114" s="138">
        <v>6.43</v>
      </c>
      <c r="AV114" s="138">
        <v>6.55</v>
      </c>
      <c r="AW114" s="138">
        <v>6.44</v>
      </c>
      <c r="AX114" s="138">
        <v>6.34</v>
      </c>
      <c r="AY114" s="138">
        <v>6.21</v>
      </c>
      <c r="AZ114" s="138">
        <v>6.49</v>
      </c>
      <c r="BA114" s="138">
        <v>6.25</v>
      </c>
      <c r="BB114" s="138">
        <v>6.21</v>
      </c>
      <c r="BC114" s="14">
        <v>6.51</v>
      </c>
      <c r="BD114" s="14">
        <v>6.46</v>
      </c>
      <c r="BE114" s="14">
        <v>6.29</v>
      </c>
      <c r="BF114" s="139">
        <f>SUM(Input_Raw[[#This Row],[O2_01]:[O2_26]])</f>
        <v>583376</v>
      </c>
      <c r="BG114" s="140">
        <f>IFERROR(AVERAGE(Input_Raw[[#This Row],[WS_O2_01]:[WS_O2_26]]),"")</f>
        <v>6.37</v>
      </c>
      <c r="BH114" s="141"/>
      <c r="BI114" s="141"/>
      <c r="BJ114" s="13">
        <v>569250</v>
      </c>
      <c r="BK114" s="13">
        <v>0</v>
      </c>
      <c r="BL114" s="15">
        <f>Input_Raw[[#This Row],[66 kV_Wind_F1_Export_reading]]-Input_Raw[[#This Row],[66 kV_Wind_F1_Import_reading]]</f>
        <v>569250</v>
      </c>
      <c r="BM114" s="142">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99"/>
      <c r="BQ114" s="135">
        <v>607.82000000000005</v>
      </c>
      <c r="BR114" s="207"/>
    </row>
    <row r="115" spans="1:70" ht="15">
      <c r="A115" s="229">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137">
        <v>11206</v>
      </c>
      <c r="G115" s="137">
        <v>13664</v>
      </c>
      <c r="H115" s="137">
        <v>12302</v>
      </c>
      <c r="I115" s="137">
        <v>11526</v>
      </c>
      <c r="J115" s="137">
        <v>12086</v>
      </c>
      <c r="K115" s="137">
        <v>13467</v>
      </c>
      <c r="L115" s="137">
        <v>11953</v>
      </c>
      <c r="M115" s="137">
        <v>12366</v>
      </c>
      <c r="N115" s="137">
        <v>12337</v>
      </c>
      <c r="O115" s="137">
        <v>13836</v>
      </c>
      <c r="P115" s="137">
        <v>11605</v>
      </c>
      <c r="Q115" s="137">
        <v>13245</v>
      </c>
      <c r="R115" s="137">
        <v>12668</v>
      </c>
      <c r="S115" s="137">
        <v>12738</v>
      </c>
      <c r="T115" s="137">
        <v>8858</v>
      </c>
      <c r="U115" s="137">
        <v>13356</v>
      </c>
      <c r="V115" s="137">
        <v>12521</v>
      </c>
      <c r="W115" s="137">
        <v>14123</v>
      </c>
      <c r="X115" s="137">
        <v>14031</v>
      </c>
      <c r="Y115" s="137">
        <v>10765</v>
      </c>
      <c r="Z115" s="137">
        <v>13539</v>
      </c>
      <c r="AA115" s="137">
        <v>10502</v>
      </c>
      <c r="AB115" s="137">
        <v>13294</v>
      </c>
      <c r="AC115" s="13">
        <v>13633</v>
      </c>
      <c r="AD115" s="13">
        <v>13816</v>
      </c>
      <c r="AE115" s="13">
        <v>13049</v>
      </c>
      <c r="AF115" s="138">
        <v>4.97</v>
      </c>
      <c r="AG115" s="138">
        <v>5.09</v>
      </c>
      <c r="AH115" s="138">
        <v>4.9800000000000004</v>
      </c>
      <c r="AI115" s="138">
        <v>4.82</v>
      </c>
      <c r="AJ115" s="138">
        <v>4.97</v>
      </c>
      <c r="AK115" s="138">
        <v>5.73</v>
      </c>
      <c r="AL115" s="138">
        <v>4.8</v>
      </c>
      <c r="AM115" s="138">
        <v>4.91</v>
      </c>
      <c r="AN115" s="138">
        <v>5.07</v>
      </c>
      <c r="AO115" s="138">
        <v>5.18</v>
      </c>
      <c r="AP115" s="138">
        <v>5.03</v>
      </c>
      <c r="AQ115" s="138">
        <v>5.99</v>
      </c>
      <c r="AR115" s="138">
        <v>5.05</v>
      </c>
      <c r="AS115" s="138">
        <v>5.1100000000000003</v>
      </c>
      <c r="AT115" s="138">
        <v>4.8499999999999996</v>
      </c>
      <c r="AU115" s="138">
        <v>5.0999999999999996</v>
      </c>
      <c r="AV115" s="138">
        <v>5.08</v>
      </c>
      <c r="AW115" s="138">
        <v>5.19</v>
      </c>
      <c r="AX115" s="138">
        <v>5.09</v>
      </c>
      <c r="AY115" s="138">
        <v>4.99</v>
      </c>
      <c r="AZ115" s="138">
        <v>5.14</v>
      </c>
      <c r="BA115" s="138">
        <v>4.82</v>
      </c>
      <c r="BB115" s="138">
        <v>5.08</v>
      </c>
      <c r="BC115" s="14">
        <v>5.17</v>
      </c>
      <c r="BD115" s="14">
        <v>5.08</v>
      </c>
      <c r="BE115" s="14">
        <v>5.0599999999999996</v>
      </c>
      <c r="BF115" s="139">
        <f>SUM(Input_Raw[[#This Row],[O2_01]:[O2_26]])</f>
        <v>326486</v>
      </c>
      <c r="BG115" s="140">
        <f>IFERROR(AVERAGE(Input_Raw[[#This Row],[WS_O2_01]:[WS_O2_26]]),"")</f>
        <v>5.0903846153846137</v>
      </c>
      <c r="BH115" s="141"/>
      <c r="BI115" s="141"/>
      <c r="BJ115" s="13">
        <v>316800</v>
      </c>
      <c r="BK115" s="13">
        <v>0</v>
      </c>
      <c r="BL115" s="15">
        <f>Input_Raw[[#This Row],[66 kV_Wind_F1_Export_reading]]-Input_Raw[[#This Row],[66 kV_Wind_F1_Import_reading]]</f>
        <v>316800</v>
      </c>
      <c r="BM115" s="142">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99"/>
      <c r="BQ115" s="135">
        <v>339.36</v>
      </c>
      <c r="BR115" s="207"/>
    </row>
    <row r="116" spans="1:70" ht="15">
      <c r="A116" s="229">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ht="15">
      <c r="A117" s="229">
        <f t="shared" si="14"/>
        <v>45857</v>
      </c>
      <c r="B117" s="11">
        <f>YEAR(Input_Raw[[#This Row],[Date]])+IF(MONTH(Input_Raw[[#This Row],[Date]])&gt;=4,1,0)</f>
        <v>2026</v>
      </c>
      <c r="C117" s="11">
        <f>YEAR(Input_Raw[[#This Row],[Date]])</f>
        <v>2025</v>
      </c>
      <c r="D117" s="12">
        <f t="shared" si="23"/>
        <v>45839</v>
      </c>
      <c r="E117" s="11">
        <f>DAY(EOMONTH(Input_Raw[[#This Row],[Date]],0))</f>
        <v>31</v>
      </c>
      <c r="F117" s="137">
        <v>25328</v>
      </c>
      <c r="G117" s="137">
        <v>29193</v>
      </c>
      <c r="H117" s="137">
        <v>27329</v>
      </c>
      <c r="I117" s="137">
        <v>28603</v>
      </c>
      <c r="J117" s="137">
        <v>28298</v>
      </c>
      <c r="K117" s="137">
        <v>30433</v>
      </c>
      <c r="L117" s="137">
        <v>26642</v>
      </c>
      <c r="M117" s="137">
        <v>27147</v>
      </c>
      <c r="N117" s="137">
        <v>26672</v>
      </c>
      <c r="O117" s="137">
        <v>25937</v>
      </c>
      <c r="P117" s="137">
        <v>25525</v>
      </c>
      <c r="Q117" s="137">
        <v>26690</v>
      </c>
      <c r="R117" s="137">
        <v>24909</v>
      </c>
      <c r="S117" s="137">
        <v>24565</v>
      </c>
      <c r="T117" s="137">
        <v>24294</v>
      </c>
      <c r="U117" s="137">
        <v>27155</v>
      </c>
      <c r="V117" s="137">
        <v>32012</v>
      </c>
      <c r="W117" s="137">
        <v>29909</v>
      </c>
      <c r="X117" s="137">
        <v>30835</v>
      </c>
      <c r="Y117" s="137">
        <v>25492</v>
      </c>
      <c r="Z117" s="137">
        <v>30391</v>
      </c>
      <c r="AA117" s="137">
        <v>30278</v>
      </c>
      <c r="AB117" s="137">
        <v>27630</v>
      </c>
      <c r="AC117" s="13">
        <v>28143</v>
      </c>
      <c r="AD117" s="13">
        <v>28808</v>
      </c>
      <c r="AE117" s="13">
        <v>27719</v>
      </c>
      <c r="AF117" s="138">
        <v>6.84</v>
      </c>
      <c r="AG117" s="138">
        <v>7.02</v>
      </c>
      <c r="AH117" s="138">
        <v>6.83</v>
      </c>
      <c r="AI117" s="138">
        <v>6.94</v>
      </c>
      <c r="AJ117" s="138">
        <v>7.01</v>
      </c>
      <c r="AK117" s="138">
        <v>7.45</v>
      </c>
      <c r="AL117" s="138">
        <v>6.78</v>
      </c>
      <c r="AM117" s="138">
        <v>6.76</v>
      </c>
      <c r="AN117" s="138">
        <v>6.89</v>
      </c>
      <c r="AO117" s="138">
        <v>6.73</v>
      </c>
      <c r="AP117" s="138">
        <v>6.8</v>
      </c>
      <c r="AQ117" s="138">
        <v>7.45</v>
      </c>
      <c r="AR117" s="138">
        <v>6.64</v>
      </c>
      <c r="AS117" s="138">
        <v>6.61</v>
      </c>
      <c r="AT117" s="138">
        <v>6.69</v>
      </c>
      <c r="AU117" s="138">
        <v>6.84</v>
      </c>
      <c r="AV117" s="138">
        <v>7.46</v>
      </c>
      <c r="AW117" s="138">
        <v>7.2</v>
      </c>
      <c r="AX117" s="138">
        <v>7.09</v>
      </c>
      <c r="AY117" s="138">
        <v>6.74</v>
      </c>
      <c r="AZ117" s="138">
        <v>7.23</v>
      </c>
      <c r="BA117" s="138">
        <v>7.3</v>
      </c>
      <c r="BB117" s="138">
        <v>6.91</v>
      </c>
      <c r="BC117" s="14">
        <v>6.9</v>
      </c>
      <c r="BD117" s="14">
        <v>6.92</v>
      </c>
      <c r="BE117" s="14">
        <v>6.91</v>
      </c>
      <c r="BF117" s="139">
        <f>SUM(Input_Raw[[#This Row],[O2_01]:[O2_26]])</f>
        <v>719937</v>
      </c>
      <c r="BG117" s="140">
        <f>IFERROR(AVERAGE(Input_Raw[[#This Row],[WS_O2_01]:[WS_O2_26]]),"")</f>
        <v>6.9592307692307696</v>
      </c>
      <c r="BH117" s="141"/>
      <c r="BI117" s="141"/>
      <c r="BJ117" s="13">
        <v>702000</v>
      </c>
      <c r="BK117" s="13">
        <v>0</v>
      </c>
      <c r="BL117" s="15">
        <f>Input_Raw[[#This Row],[66 kV_Wind_F1_Export_reading]]-Input_Raw[[#This Row],[66 kV_Wind_F1_Import_reading]]</f>
        <v>702000</v>
      </c>
      <c r="BM117" s="142">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99"/>
      <c r="BQ117" s="135">
        <v>752.09</v>
      </c>
      <c r="BR117" s="207"/>
    </row>
    <row r="118" spans="1:70" ht="15">
      <c r="A118" s="229">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ht="15">
      <c r="A119" s="229">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ht="15">
      <c r="A120" s="229">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ht="15">
      <c r="A121" s="229">
        <f t="shared" si="14"/>
        <v>45861</v>
      </c>
      <c r="B121" s="11">
        <f>YEAR(Input_Raw[[#This Row],[Date]])+IF(MONTH(Input_Raw[[#This Row],[Date]])&gt;=4,1,0)</f>
        <v>2026</v>
      </c>
      <c r="C121" s="11">
        <f>YEAR(Input_Raw[[#This Row],[Date]])</f>
        <v>2025</v>
      </c>
      <c r="D121" s="12">
        <f>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ht="15">
      <c r="A122" s="229">
        <f t="shared" si="14"/>
        <v>45862</v>
      </c>
      <c r="B122" s="11">
        <f>YEAR(Input_Raw[[#This Row],[Date]])+IF(MONTH(Input_Raw[[#This Row],[Date]])&gt;=4,1,0)</f>
        <v>2026</v>
      </c>
      <c r="C122" s="11">
        <f>YEAR(Input_Raw[[#This Row],[Date]])</f>
        <v>2025</v>
      </c>
      <c r="D122" s="12">
        <f>A122-DAY(A122)+1</f>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ht="15">
      <c r="A123" s="229">
        <f t="shared" si="14"/>
        <v>45863</v>
      </c>
      <c r="B123" s="11">
        <f>YEAR(Input_Raw[[#This Row],[Date]])+IF(MONTH(Input_Raw[[#This Row],[Date]])&gt;=4,1,0)</f>
        <v>2026</v>
      </c>
      <c r="C123" s="11">
        <f>YEAR(Input_Raw[[#This Row],[Date]])</f>
        <v>2025</v>
      </c>
      <c r="D123" s="12">
        <f>A123-DAY(A123)+1</f>
        <v>45839</v>
      </c>
      <c r="E123" s="11">
        <f>DAY(EOMONTH(Input_Raw[[#This Row],[Date]],0))</f>
        <v>31</v>
      </c>
      <c r="F123" s="318">
        <v>12708</v>
      </c>
      <c r="G123" s="318">
        <v>15874</v>
      </c>
      <c r="H123" s="318">
        <v>11749</v>
      </c>
      <c r="I123" s="318">
        <v>15084</v>
      </c>
      <c r="J123" s="318">
        <v>15744</v>
      </c>
      <c r="K123" s="318">
        <v>17958</v>
      </c>
      <c r="L123" s="318">
        <v>15803</v>
      </c>
      <c r="M123" s="318">
        <v>14759</v>
      </c>
      <c r="N123" s="318">
        <v>11688</v>
      </c>
      <c r="O123" s="318">
        <v>12880</v>
      </c>
      <c r="P123" s="318">
        <v>12562</v>
      </c>
      <c r="Q123" s="318">
        <v>13718</v>
      </c>
      <c r="R123" s="318">
        <v>12416</v>
      </c>
      <c r="S123" s="318">
        <v>13386</v>
      </c>
      <c r="T123" s="318">
        <v>12269</v>
      </c>
      <c r="U123" s="318">
        <v>16095</v>
      </c>
      <c r="V123" s="318">
        <v>19377</v>
      </c>
      <c r="W123" s="318">
        <v>17996</v>
      </c>
      <c r="X123" s="318">
        <v>19047</v>
      </c>
      <c r="Y123" s="318">
        <v>14020</v>
      </c>
      <c r="Z123" s="318">
        <v>17684</v>
      </c>
      <c r="AA123" s="318">
        <v>17383</v>
      </c>
      <c r="AB123" s="318">
        <v>12757</v>
      </c>
      <c r="AC123" s="319">
        <v>15668</v>
      </c>
      <c r="AD123" s="319">
        <v>15290</v>
      </c>
      <c r="AE123" s="319">
        <v>13413</v>
      </c>
      <c r="AF123" s="320">
        <v>5.1724305645459223</v>
      </c>
      <c r="AG123" s="320">
        <v>5.4418749908606205</v>
      </c>
      <c r="AH123" s="320">
        <v>4.9366666575272866</v>
      </c>
      <c r="AI123" s="320">
        <v>5.3129166613022472</v>
      </c>
      <c r="AJ123" s="320">
        <v>5.5404166695144426</v>
      </c>
      <c r="AK123" s="320">
        <v>6.2072727146682194</v>
      </c>
      <c r="AL123" s="320">
        <v>5.2910416514302279</v>
      </c>
      <c r="AM123" s="320">
        <v>5.2236805599596758</v>
      </c>
      <c r="AN123" s="320">
        <v>4.961944419476719</v>
      </c>
      <c r="AO123" s="320">
        <v>5.0777777880430204</v>
      </c>
      <c r="AP123" s="320">
        <v>5.1895833379692498</v>
      </c>
      <c r="AQ123" s="320">
        <v>6.0744444512658644</v>
      </c>
      <c r="AR123" s="320">
        <v>5.0973611010445481</v>
      </c>
      <c r="AS123" s="320">
        <v>5.2036805633041574</v>
      </c>
      <c r="AT123" s="320">
        <v>4.8940972338120128</v>
      </c>
      <c r="AU123" s="320">
        <v>5.2951388673649875</v>
      </c>
      <c r="AV123" s="320">
        <v>6.0765277735061112</v>
      </c>
      <c r="AW123" s="320">
        <v>5.7754861348205138</v>
      </c>
      <c r="AX123" s="320">
        <v>5.7201388842529717</v>
      </c>
      <c r="AY123" s="320">
        <v>5.3774305664830733</v>
      </c>
      <c r="AZ123" s="320">
        <v>5.7093055670460053</v>
      </c>
      <c r="BA123" s="320">
        <v>5.737638861768775</v>
      </c>
      <c r="BB123" s="320">
        <v>5.0361111164093</v>
      </c>
      <c r="BC123" s="321">
        <v>5.4230555544296895</v>
      </c>
      <c r="BD123" s="321">
        <v>5.3625000036425057</v>
      </c>
      <c r="BE123" s="321">
        <v>5.1379166692495337</v>
      </c>
      <c r="BF123" s="322">
        <f>SUM(Input_Raw[[#This Row],[O2_01]:[O2_26]])</f>
        <v>387328</v>
      </c>
      <c r="BG123" s="323">
        <f>IFERROR(AVERAGE(Input_Raw[[#This Row],[WS_O2_01]:[WS_O2_26]]),"")</f>
        <v>5.3952476678345267</v>
      </c>
      <c r="BH123" s="324"/>
      <c r="BI123" s="324"/>
      <c r="BJ123" s="319">
        <v>378000</v>
      </c>
      <c r="BK123" s="319">
        <v>0</v>
      </c>
      <c r="BL123" s="325">
        <f>Input_Raw[[#This Row],[66 kV_Wind_F1_Export_reading]]-Input_Raw[[#This Row],[66 kV_Wind_F1_Import_reading]]</f>
        <v>378000</v>
      </c>
      <c r="BM123" s="326">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327"/>
      <c r="BQ123" s="328">
        <v>400.45</v>
      </c>
      <c r="BR123" s="329"/>
    </row>
    <row r="124" spans="1:70" ht="15">
      <c r="A124" s="229">
        <f t="shared" si="14"/>
        <v>45864</v>
      </c>
      <c r="B124" s="11">
        <f>YEAR(Input_Raw[[#This Row],[Date]])+IF(MONTH(Input_Raw[[#This Row],[Date]])&gt;=4,1,0)</f>
        <v>2026</v>
      </c>
      <c r="C124" s="11">
        <f>YEAR(Input_Raw[[#This Row],[Date]])</f>
        <v>2025</v>
      </c>
      <c r="D124" s="12">
        <f>A124-DAY(A124)+1</f>
        <v>45839</v>
      </c>
      <c r="E124" s="11">
        <f>DAY(EOMONTH(Input_Raw[[#This Row],[Date]],0))</f>
        <v>31</v>
      </c>
      <c r="F124" s="318">
        <v>34740</v>
      </c>
      <c r="G124" s="318">
        <v>37342</v>
      </c>
      <c r="H124" s="318">
        <v>33715</v>
      </c>
      <c r="I124" s="318">
        <v>36212</v>
      </c>
      <c r="J124" s="318">
        <v>36536</v>
      </c>
      <c r="K124" s="318">
        <v>38122</v>
      </c>
      <c r="L124" s="318">
        <v>35002</v>
      </c>
      <c r="M124" s="318">
        <v>33863</v>
      </c>
      <c r="N124" s="318">
        <v>34096</v>
      </c>
      <c r="O124" s="318">
        <v>35048</v>
      </c>
      <c r="P124" s="318">
        <v>33052</v>
      </c>
      <c r="Q124" s="318">
        <v>34281</v>
      </c>
      <c r="R124" s="318">
        <v>30916</v>
      </c>
      <c r="S124" s="318">
        <v>33848</v>
      </c>
      <c r="T124" s="318">
        <v>33507</v>
      </c>
      <c r="U124" s="318">
        <v>38276</v>
      </c>
      <c r="V124" s="318">
        <v>40711</v>
      </c>
      <c r="W124" s="318">
        <v>38632</v>
      </c>
      <c r="X124" s="318">
        <v>39646</v>
      </c>
      <c r="Y124" s="318">
        <v>36095</v>
      </c>
      <c r="Z124" s="318">
        <v>37456</v>
      </c>
      <c r="AA124" s="318">
        <v>41308</v>
      </c>
      <c r="AB124" s="318">
        <v>35602</v>
      </c>
      <c r="AC124" s="319">
        <v>37082</v>
      </c>
      <c r="AD124" s="319">
        <v>38688</v>
      </c>
      <c r="AE124" s="319">
        <v>36554</v>
      </c>
      <c r="AF124" s="320">
        <v>7.6837499837080623</v>
      </c>
      <c r="AG124" s="320">
        <v>7.7964583469761726</v>
      </c>
      <c r="AH124" s="320">
        <v>7.3800694511996356</v>
      </c>
      <c r="AI124" s="320">
        <v>7.7702083090941096</v>
      </c>
      <c r="AJ124" s="320">
        <v>7.7631944451067163</v>
      </c>
      <c r="AK124" s="320">
        <v>8.0706250038411849</v>
      </c>
      <c r="AL124" s="320">
        <v>7.5538888739214984</v>
      </c>
      <c r="AM124" s="320">
        <v>7.355694446298811</v>
      </c>
      <c r="AN124" s="320">
        <v>7.5711111227671291</v>
      </c>
      <c r="AO124" s="320">
        <v>7.5083333485656301</v>
      </c>
      <c r="AP124" s="320">
        <v>7.428749991787801</v>
      </c>
      <c r="AQ124" s="320">
        <v>8.1158333586321909</v>
      </c>
      <c r="AR124" s="320">
        <v>7.2258333166440325</v>
      </c>
      <c r="AS124" s="320">
        <v>7.4438889159096613</v>
      </c>
      <c r="AT124" s="320">
        <v>7.390000008874468</v>
      </c>
      <c r="AU124" s="320">
        <v>7.815972199042637</v>
      </c>
      <c r="AV124" s="320">
        <v>8.1771527992354436</v>
      </c>
      <c r="AW124" s="320">
        <v>7.8654166791174118</v>
      </c>
      <c r="AX124" s="320">
        <v>7.9317360950840827</v>
      </c>
      <c r="AY124" s="320">
        <v>7.7179166641500245</v>
      </c>
      <c r="AZ124" s="320">
        <v>7.7715972297721407</v>
      </c>
      <c r="BA124" s="320">
        <v>8.2628472016917325</v>
      </c>
      <c r="BB124" s="320">
        <v>7.5906249715222236</v>
      </c>
      <c r="BC124" s="321">
        <v>7.6694444616635629</v>
      </c>
      <c r="BD124" s="321">
        <v>7.7497916751437703</v>
      </c>
      <c r="BE124" s="321">
        <v>7.6952777504920942</v>
      </c>
      <c r="BF124" s="322">
        <f>SUM(Input_Raw[[#This Row],[O2_01]:[O2_26]])</f>
        <v>940330</v>
      </c>
      <c r="BG124" s="323">
        <f>IFERROR(AVERAGE(Input_Raw[[#This Row],[WS_O2_01]:[WS_O2_26]]),"")</f>
        <v>7.7040544865477774</v>
      </c>
      <c r="BH124" s="324"/>
      <c r="BI124" s="324"/>
      <c r="BJ124" s="319">
        <v>913500</v>
      </c>
      <c r="BK124" s="319">
        <v>0</v>
      </c>
      <c r="BL124" s="325">
        <f>Input_Raw[[#This Row],[66 kV_Wind_F1_Export_reading]]-Input_Raw[[#This Row],[66 kV_Wind_F1_Import_reading]]</f>
        <v>913500</v>
      </c>
      <c r="BM124" s="326">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327"/>
      <c r="BQ124" s="328">
        <v>973.81</v>
      </c>
      <c r="BR124" s="329"/>
    </row>
    <row r="125" spans="1:70" ht="15">
      <c r="A125" s="229">
        <f t="shared" si="14"/>
        <v>45865</v>
      </c>
      <c r="B125" s="11">
        <f>YEAR(Input_Raw[[#This Row],[Date]])+IF(MONTH(Input_Raw[[#This Row],[Date]])&gt;=4,1,0)</f>
        <v>2026</v>
      </c>
      <c r="C125" s="11">
        <f>YEAR(Input_Raw[[#This Row],[Date]])</f>
        <v>2025</v>
      </c>
      <c r="D125" s="12">
        <f>A125-DAY(A125)+1</f>
        <v>45839</v>
      </c>
      <c r="E125" s="11">
        <f>DAY(EOMONTH(Input_Raw[[#This Row],[Date]],0))</f>
        <v>31</v>
      </c>
      <c r="F125" s="318">
        <v>51896</v>
      </c>
      <c r="G125" s="318">
        <v>54231</v>
      </c>
      <c r="H125" s="318">
        <v>51459</v>
      </c>
      <c r="I125" s="318">
        <v>52080</v>
      </c>
      <c r="J125" s="318">
        <v>54125</v>
      </c>
      <c r="K125" s="318">
        <v>58502</v>
      </c>
      <c r="L125" s="318">
        <v>54678</v>
      </c>
      <c r="M125" s="318">
        <v>54186</v>
      </c>
      <c r="N125" s="318">
        <v>51196</v>
      </c>
      <c r="O125" s="318">
        <v>56225</v>
      </c>
      <c r="P125" s="318">
        <v>52738</v>
      </c>
      <c r="Q125" s="318">
        <v>54369</v>
      </c>
      <c r="R125" s="318">
        <v>51760</v>
      </c>
      <c r="S125" s="318">
        <v>54815</v>
      </c>
      <c r="T125" s="318">
        <v>55270</v>
      </c>
      <c r="U125" s="318">
        <v>58301</v>
      </c>
      <c r="V125" s="318">
        <v>62030</v>
      </c>
      <c r="W125" s="318">
        <v>60310</v>
      </c>
      <c r="X125" s="318">
        <v>59063</v>
      </c>
      <c r="Y125" s="318">
        <v>54129</v>
      </c>
      <c r="Z125" s="318">
        <v>59436</v>
      </c>
      <c r="AA125" s="318">
        <v>57963</v>
      </c>
      <c r="AB125" s="318">
        <v>55407</v>
      </c>
      <c r="AC125" s="319">
        <v>58733</v>
      </c>
      <c r="AD125" s="319">
        <v>53398</v>
      </c>
      <c r="AE125" s="319">
        <v>55024</v>
      </c>
      <c r="AF125" s="320">
        <v>9.1</v>
      </c>
      <c r="AG125" s="320">
        <v>9.1999999999999993</v>
      </c>
      <c r="AH125" s="320">
        <v>9</v>
      </c>
      <c r="AI125" s="320">
        <v>9.1</v>
      </c>
      <c r="AJ125" s="320">
        <v>9.1999999999999993</v>
      </c>
      <c r="AK125" s="320">
        <v>9.4</v>
      </c>
      <c r="AL125" s="320">
        <v>9.3000000000000007</v>
      </c>
      <c r="AM125" s="320">
        <v>9.1999999999999993</v>
      </c>
      <c r="AN125" s="320">
        <v>9.1</v>
      </c>
      <c r="AO125" s="320">
        <v>9.3000000000000007</v>
      </c>
      <c r="AP125" s="320">
        <v>9</v>
      </c>
      <c r="AQ125" s="320">
        <v>9.1999999999999993</v>
      </c>
      <c r="AR125" s="320">
        <v>9</v>
      </c>
      <c r="AS125" s="320">
        <v>9.1999999999999993</v>
      </c>
      <c r="AT125" s="320">
        <v>9.3000000000000007</v>
      </c>
      <c r="AU125" s="320">
        <v>9.4</v>
      </c>
      <c r="AV125" s="320">
        <v>9.5</v>
      </c>
      <c r="AW125" s="320">
        <v>9.4</v>
      </c>
      <c r="AX125" s="320">
        <v>9.3000000000000007</v>
      </c>
      <c r="AY125" s="320">
        <v>9.1</v>
      </c>
      <c r="AZ125" s="320">
        <v>9.4</v>
      </c>
      <c r="BA125" s="320">
        <v>9.4</v>
      </c>
      <c r="BB125" s="320">
        <v>9.3000000000000007</v>
      </c>
      <c r="BC125" s="321">
        <v>9.4499999999999993</v>
      </c>
      <c r="BD125" s="321">
        <v>9.1999999999999993</v>
      </c>
      <c r="BE125" s="321">
        <v>9.4</v>
      </c>
      <c r="BF125" s="322">
        <f>SUM(Input_Raw[[#This Row],[O2_01]:[O2_26]])</f>
        <v>1441324</v>
      </c>
      <c r="BG125" s="323">
        <f>IFERROR(AVERAGE(Input_Raw[[#This Row],[WS_O2_01]:[WS_O2_26]]),"")</f>
        <v>9.2480769230769244</v>
      </c>
      <c r="BH125" s="324"/>
      <c r="BI125" s="324"/>
      <c r="BJ125" s="319">
        <v>1390050</v>
      </c>
      <c r="BK125" s="319">
        <v>0</v>
      </c>
      <c r="BL125" s="325">
        <f>Input_Raw[[#This Row],[66 kV_Wind_F1_Export_reading]]-Input_Raw[[#This Row],[66 kV_Wind_F1_Import_reading]]</f>
        <v>1390050</v>
      </c>
      <c r="BM125" s="326">
        <f>Input_Raw[[#This Row],[WTG Total Gneration (KWh)]]-Input_Raw[[#This Row],[66 kV_Wind_F1_Export_reading]]</f>
        <v>51274</v>
      </c>
      <c r="BN125" s="111">
        <f>(Input_Raw[[#This Row],[WTG Total Gneration (KWh)]]-Input_Raw[[#This Row],[66 kV_Wind_F1_Export_reading]])/Input_Raw[[#This Row],[WTG Total Gneration (KWh)]]</f>
        <v>3.557423591087084E-2</v>
      </c>
      <c r="BO125" s="89">
        <v>70.2</v>
      </c>
      <c r="BP125" s="327"/>
      <c r="BQ125" s="328"/>
      <c r="BR125" s="329"/>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36"/>
  <sheetViews>
    <sheetView tabSelected="1" zoomScale="80" workbookViewId="0">
      <pane xSplit="7" ySplit="1" topLeftCell="H1609" activePane="bottomRight" state="frozen"/>
      <selection pane="bottomRight" activeCell="R1614" sqref="R1614"/>
      <selection pane="bottomLeft" activeCell="A2" sqref="A2"/>
      <selection pane="topRight" activeCell="H1" sqref="H1"/>
    </sheetView>
  </sheetViews>
  <sheetFormatPr defaultRowHeight="14.45"/>
  <cols>
    <col min="2" max="2" width="10.140625" customWidth="1"/>
    <col min="3" max="3" width="10.42578125" customWidth="1"/>
    <col min="4" max="4" width="12.42578125" customWidth="1"/>
    <col min="5" max="5" width="10.5703125" customWidth="1"/>
    <col min="6" max="6" width="12" customWidth="1"/>
    <col min="7" max="7" width="12.42578125" customWidth="1"/>
    <col min="8" max="8" width="11.5703125" customWidth="1"/>
    <col min="9" max="9" width="9.5703125" customWidth="1"/>
    <col min="10" max="10" width="11.42578125" customWidth="1"/>
    <col min="11" max="11" width="10.140625" customWidth="1"/>
    <col min="12" max="12" width="29.5703125" bestFit="1" customWidth="1"/>
    <col min="13" max="13" width="19.5703125" customWidth="1"/>
    <col min="14" max="14" width="5.42578125" customWidth="1"/>
    <col min="15" max="15" width="13.42578125" customWidth="1"/>
    <col min="16" max="16" width="10.85546875" customWidth="1"/>
    <col min="17" max="17" width="13.5703125" customWidth="1"/>
    <col min="18" max="18" width="13.140625" customWidth="1"/>
    <col min="19" max="19" width="13.5703125" customWidth="1"/>
    <col min="20" max="20" width="14.42578125" customWidth="1"/>
    <col min="21" max="21" width="58.5703125" customWidth="1"/>
    <col min="23" max="23" width="22.85546875" customWidth="1"/>
    <col min="24" max="24" width="28.5703125" bestFit="1" customWidth="1"/>
    <col min="25" max="25" width="25" customWidth="1"/>
    <col min="26" max="26" width="31.85546875" customWidth="1"/>
    <col min="27" max="27" width="22.5703125" customWidth="1"/>
    <col min="28" max="28" width="13.85546875" customWidth="1"/>
    <col min="29" max="29" width="8.5703125" customWidth="1"/>
    <col min="30" max="30" width="13.42578125" customWidth="1"/>
  </cols>
  <sheetData>
    <row r="1" spans="1:30" s="35" customFormat="1" ht="44.1" customHeight="1">
      <c r="A1" s="253" t="s">
        <v>7</v>
      </c>
      <c r="B1" s="253" t="s">
        <v>3</v>
      </c>
      <c r="C1" s="253" t="s">
        <v>72</v>
      </c>
      <c r="D1" s="253" t="s">
        <v>239</v>
      </c>
      <c r="E1" s="253" t="s">
        <v>240</v>
      </c>
      <c r="F1" s="254" t="s">
        <v>71</v>
      </c>
      <c r="G1" s="253" t="s">
        <v>241</v>
      </c>
      <c r="H1" s="253" t="s">
        <v>242</v>
      </c>
      <c r="I1" s="253" t="s">
        <v>243</v>
      </c>
      <c r="J1" s="253" t="s">
        <v>244</v>
      </c>
      <c r="K1" s="253" t="s">
        <v>245</v>
      </c>
      <c r="L1" s="253" t="s">
        <v>246</v>
      </c>
      <c r="M1" s="253" t="s">
        <v>247</v>
      </c>
      <c r="N1" s="253" t="s">
        <v>248</v>
      </c>
      <c r="O1" s="253" t="s">
        <v>249</v>
      </c>
      <c r="P1" s="253" t="s">
        <v>250</v>
      </c>
      <c r="Q1" s="253" t="s">
        <v>251</v>
      </c>
      <c r="R1" s="253" t="s">
        <v>252</v>
      </c>
      <c r="S1" s="253" t="s">
        <v>253</v>
      </c>
      <c r="T1" s="253" t="s">
        <v>254</v>
      </c>
      <c r="U1" s="253" t="s">
        <v>255</v>
      </c>
      <c r="V1" s="253" t="s">
        <v>256</v>
      </c>
      <c r="W1" s="255" t="s">
        <v>257</v>
      </c>
      <c r="X1" s="255" t="s">
        <v>258</v>
      </c>
      <c r="Y1" s="253" t="s">
        <v>259</v>
      </c>
      <c r="Z1" s="256" t="s">
        <v>260</v>
      </c>
      <c r="AA1" s="256" t="s">
        <v>261</v>
      </c>
      <c r="AB1" s="256" t="s">
        <v>262</v>
      </c>
      <c r="AC1" s="256" t="s">
        <v>263</v>
      </c>
      <c r="AD1" s="35" t="s">
        <v>264</v>
      </c>
    </row>
    <row r="2" spans="1:30">
      <c r="A2" s="102">
        <v>1</v>
      </c>
      <c r="B2" s="257">
        <f>YEAR(Table6[[#This Row],[Date]])+IF(MONTH(Table6[[#This Row],[Date]])&gt;=4,1,0)</f>
        <v>2026</v>
      </c>
      <c r="C2" s="102">
        <f>YEAR(Table6[[#This Row],[Date]])</f>
        <v>2025</v>
      </c>
      <c r="D2" s="102" t="s">
        <v>265</v>
      </c>
      <c r="E2" s="258">
        <f>Table6[[#This Row],[Date]]-DAY(Table6[[#This Row],[Date]])+1</f>
        <v>45748</v>
      </c>
      <c r="F2" s="259">
        <v>45748</v>
      </c>
      <c r="G2" s="35" t="s">
        <v>116</v>
      </c>
      <c r="H2" s="35" t="str">
        <f>IFERROR(_xlfn.XLOOKUP(Table6[[#This Row],[Affected WTG]],'Basic Data'!$A:$A,'Basic Data'!$B:$B),"")</f>
        <v>TQGXIIPL</v>
      </c>
      <c r="I2" s="35" t="str">
        <f>IFERROR(_xlfn.XLOOKUP(Table6[[#This Row],[Affected WTG]],'Basic Data'!$A:$A,'Basic Data'!$C:$C),"")</f>
        <v>GEDA</v>
      </c>
      <c r="J2" s="260">
        <f>IFERROR(_xlfn.XLOOKUP(Table6[[#This Row],[Affected WTG]],'Basic Data'!$A:$A,'Basic Data'!$E:$E),"")</f>
        <v>3.846153846153845E-2</v>
      </c>
      <c r="K2" s="102">
        <v>6130</v>
      </c>
      <c r="L2" s="35" t="str">
        <f>IFERROR(_xlfn.XLOOKUP(Table6[[#This Row],[Error Code]],'Basic Data'!$AA:$AA,'Basic Data'!$AB:$AB),"Incorrect Error Code")</f>
        <v>Yaw speed high</v>
      </c>
      <c r="M2" s="35" t="s">
        <v>266</v>
      </c>
      <c r="N2" s="264"/>
      <c r="O2" s="265">
        <v>0.22013888888888888</v>
      </c>
      <c r="P2" s="265">
        <v>0.22013888888888888</v>
      </c>
      <c r="Q2" s="266">
        <v>0.22291666666666668</v>
      </c>
      <c r="R2" s="261">
        <f>IF(Table6[[#This Row],[Work Start TimeStamp]]="","",(Table6[[#This Row],[Work Start TimeStamp]]-Table6[[#This Row],[Fault Start TimeStamp]])*24)</f>
        <v>0</v>
      </c>
      <c r="S2" s="261">
        <f>(Table6[[#This Row],[Fault Clearance time]]-Table6[[#This Row],[Work Start TimeStamp]])*24</f>
        <v>6.6666666666667096E-2</v>
      </c>
      <c r="T2" s="261">
        <f>(Table6[[#This Row],[Fault Clearance time]]-Table6[[#This Row],[Fault Start TimeStamp]])*24</f>
        <v>6.6666666666667096E-2</v>
      </c>
      <c r="U2" s="35" t="s">
        <v>267</v>
      </c>
      <c r="V2" s="102" t="s">
        <v>268</v>
      </c>
      <c r="W2" s="267">
        <f>IFERROR(Table6[[#This Row],[Breakdown Time]]*Table6[[#This Row],[Plant Equivalent Weightage]],"")</f>
        <v>2.5641025641025797E-3</v>
      </c>
      <c r="X2" s="262" t="s">
        <v>269</v>
      </c>
      <c r="Y2" s="263" t="s">
        <v>119</v>
      </c>
      <c r="Z2" s="102">
        <v>24626</v>
      </c>
      <c r="AA2" s="257">
        <f>(Table6[[#This Row],[Paired WTG Generation for loss calculation]]/24)*Table6[[#This Row],[Breakdown Time]]</f>
        <v>68.405555555555992</v>
      </c>
      <c r="AB2" s="102"/>
      <c r="AC2" s="35"/>
      <c r="AD2" s="35"/>
    </row>
    <row r="3" spans="1:30">
      <c r="A3" s="102">
        <f t="shared" ref="A3:A12" si="0">A2+1</f>
        <v>2</v>
      </c>
      <c r="B3" s="257">
        <f>YEAR(Table6[[#This Row],[Date]])+IF(MONTH(Table6[[#This Row],[Date]])&gt;=4,1,0)</f>
        <v>2026</v>
      </c>
      <c r="C3" s="102">
        <f>YEAR(Table6[[#This Row],[Date]])</f>
        <v>2025</v>
      </c>
      <c r="D3" s="102" t="s">
        <v>265</v>
      </c>
      <c r="E3" s="258">
        <f>Table6[[#This Row],[Date]]-DAY(Table6[[#This Row],[Date]])+1</f>
        <v>45748</v>
      </c>
      <c r="F3" s="259">
        <v>45748</v>
      </c>
      <c r="G3" s="35" t="s">
        <v>116</v>
      </c>
      <c r="H3" s="35" t="str">
        <f>IFERROR(_xlfn.XLOOKUP(Table6[[#This Row],[Affected WTG]],'Basic Data'!$A:$A,'Basic Data'!$B:$B),"")</f>
        <v>TQGXIIPL</v>
      </c>
      <c r="I3" s="35" t="str">
        <f>IFERROR(_xlfn.XLOOKUP(Table6[[#This Row],[Affected WTG]],'Basic Data'!$A:$A,'Basic Data'!$C:$C),"")</f>
        <v>GEDA</v>
      </c>
      <c r="J3" s="260">
        <f>IFERROR(_xlfn.XLOOKUP(Table6[[#This Row],[Affected WTG]],'Basic Data'!$A:$A,'Basic Data'!$E:$E),"")</f>
        <v>3.846153846153845E-2</v>
      </c>
      <c r="K3" s="102">
        <v>6130</v>
      </c>
      <c r="L3" s="35" t="str">
        <f>IFERROR(_xlfn.XLOOKUP(Table6[[#This Row],[Error Code]],'Basic Data'!$AA:$AA,'Basic Data'!$AB:$AB),"Incorrect Error Code")</f>
        <v>Yaw speed high</v>
      </c>
      <c r="M3" s="35" t="s">
        <v>266</v>
      </c>
      <c r="N3" s="264"/>
      <c r="O3" s="265">
        <v>0.77916666666666667</v>
      </c>
      <c r="P3" s="265">
        <v>0.77916666666666667</v>
      </c>
      <c r="Q3" s="266">
        <v>0.78749999999999998</v>
      </c>
      <c r="R3" s="261">
        <f>IF(Table6[[#This Row],[Work Start TimeStamp]]="","",(Table6[[#This Row],[Work Start TimeStamp]]-Table6[[#This Row],[Fault Start TimeStamp]])*24)</f>
        <v>0</v>
      </c>
      <c r="S3" s="261">
        <f>(Table6[[#This Row],[Fault Clearance time]]-Table6[[#This Row],[Work Start TimeStamp]])*24</f>
        <v>0.19999999999999929</v>
      </c>
      <c r="T3" s="261">
        <f>(Table6[[#This Row],[Fault Clearance time]]-Table6[[#This Row],[Fault Start TimeStamp]])*24</f>
        <v>0.19999999999999929</v>
      </c>
      <c r="U3" s="35" t="s">
        <v>267</v>
      </c>
      <c r="V3" s="102" t="s">
        <v>268</v>
      </c>
      <c r="W3" s="267">
        <f>IFERROR(Table6[[#This Row],[Breakdown Time]]*Table6[[#This Row],[Plant Equivalent Weightage]],"")</f>
        <v>7.6923076923076624E-3</v>
      </c>
      <c r="X3" s="262" t="s">
        <v>269</v>
      </c>
      <c r="Y3" s="263" t="s">
        <v>119</v>
      </c>
      <c r="Z3" s="102">
        <v>24626</v>
      </c>
      <c r="AA3" s="257">
        <f>(Table6[[#This Row],[Paired WTG Generation for loss calculation]]/24)*Table6[[#This Row],[Breakdown Time]]</f>
        <v>205.21666666666593</v>
      </c>
      <c r="AB3" s="102"/>
      <c r="AC3" s="35"/>
      <c r="AD3" s="35"/>
    </row>
    <row r="4" spans="1:30">
      <c r="A4" s="102">
        <f t="shared" si="0"/>
        <v>3</v>
      </c>
      <c r="B4" s="257">
        <f>YEAR(Table6[[#This Row],[Date]])+IF(MONTH(Table6[[#This Row],[Date]])&gt;=4,1,0)</f>
        <v>2026</v>
      </c>
      <c r="C4" s="102">
        <f>YEAR(Table6[[#This Row],[Date]])</f>
        <v>2025</v>
      </c>
      <c r="D4" s="102" t="s">
        <v>265</v>
      </c>
      <c r="E4" s="258">
        <f>Table6[[#This Row],[Date]]-DAY(Table6[[#This Row],[Date]])+1</f>
        <v>45748</v>
      </c>
      <c r="F4" s="259">
        <v>45748</v>
      </c>
      <c r="G4" s="35" t="s">
        <v>118</v>
      </c>
      <c r="H4" s="35" t="str">
        <f>IFERROR(_xlfn.XLOOKUP(Table6[[#This Row],[Affected WTG]],'Basic Data'!$A:$A,'Basic Data'!$B:$B),"")</f>
        <v>TQGXIIPL</v>
      </c>
      <c r="I4" s="35" t="str">
        <f>IFERROR(_xlfn.XLOOKUP(Table6[[#This Row],[Affected WTG]],'Basic Data'!$A:$A,'Basic Data'!$C:$C),"")</f>
        <v>GEDA</v>
      </c>
      <c r="J4" s="260">
        <f>IFERROR(_xlfn.XLOOKUP(Table6[[#This Row],[Affected WTG]],'Basic Data'!$A:$A,'Basic Data'!$E:$E),"")</f>
        <v>3.846153846153845E-2</v>
      </c>
      <c r="K4" s="102">
        <v>6007</v>
      </c>
      <c r="L4" s="35" t="str">
        <f>IFERROR(_xlfn.XLOOKUP(Table6[[#This Row],[Error Code]],'Basic Data'!$AA:$AA,'Basic Data'!$AB:$AB),"Incorrect Error Code")</f>
        <v>Overload yaw motors group 1</v>
      </c>
      <c r="M4" s="35" t="s">
        <v>266</v>
      </c>
      <c r="N4" s="264"/>
      <c r="O4" s="265">
        <v>0.59583333333333333</v>
      </c>
      <c r="P4" s="265">
        <v>0.59583333333333333</v>
      </c>
      <c r="Q4" s="266">
        <v>0.60555555555555551</v>
      </c>
      <c r="R4" s="261">
        <f>IF(Table6[[#This Row],[Work Start TimeStamp]]="","",(Table6[[#This Row],[Work Start TimeStamp]]-Table6[[#This Row],[Fault Start TimeStamp]])*24)</f>
        <v>0</v>
      </c>
      <c r="S4" s="261">
        <f>(Table6[[#This Row],[Fault Clearance time]]-Table6[[#This Row],[Work Start TimeStamp]])*24</f>
        <v>0.2333333333333325</v>
      </c>
      <c r="T4" s="261">
        <f>(Table6[[#This Row],[Fault Clearance time]]-Table6[[#This Row],[Fault Start TimeStamp]])*24</f>
        <v>0.2333333333333325</v>
      </c>
      <c r="U4" s="35" t="s">
        <v>267</v>
      </c>
      <c r="V4" s="102" t="s">
        <v>268</v>
      </c>
      <c r="W4" s="267">
        <f>IFERROR(Table6[[#This Row],[Breakdown Time]]*Table6[[#This Row],[Plant Equivalent Weightage]],"")</f>
        <v>8.974358974358939E-3</v>
      </c>
      <c r="X4" s="262" t="s">
        <v>269</v>
      </c>
      <c r="Y4" s="263" t="s">
        <v>121</v>
      </c>
      <c r="Z4" s="102">
        <v>16286</v>
      </c>
      <c r="AA4" s="257">
        <f>(Table6[[#This Row],[Paired WTG Generation for loss calculation]]/24)*Table6[[#This Row],[Breakdown Time]]</f>
        <v>158.33611111111057</v>
      </c>
      <c r="AB4" s="102"/>
      <c r="AC4" s="35"/>
      <c r="AD4" s="35"/>
    </row>
    <row r="5" spans="1:30">
      <c r="A5" s="102">
        <f t="shared" si="0"/>
        <v>4</v>
      </c>
      <c r="B5" s="257">
        <f>YEAR(Table6[[#This Row],[Date]])+IF(MONTH(Table6[[#This Row],[Date]])&gt;=4,1,0)</f>
        <v>2026</v>
      </c>
      <c r="C5" s="102">
        <f>YEAR(Table6[[#This Row],[Date]])</f>
        <v>2025</v>
      </c>
      <c r="D5" s="102" t="s">
        <v>265</v>
      </c>
      <c r="E5" s="258">
        <f>Table6[[#This Row],[Date]]-DAY(Table6[[#This Row],[Date]])+1</f>
        <v>45748</v>
      </c>
      <c r="F5" s="259">
        <v>45748</v>
      </c>
      <c r="G5" s="35" t="s">
        <v>118</v>
      </c>
      <c r="H5" s="35" t="str">
        <f>IFERROR(_xlfn.XLOOKUP(Table6[[#This Row],[Affected WTG]],'Basic Data'!$A:$A,'Basic Data'!$B:$B),"")</f>
        <v>TQGXIIPL</v>
      </c>
      <c r="I5" s="35" t="str">
        <f>IFERROR(_xlfn.XLOOKUP(Table6[[#This Row],[Affected WTG]],'Basic Data'!$A:$A,'Basic Data'!$C:$C),"")</f>
        <v>GEDA</v>
      </c>
      <c r="J5" s="260">
        <f>IFERROR(_xlfn.XLOOKUP(Table6[[#This Row],[Affected WTG]],'Basic Data'!$A:$A,'Basic Data'!$E:$E),"")</f>
        <v>3.846153846153845E-2</v>
      </c>
      <c r="K5" s="102">
        <v>6007</v>
      </c>
      <c r="L5" s="35" t="str">
        <f>IFERROR(_xlfn.XLOOKUP(Table6[[#This Row],[Error Code]],'Basic Data'!$AA:$AA,'Basic Data'!$AB:$AB),"Incorrect Error Code")</f>
        <v>Overload yaw motors group 1</v>
      </c>
      <c r="M5" s="35" t="s">
        <v>266</v>
      </c>
      <c r="N5" s="264"/>
      <c r="O5" s="265">
        <v>0.64236111111111116</v>
      </c>
      <c r="P5" s="265">
        <v>0.64583333333333337</v>
      </c>
      <c r="Q5" s="266">
        <v>0.66041666666666665</v>
      </c>
      <c r="R5" s="261">
        <f>IF(Table6[[#This Row],[Work Start TimeStamp]]="","",(Table6[[#This Row],[Work Start TimeStamp]]-Table6[[#This Row],[Fault Start TimeStamp]])*24)</f>
        <v>8.3333333333333037E-2</v>
      </c>
      <c r="S5" s="261">
        <f>(Table6[[#This Row],[Fault Clearance time]]-Table6[[#This Row],[Work Start TimeStamp]])*24</f>
        <v>0.34999999999999876</v>
      </c>
      <c r="T5" s="261">
        <f>(Table6[[#This Row],[Fault Clearance time]]-Table6[[#This Row],[Fault Start TimeStamp]])*24</f>
        <v>0.43333333333333179</v>
      </c>
      <c r="U5" s="35" t="s">
        <v>270</v>
      </c>
      <c r="V5" s="102" t="s">
        <v>268</v>
      </c>
      <c r="W5" s="267">
        <f>IFERROR(Table6[[#This Row],[Breakdown Time]]*Table6[[#This Row],[Plant Equivalent Weightage]],"")</f>
        <v>1.6666666666666604E-2</v>
      </c>
      <c r="X5" s="262" t="s">
        <v>269</v>
      </c>
      <c r="Y5" s="263" t="s">
        <v>121</v>
      </c>
      <c r="Z5" s="102">
        <v>16286</v>
      </c>
      <c r="AA5" s="257">
        <f>(Table6[[#This Row],[Paired WTG Generation for loss calculation]]/24)*Table6[[#This Row],[Breakdown Time]]</f>
        <v>294.05277777777673</v>
      </c>
      <c r="AB5" s="102"/>
      <c r="AC5" s="35"/>
      <c r="AD5" s="35"/>
    </row>
    <row r="6" spans="1:30">
      <c r="A6" s="102">
        <f t="shared" si="0"/>
        <v>5</v>
      </c>
      <c r="B6" s="257">
        <f>YEAR(Table6[[#This Row],[Date]])+IF(MONTH(Table6[[#This Row],[Date]])&gt;=4,1,0)</f>
        <v>2026</v>
      </c>
      <c r="C6" s="102">
        <f>YEAR(Table6[[#This Row],[Date]])</f>
        <v>2025</v>
      </c>
      <c r="D6" s="102" t="s">
        <v>265</v>
      </c>
      <c r="E6" s="258">
        <f>Table6[[#This Row],[Date]]-DAY(Table6[[#This Row],[Date]])+1</f>
        <v>45748</v>
      </c>
      <c r="F6" s="259">
        <v>45748</v>
      </c>
      <c r="G6" s="35" t="s">
        <v>124</v>
      </c>
      <c r="H6" s="35" t="str">
        <f>IFERROR(_xlfn.XLOOKUP(Table6[[#This Row],[Affected WTG]],'Basic Data'!$A:$A,'Basic Data'!$B:$B),"")</f>
        <v>TQGXIIPL</v>
      </c>
      <c r="I6" s="35" t="str">
        <f>IFERROR(_xlfn.XLOOKUP(Table6[[#This Row],[Affected WTG]],'Basic Data'!$A:$A,'Basic Data'!$C:$C),"")</f>
        <v>GEDA</v>
      </c>
      <c r="J6" s="260">
        <f>IFERROR(_xlfn.XLOOKUP(Table6[[#This Row],[Affected WTG]],'Basic Data'!$A:$A,'Basic Data'!$E:$E),"")</f>
        <v>3.846153846153845E-2</v>
      </c>
      <c r="K6" s="102">
        <v>55</v>
      </c>
      <c r="L6" s="35" t="str">
        <f>IFERROR(_xlfn.XLOOKUP(Table6[[#This Row],[Error Code]],'Basic Data'!$AA:$AA,'Basic Data'!$AB:$AB),"Incorrect Error Code")</f>
        <v>WTG shut down</v>
      </c>
      <c r="M6" s="35" t="s">
        <v>271</v>
      </c>
      <c r="N6" s="264"/>
      <c r="O6" s="265">
        <v>0.39097222222222222</v>
      </c>
      <c r="P6" s="265">
        <v>0.39097222222222222</v>
      </c>
      <c r="Q6" s="266">
        <v>0.75</v>
      </c>
      <c r="R6" s="261">
        <f>IF(Table6[[#This Row],[Work Start TimeStamp]]="","",(Table6[[#This Row],[Work Start TimeStamp]]-Table6[[#This Row],[Fault Start TimeStamp]])*24)</f>
        <v>0</v>
      </c>
      <c r="S6" s="261">
        <f>(Table6[[#This Row],[Fault Clearance time]]-Table6[[#This Row],[Work Start TimeStamp]])*24</f>
        <v>8.6166666666666671</v>
      </c>
      <c r="T6" s="261">
        <f>(Table6[[#This Row],[Fault Clearance time]]-Table6[[#This Row],[Fault Start TimeStamp]])*24</f>
        <v>8.6166666666666671</v>
      </c>
      <c r="U6" s="35" t="s">
        <v>272</v>
      </c>
      <c r="V6" s="102" t="s">
        <v>268</v>
      </c>
      <c r="W6" s="267">
        <f>IFERROR(Table6[[#This Row],[Breakdown Time]]*Table6[[#This Row],[Plant Equivalent Weightage]],"")</f>
        <v>0.33141025641025634</v>
      </c>
      <c r="X6" s="262" t="s">
        <v>273</v>
      </c>
      <c r="Y6" s="263" t="s">
        <v>129</v>
      </c>
      <c r="Z6" s="102">
        <v>23343</v>
      </c>
      <c r="AA6" s="257">
        <f>(Table6[[#This Row],[Paired WTG Generation for loss calculation]]/24)*Table6[[#This Row],[Breakdown Time]]</f>
        <v>8380.7854166666675</v>
      </c>
      <c r="AB6" s="102"/>
      <c r="AC6" s="35"/>
      <c r="AD6" s="35"/>
    </row>
    <row r="7" spans="1:30">
      <c r="A7" s="102">
        <f t="shared" si="0"/>
        <v>6</v>
      </c>
      <c r="B7" s="257">
        <f>YEAR(Table6[[#This Row],[Date]])+IF(MONTH(Table6[[#This Row],[Date]])&gt;=4,1,0)</f>
        <v>2026</v>
      </c>
      <c r="C7" s="102">
        <f>YEAR(Table6[[#This Row],[Date]])</f>
        <v>2025</v>
      </c>
      <c r="D7" s="102" t="s">
        <v>265</v>
      </c>
      <c r="E7" s="258">
        <f>Table6[[#This Row],[Date]]-DAY(Table6[[#This Row],[Date]])+1</f>
        <v>45748</v>
      </c>
      <c r="F7" s="259">
        <v>45748</v>
      </c>
      <c r="G7" s="35" t="s">
        <v>127</v>
      </c>
      <c r="H7" s="35" t="str">
        <f>IFERROR(_xlfn.XLOOKUP(Table6[[#This Row],[Affected WTG]],'Basic Data'!$A:$A,'Basic Data'!$B:$B),"")</f>
        <v>TQGXIIPL</v>
      </c>
      <c r="I7" s="35" t="str">
        <f>IFERROR(_xlfn.XLOOKUP(Table6[[#This Row],[Affected WTG]],'Basic Data'!$A:$A,'Basic Data'!$C:$C),"")</f>
        <v>GEDA</v>
      </c>
      <c r="J7" s="260">
        <f>IFERROR(_xlfn.XLOOKUP(Table6[[#This Row],[Affected WTG]],'Basic Data'!$A:$A,'Basic Data'!$E:$E),"")</f>
        <v>3.846153846153845E-2</v>
      </c>
      <c r="K7" s="102">
        <v>6130</v>
      </c>
      <c r="L7" s="35" t="str">
        <f>IFERROR(_xlfn.XLOOKUP(Table6[[#This Row],[Error Code]],'Basic Data'!$AA:$AA,'Basic Data'!$AB:$AB),"Incorrect Error Code")</f>
        <v>Yaw speed high</v>
      </c>
      <c r="M7" s="35" t="s">
        <v>266</v>
      </c>
      <c r="N7" s="264"/>
      <c r="O7" s="265">
        <v>0.2951388888888889</v>
      </c>
      <c r="P7" s="265">
        <v>0.2951388888888889</v>
      </c>
      <c r="Q7" s="266">
        <v>0.29652777777777778</v>
      </c>
      <c r="R7" s="261">
        <f>IF(Table6[[#This Row],[Work Start TimeStamp]]="","",(Table6[[#This Row],[Work Start TimeStamp]]-Table6[[#This Row],[Fault Start TimeStamp]])*24)</f>
        <v>0</v>
      </c>
      <c r="S7" s="261">
        <f>(Table6[[#This Row],[Fault Clearance time]]-Table6[[#This Row],[Work Start TimeStamp]])*24</f>
        <v>3.3333333333333215E-2</v>
      </c>
      <c r="T7" s="261">
        <f>(Table6[[#This Row],[Fault Clearance time]]-Table6[[#This Row],[Fault Start TimeStamp]])*24</f>
        <v>3.3333333333333215E-2</v>
      </c>
      <c r="U7" s="35" t="s">
        <v>267</v>
      </c>
      <c r="V7" s="102" t="s">
        <v>268</v>
      </c>
      <c r="W7" s="267">
        <f>IFERROR(Table6[[#This Row],[Breakdown Time]]*Table6[[#This Row],[Plant Equivalent Weightage]],"")</f>
        <v>1.2820512820512771E-3</v>
      </c>
      <c r="X7" s="262" t="s">
        <v>269</v>
      </c>
      <c r="Y7" s="263" t="s">
        <v>125</v>
      </c>
      <c r="Z7" s="102">
        <v>21579</v>
      </c>
      <c r="AA7" s="257">
        <f>(Table6[[#This Row],[Paired WTG Generation for loss calculation]]/24)*Table6[[#This Row],[Breakdown Time]]</f>
        <v>29.970833333333228</v>
      </c>
      <c r="AB7" s="102"/>
      <c r="AC7" s="35"/>
      <c r="AD7" s="35"/>
    </row>
    <row r="8" spans="1:30">
      <c r="A8" s="102">
        <f t="shared" si="0"/>
        <v>7</v>
      </c>
      <c r="B8" s="257">
        <f>YEAR(Table6[[#This Row],[Date]])+IF(MONTH(Table6[[#This Row],[Date]])&gt;=4,1,0)</f>
        <v>2026</v>
      </c>
      <c r="C8" s="102">
        <f>YEAR(Table6[[#This Row],[Date]])</f>
        <v>2025</v>
      </c>
      <c r="D8" s="102" t="s">
        <v>265</v>
      </c>
      <c r="E8" s="258">
        <f>Table6[[#This Row],[Date]]-DAY(Table6[[#This Row],[Date]])+1</f>
        <v>45748</v>
      </c>
      <c r="F8" s="259">
        <v>45748</v>
      </c>
      <c r="G8" s="35" t="s">
        <v>132</v>
      </c>
      <c r="H8" s="35" t="str">
        <f>IFERROR(_xlfn.XLOOKUP(Table6[[#This Row],[Affected WTG]],'Basic Data'!$A:$A,'Basic Data'!$B:$B),"")</f>
        <v>TQGXIIPL</v>
      </c>
      <c r="I8" s="35" t="str">
        <f>IFERROR(_xlfn.XLOOKUP(Table6[[#This Row],[Affected WTG]],'Basic Data'!$A:$A,'Basic Data'!$C:$C),"")</f>
        <v>GEDA</v>
      </c>
      <c r="J8" s="260">
        <f>IFERROR(_xlfn.XLOOKUP(Table6[[#This Row],[Affected WTG]],'Basic Data'!$A:$A,'Basic Data'!$E:$E),"")</f>
        <v>3.846153846153845E-2</v>
      </c>
      <c r="K8" s="102">
        <v>3000</v>
      </c>
      <c r="L8" s="35" t="str">
        <f>IFERROR(_xlfn.XLOOKUP(Table6[[#This Row],[Error Code]],'Basic Data'!$AA:$AA,'Basic Data'!$AB:$AB),"Incorrect Error Code")</f>
        <v>Frequency converter not ready</v>
      </c>
      <c r="M8" s="35" t="s">
        <v>266</v>
      </c>
      <c r="N8" s="264"/>
      <c r="O8" s="265">
        <v>0.88194444444444442</v>
      </c>
      <c r="P8" s="265">
        <v>0.88194444444444442</v>
      </c>
      <c r="Q8" s="266">
        <v>0.8833333333333333</v>
      </c>
      <c r="R8" s="261">
        <f>IF(Table6[[#This Row],[Work Start TimeStamp]]="","",(Table6[[#This Row],[Work Start TimeStamp]]-Table6[[#This Row],[Fault Start TimeStamp]])*24)</f>
        <v>0</v>
      </c>
      <c r="S8" s="261">
        <f>(Table6[[#This Row],[Fault Clearance time]]-Table6[[#This Row],[Work Start TimeStamp]])*24</f>
        <v>3.3333333333333215E-2</v>
      </c>
      <c r="T8" s="261">
        <f>(Table6[[#This Row],[Fault Clearance time]]-Table6[[#This Row],[Fault Start TimeStamp]])*24</f>
        <v>3.3333333333333215E-2</v>
      </c>
      <c r="U8" s="35" t="s">
        <v>267</v>
      </c>
      <c r="V8" s="102" t="s">
        <v>268</v>
      </c>
      <c r="W8" s="267">
        <f>IFERROR(Table6[[#This Row],[Breakdown Time]]*Table6[[#This Row],[Plant Equivalent Weightage]],"")</f>
        <v>1.2820512820512771E-3</v>
      </c>
      <c r="X8" s="262" t="s">
        <v>269</v>
      </c>
      <c r="Y8" s="263" t="s">
        <v>120</v>
      </c>
      <c r="Z8" s="102">
        <v>19200</v>
      </c>
      <c r="AA8" s="257">
        <f>(Table6[[#This Row],[Paired WTG Generation for loss calculation]]/24)*Table6[[#This Row],[Breakdown Time]]</f>
        <v>26.666666666666572</v>
      </c>
      <c r="AB8" s="102"/>
      <c r="AC8" s="35"/>
      <c r="AD8" s="35"/>
    </row>
    <row r="9" spans="1:30">
      <c r="A9" s="102">
        <f t="shared" si="0"/>
        <v>8</v>
      </c>
      <c r="B9" s="257">
        <f>YEAR(Table6[[#This Row],[Date]])+IF(MONTH(Table6[[#This Row],[Date]])&gt;=4,1,0)</f>
        <v>2026</v>
      </c>
      <c r="C9" s="102">
        <f>YEAR(Table6[[#This Row],[Date]])</f>
        <v>2025</v>
      </c>
      <c r="D9" s="102" t="s">
        <v>265</v>
      </c>
      <c r="E9" s="258">
        <f>Table6[[#This Row],[Date]]-DAY(Table6[[#This Row],[Date]])+1</f>
        <v>45748</v>
      </c>
      <c r="F9" s="259">
        <v>45749</v>
      </c>
      <c r="G9" s="35" t="s">
        <v>115</v>
      </c>
      <c r="H9" s="35" t="str">
        <f>IFERROR(_xlfn.XLOOKUP(Table6[[#This Row],[Affected WTG]],'Basic Data'!$A:$A,'Basic Data'!$B:$B),"")</f>
        <v>TQGXIIPL</v>
      </c>
      <c r="I9" s="35" t="str">
        <f>IFERROR(_xlfn.XLOOKUP(Table6[[#This Row],[Affected WTG]],'Basic Data'!$A:$A,'Basic Data'!$C:$C),"")</f>
        <v>GEDA</v>
      </c>
      <c r="J9" s="260">
        <f>IFERROR(_xlfn.XLOOKUP(Table6[[#This Row],[Affected WTG]],'Basic Data'!$A:$A,'Basic Data'!$E:$E),"")</f>
        <v>3.846153846153845E-2</v>
      </c>
      <c r="K9" s="102">
        <v>6130</v>
      </c>
      <c r="L9" s="35" t="str">
        <f>IFERROR(_xlfn.XLOOKUP(Table6[[#This Row],[Error Code]],'Basic Data'!$AA:$AA,'Basic Data'!$AB:$AB),"Incorrect Error Code")</f>
        <v>Yaw speed high</v>
      </c>
      <c r="M9" s="35" t="s">
        <v>266</v>
      </c>
      <c r="N9" s="264"/>
      <c r="O9" s="265">
        <v>0.50277777777777777</v>
      </c>
      <c r="P9" s="265">
        <v>0.50277777777777777</v>
      </c>
      <c r="Q9" s="266">
        <v>0.50694444444444442</v>
      </c>
      <c r="R9" s="261">
        <f>IF(Table6[[#This Row],[Work Start TimeStamp]]="","",(Table6[[#This Row],[Work Start TimeStamp]]-Table6[[#This Row],[Fault Start TimeStamp]])*24)</f>
        <v>0</v>
      </c>
      <c r="S9" s="261">
        <f>(Table6[[#This Row],[Fault Clearance time]]-Table6[[#This Row],[Work Start TimeStamp]])*24</f>
        <v>9.9999999999999645E-2</v>
      </c>
      <c r="T9" s="261">
        <f>(Table6[[#This Row],[Fault Clearance time]]-Table6[[#This Row],[Fault Start TimeStamp]])*24</f>
        <v>9.9999999999999645E-2</v>
      </c>
      <c r="U9" s="35" t="s">
        <v>274</v>
      </c>
      <c r="V9" s="102" t="s">
        <v>268</v>
      </c>
      <c r="W9" s="267">
        <f>IFERROR(Table6[[#This Row],[Breakdown Time]]*Table6[[#This Row],[Plant Equivalent Weightage]],"")</f>
        <v>3.8461538461538312E-3</v>
      </c>
      <c r="X9" s="262" t="s">
        <v>269</v>
      </c>
      <c r="Y9" s="263" t="s">
        <v>140</v>
      </c>
      <c r="Z9" s="102">
        <v>12678</v>
      </c>
      <c r="AA9" s="257">
        <f>(Table6[[#This Row],[Paired WTG Generation for loss calculation]]/24)*Table6[[#This Row],[Breakdown Time]]</f>
        <v>52.824999999999811</v>
      </c>
      <c r="AB9" s="102"/>
      <c r="AC9" s="35"/>
      <c r="AD9" s="35"/>
    </row>
    <row r="10" spans="1:30">
      <c r="A10" s="102">
        <f t="shared" si="0"/>
        <v>9</v>
      </c>
      <c r="B10" s="257">
        <f>YEAR(Table6[[#This Row],[Date]])+IF(MONTH(Table6[[#This Row],[Date]])&gt;=4,1,0)</f>
        <v>2026</v>
      </c>
      <c r="C10" s="102">
        <f>YEAR(Table6[[#This Row],[Date]])</f>
        <v>2025</v>
      </c>
      <c r="D10" s="102" t="s">
        <v>265</v>
      </c>
      <c r="E10" s="258">
        <f>Table6[[#This Row],[Date]]-DAY(Table6[[#This Row],[Date]])+1</f>
        <v>45748</v>
      </c>
      <c r="F10" s="259">
        <v>45749</v>
      </c>
      <c r="G10" s="35" t="s">
        <v>116</v>
      </c>
      <c r="H10" s="35" t="str">
        <f>IFERROR(_xlfn.XLOOKUP(Table6[[#This Row],[Affected WTG]],'Basic Data'!$A:$A,'Basic Data'!$B:$B),"")</f>
        <v>TQGXIIPL</v>
      </c>
      <c r="I10" s="35" t="str">
        <f>IFERROR(_xlfn.XLOOKUP(Table6[[#This Row],[Affected WTG]],'Basic Data'!$A:$A,'Basic Data'!$C:$C),"")</f>
        <v>GEDA</v>
      </c>
      <c r="J10" s="260">
        <f>IFERROR(_xlfn.XLOOKUP(Table6[[#This Row],[Affected WTG]],'Basic Data'!$A:$A,'Basic Data'!$E:$E),"")</f>
        <v>3.846153846153845E-2</v>
      </c>
      <c r="K10" s="102">
        <v>3110</v>
      </c>
      <c r="L10" s="35" t="str">
        <f>IFERROR(_xlfn.XLOOKUP(Table6[[#This Row],[Error Code]],'Basic Data'!$AA:$AA,'Basic Data'!$AB:$AB),"Incorrect Error Code")</f>
        <v>Frequency converter error</v>
      </c>
      <c r="M10" s="35" t="s">
        <v>266</v>
      </c>
      <c r="N10" s="264"/>
      <c r="O10" s="265">
        <v>0.48958333333333331</v>
      </c>
      <c r="P10" s="265">
        <v>0.48958333333333331</v>
      </c>
      <c r="Q10" s="266">
        <v>0.49305555555555558</v>
      </c>
      <c r="R10" s="261">
        <f>IF(Table6[[#This Row],[Work Start TimeStamp]]="","",(Table6[[#This Row],[Work Start TimeStamp]]-Table6[[#This Row],[Fault Start TimeStamp]])*24)</f>
        <v>0</v>
      </c>
      <c r="S10" s="261">
        <f>(Table6[[#This Row],[Fault Clearance time]]-Table6[[#This Row],[Work Start TimeStamp]])*24</f>
        <v>8.333333333333437E-2</v>
      </c>
      <c r="T10" s="261">
        <f>(Table6[[#This Row],[Fault Clearance time]]-Table6[[#This Row],[Fault Start TimeStamp]])*24</f>
        <v>8.333333333333437E-2</v>
      </c>
      <c r="U10" s="35" t="s">
        <v>275</v>
      </c>
      <c r="V10" s="102" t="s">
        <v>268</v>
      </c>
      <c r="W10" s="267">
        <f>IFERROR(Table6[[#This Row],[Breakdown Time]]*Table6[[#This Row],[Plant Equivalent Weightage]],"")</f>
        <v>3.205128205128244E-3</v>
      </c>
      <c r="X10" s="262" t="s">
        <v>269</v>
      </c>
      <c r="Y10" s="263" t="s">
        <v>119</v>
      </c>
      <c r="Z10" s="102">
        <v>12752</v>
      </c>
      <c r="AA10" s="257">
        <f>(Table6[[#This Row],[Paired WTG Generation for loss calculation]]/24)*Table6[[#This Row],[Breakdown Time]]</f>
        <v>44.277777777778333</v>
      </c>
      <c r="AB10" s="102"/>
      <c r="AC10" s="35"/>
      <c r="AD10" s="35"/>
    </row>
    <row r="11" spans="1:30">
      <c r="A11" s="102">
        <f t="shared" si="0"/>
        <v>10</v>
      </c>
      <c r="B11" s="257">
        <f>YEAR(Table6[[#This Row],[Date]])+IF(MONTH(Table6[[#This Row],[Date]])&gt;=4,1,0)</f>
        <v>2026</v>
      </c>
      <c r="C11" s="102">
        <f>YEAR(Table6[[#This Row],[Date]])</f>
        <v>2025</v>
      </c>
      <c r="D11" s="102" t="s">
        <v>265</v>
      </c>
      <c r="E11" s="258">
        <f>Table6[[#This Row],[Date]]-DAY(Table6[[#This Row],[Date]])+1</f>
        <v>45748</v>
      </c>
      <c r="F11" s="259">
        <v>45749</v>
      </c>
      <c r="G11" s="35" t="s">
        <v>116</v>
      </c>
      <c r="H11" s="35" t="str">
        <f>IFERROR(_xlfn.XLOOKUP(Table6[[#This Row],[Affected WTG]],'Basic Data'!$A:$A,'Basic Data'!$B:$B),"")</f>
        <v>TQGXIIPL</v>
      </c>
      <c r="I11" s="35" t="str">
        <f>IFERROR(_xlfn.XLOOKUP(Table6[[#This Row],[Affected WTG]],'Basic Data'!$A:$A,'Basic Data'!$C:$C),"")</f>
        <v>GEDA</v>
      </c>
      <c r="J11" s="260">
        <f>IFERROR(_xlfn.XLOOKUP(Table6[[#This Row],[Affected WTG]],'Basic Data'!$A:$A,'Basic Data'!$E:$E),"")</f>
        <v>3.846153846153845E-2</v>
      </c>
      <c r="K11" s="102">
        <v>3000</v>
      </c>
      <c r="L11" s="35" t="str">
        <f>IFERROR(_xlfn.XLOOKUP(Table6[[#This Row],[Error Code]],'Basic Data'!$AA:$AA,'Basic Data'!$AB:$AB),"Incorrect Error Code")</f>
        <v>Frequency converter not ready</v>
      </c>
      <c r="M11" s="35" t="s">
        <v>266</v>
      </c>
      <c r="N11" s="264"/>
      <c r="O11" s="265">
        <v>0.74375000000000002</v>
      </c>
      <c r="P11" s="265">
        <v>0.74375000000000002</v>
      </c>
      <c r="Q11" s="266">
        <v>0.74583333333333335</v>
      </c>
      <c r="R11" s="261">
        <f>IF(Table6[[#This Row],[Work Start TimeStamp]]="","",(Table6[[#This Row],[Work Start TimeStamp]]-Table6[[#This Row],[Fault Start TimeStamp]])*24)</f>
        <v>0</v>
      </c>
      <c r="S11" s="261">
        <f>(Table6[[#This Row],[Fault Clearance time]]-Table6[[#This Row],[Work Start TimeStamp]])*24</f>
        <v>4.9999999999999822E-2</v>
      </c>
      <c r="T11" s="261">
        <f>(Table6[[#This Row],[Fault Clearance time]]-Table6[[#This Row],[Fault Start TimeStamp]])*24</f>
        <v>4.9999999999999822E-2</v>
      </c>
      <c r="U11" s="35" t="s">
        <v>276</v>
      </c>
      <c r="V11" s="102" t="s">
        <v>268</v>
      </c>
      <c r="W11" s="267">
        <f>IFERROR(Table6[[#This Row],[Breakdown Time]]*Table6[[#This Row],[Plant Equivalent Weightage]],"")</f>
        <v>1.9230769230769156E-3</v>
      </c>
      <c r="X11" s="262" t="s">
        <v>269</v>
      </c>
      <c r="Y11" s="263" t="s">
        <v>119</v>
      </c>
      <c r="Z11" s="102">
        <v>12752</v>
      </c>
      <c r="AA11" s="257">
        <f>(Table6[[#This Row],[Paired WTG Generation for loss calculation]]/24)*Table6[[#This Row],[Breakdown Time]]</f>
        <v>26.566666666666574</v>
      </c>
      <c r="AB11" s="102"/>
      <c r="AC11" s="35"/>
      <c r="AD11" s="35"/>
    </row>
    <row r="12" spans="1:30">
      <c r="A12" s="102">
        <f t="shared" si="0"/>
        <v>11</v>
      </c>
      <c r="B12" s="257">
        <f>YEAR(Table6[[#This Row],[Date]])+IF(MONTH(Table6[[#This Row],[Date]])&gt;=4,1,0)</f>
        <v>2026</v>
      </c>
      <c r="C12" s="102">
        <f>YEAR(Table6[[#This Row],[Date]])</f>
        <v>2025</v>
      </c>
      <c r="D12" s="102" t="s">
        <v>265</v>
      </c>
      <c r="E12" s="258">
        <f>Table6[[#This Row],[Date]]-DAY(Table6[[#This Row],[Date]])+1</f>
        <v>45748</v>
      </c>
      <c r="F12" s="259">
        <v>45749</v>
      </c>
      <c r="G12" s="35" t="s">
        <v>118</v>
      </c>
      <c r="H12" s="35" t="str">
        <f>IFERROR(_xlfn.XLOOKUP(Table6[[#This Row],[Affected WTG]],'Basic Data'!$A:$A,'Basic Data'!$B:$B),"")</f>
        <v>TQGXIIPL</v>
      </c>
      <c r="I12" s="35" t="str">
        <f>IFERROR(_xlfn.XLOOKUP(Table6[[#This Row],[Affected WTG]],'Basic Data'!$A:$A,'Basic Data'!$C:$C),"")</f>
        <v>GEDA</v>
      </c>
      <c r="J12" s="260">
        <f>IFERROR(_xlfn.XLOOKUP(Table6[[#This Row],[Affected WTG]],'Basic Data'!$A:$A,'Basic Data'!$E:$E),"")</f>
        <v>3.846153846153845E-2</v>
      </c>
      <c r="K12" s="102">
        <v>3110</v>
      </c>
      <c r="L12" s="35" t="str">
        <f>IFERROR(_xlfn.XLOOKUP(Table6[[#This Row],[Error Code]],'Basic Data'!$AA:$AA,'Basic Data'!$AB:$AB),"Incorrect Error Code")</f>
        <v>Frequency converter error</v>
      </c>
      <c r="M12" s="35" t="s">
        <v>266</v>
      </c>
      <c r="N12" s="264"/>
      <c r="O12" s="265">
        <v>0.74375000000000002</v>
      </c>
      <c r="P12" s="265">
        <v>0.74375000000000002</v>
      </c>
      <c r="Q12" s="266">
        <v>0.74513888888888891</v>
      </c>
      <c r="R12" s="261">
        <f>IF(Table6[[#This Row],[Work Start TimeStamp]]="","",(Table6[[#This Row],[Work Start TimeStamp]]-Table6[[#This Row],[Fault Start TimeStamp]])*24)</f>
        <v>0</v>
      </c>
      <c r="S12" s="261">
        <f>(Table6[[#This Row],[Fault Clearance time]]-Table6[[#This Row],[Work Start TimeStamp]])*24</f>
        <v>3.3333333333333215E-2</v>
      </c>
      <c r="T12" s="261">
        <f>(Table6[[#This Row],[Fault Clearance time]]-Table6[[#This Row],[Fault Start TimeStamp]])*24</f>
        <v>3.3333333333333215E-2</v>
      </c>
      <c r="U12" s="35" t="s">
        <v>277</v>
      </c>
      <c r="V12" s="102" t="s">
        <v>268</v>
      </c>
      <c r="W12" s="267">
        <f>IFERROR(Table6[[#This Row],[Breakdown Time]]*Table6[[#This Row],[Plant Equivalent Weightage]],"")</f>
        <v>1.2820512820512771E-3</v>
      </c>
      <c r="X12" s="262" t="s">
        <v>269</v>
      </c>
      <c r="Y12" s="263" t="s">
        <v>121</v>
      </c>
      <c r="Z12" s="102">
        <v>7398</v>
      </c>
      <c r="AA12" s="257">
        <f>(Table6[[#This Row],[Paired WTG Generation for loss calculation]]/24)*Table6[[#This Row],[Breakdown Time]]</f>
        <v>10.274999999999963</v>
      </c>
      <c r="AB12" s="102"/>
      <c r="AC12" s="35"/>
      <c r="AD12" s="35"/>
    </row>
    <row r="13" spans="1:30">
      <c r="A13" s="102">
        <f t="shared" ref="A13:A77" si="1">A12+1</f>
        <v>12</v>
      </c>
      <c r="B13" s="257">
        <f>YEAR(Table6[[#This Row],[Date]])+IF(MONTH(Table6[[#This Row],[Date]])&gt;=4,1,0)</f>
        <v>2026</v>
      </c>
      <c r="C13" s="102">
        <f>YEAR(Table6[[#This Row],[Date]])</f>
        <v>2025</v>
      </c>
      <c r="D13" s="102" t="s">
        <v>265</v>
      </c>
      <c r="E13" s="258">
        <f>Table6[[#This Row],[Date]]-DAY(Table6[[#This Row],[Date]])+1</f>
        <v>45748</v>
      </c>
      <c r="F13" s="259">
        <v>45749</v>
      </c>
      <c r="G13" s="35" t="s">
        <v>119</v>
      </c>
      <c r="H13" s="35" t="str">
        <f>IFERROR(_xlfn.XLOOKUP(Table6[[#This Row],[Affected WTG]],'Basic Data'!$A:$A,'Basic Data'!$B:$B),"")</f>
        <v>TQGXIIPL</v>
      </c>
      <c r="I13" s="35" t="str">
        <f>IFERROR(_xlfn.XLOOKUP(Table6[[#This Row],[Affected WTG]],'Basic Data'!$A:$A,'Basic Data'!$C:$C),"")</f>
        <v>GEDA</v>
      </c>
      <c r="J13" s="260">
        <f>IFERROR(_xlfn.XLOOKUP(Table6[[#This Row],[Affected WTG]],'Basic Data'!$A:$A,'Basic Data'!$E:$E),"")</f>
        <v>3.846153846153845E-2</v>
      </c>
      <c r="K13" s="102">
        <v>3000</v>
      </c>
      <c r="L13" s="35" t="str">
        <f>IFERROR(_xlfn.XLOOKUP(Table6[[#This Row],[Error Code]],'Basic Data'!$AA:$AA,'Basic Data'!$AB:$AB),"Incorrect Error Code")</f>
        <v>Frequency converter not ready</v>
      </c>
      <c r="M13" s="35" t="s">
        <v>278</v>
      </c>
      <c r="N13" s="264"/>
      <c r="O13" s="265">
        <v>0.48749999999999999</v>
      </c>
      <c r="P13" s="265">
        <v>0.48749999999999999</v>
      </c>
      <c r="Q13" s="266">
        <v>0.48958333333333331</v>
      </c>
      <c r="R13" s="261">
        <f>IF(Table6[[#This Row],[Work Start TimeStamp]]="","",(Table6[[#This Row],[Work Start TimeStamp]]-Table6[[#This Row],[Fault Start TimeStamp]])*24)</f>
        <v>0</v>
      </c>
      <c r="S13" s="261">
        <f>(Table6[[#This Row],[Fault Clearance time]]-Table6[[#This Row],[Work Start TimeStamp]])*24</f>
        <v>4.9999999999999822E-2</v>
      </c>
      <c r="T13" s="261">
        <f>(Table6[[#This Row],[Fault Clearance time]]-Table6[[#This Row],[Fault Start TimeStamp]])*24</f>
        <v>4.9999999999999822E-2</v>
      </c>
      <c r="U13" s="35" t="s">
        <v>277</v>
      </c>
      <c r="V13" s="102" t="s">
        <v>268</v>
      </c>
      <c r="W13" s="267">
        <f>IFERROR(Table6[[#This Row],[Breakdown Time]]*Table6[[#This Row],[Plant Equivalent Weightage]],"")</f>
        <v>1.9230769230769156E-3</v>
      </c>
      <c r="X13" s="262" t="s">
        <v>269</v>
      </c>
      <c r="Y13" s="263" t="s">
        <v>116</v>
      </c>
      <c r="Z13" s="102">
        <v>9289</v>
      </c>
      <c r="AA13" s="257">
        <f>(Table6[[#This Row],[Paired WTG Generation for loss calculation]]/24)*Table6[[#This Row],[Breakdown Time]]</f>
        <v>19.352083333333265</v>
      </c>
      <c r="AB13" s="102"/>
      <c r="AC13" s="35"/>
      <c r="AD13" s="35"/>
    </row>
    <row r="14" spans="1:30">
      <c r="A14" s="102">
        <f t="shared" si="1"/>
        <v>13</v>
      </c>
      <c r="B14" s="257">
        <f>YEAR(Table6[[#This Row],[Date]])+IF(MONTH(Table6[[#This Row],[Date]])&gt;=4,1,0)</f>
        <v>2026</v>
      </c>
      <c r="C14" s="102">
        <f>YEAR(Table6[[#This Row],[Date]])</f>
        <v>2025</v>
      </c>
      <c r="D14" s="102" t="s">
        <v>265</v>
      </c>
      <c r="E14" s="258">
        <f>Table6[[#This Row],[Date]]-DAY(Table6[[#This Row],[Date]])+1</f>
        <v>45748</v>
      </c>
      <c r="F14" s="259">
        <v>45749</v>
      </c>
      <c r="G14" s="35" t="s">
        <v>119</v>
      </c>
      <c r="H14" s="35" t="str">
        <f>IFERROR(_xlfn.XLOOKUP(Table6[[#This Row],[Affected WTG]],'Basic Data'!$A:$A,'Basic Data'!$B:$B),"")</f>
        <v>TQGXIIPL</v>
      </c>
      <c r="I14" s="35" t="str">
        <f>IFERROR(_xlfn.XLOOKUP(Table6[[#This Row],[Affected WTG]],'Basic Data'!$A:$A,'Basic Data'!$C:$C),"")</f>
        <v>GEDA</v>
      </c>
      <c r="J14" s="260">
        <f>IFERROR(_xlfn.XLOOKUP(Table6[[#This Row],[Affected WTG]],'Basic Data'!$A:$A,'Basic Data'!$E:$E),"")</f>
        <v>3.846153846153845E-2</v>
      </c>
      <c r="K14" s="102">
        <v>6056</v>
      </c>
      <c r="L14" s="35" t="str">
        <f>IFERROR(_xlfn.XLOOKUP(Table6[[#This Row],[Error Code]],'Basic Data'!$AA:$AA,'Basic Data'!$AB:$AB),"Incorrect Error Code")</f>
        <v>High yaw load</v>
      </c>
      <c r="M14" s="35" t="s">
        <v>278</v>
      </c>
      <c r="N14" s="264"/>
      <c r="O14" s="265">
        <v>0.64652777777777781</v>
      </c>
      <c r="P14" s="265">
        <v>0.64652777777777781</v>
      </c>
      <c r="Q14" s="266">
        <v>0.64861111111111114</v>
      </c>
      <c r="R14" s="261">
        <f>IF(Table6[[#This Row],[Work Start TimeStamp]]="","",(Table6[[#This Row],[Work Start TimeStamp]]-Table6[[#This Row],[Fault Start TimeStamp]])*24)</f>
        <v>0</v>
      </c>
      <c r="S14" s="261">
        <f>(Table6[[#This Row],[Fault Clearance time]]-Table6[[#This Row],[Work Start TimeStamp]])*24</f>
        <v>4.9999999999999822E-2</v>
      </c>
      <c r="T14" s="261">
        <f>(Table6[[#This Row],[Fault Clearance time]]-Table6[[#This Row],[Fault Start TimeStamp]])*24</f>
        <v>4.9999999999999822E-2</v>
      </c>
      <c r="U14" s="35" t="s">
        <v>267</v>
      </c>
      <c r="V14" s="102" t="s">
        <v>268</v>
      </c>
      <c r="W14" s="267">
        <f>IFERROR(Table6[[#This Row],[Breakdown Time]]*Table6[[#This Row],[Plant Equivalent Weightage]],"")</f>
        <v>1.9230769230769156E-3</v>
      </c>
      <c r="X14" s="262" t="s">
        <v>269</v>
      </c>
      <c r="Y14" s="263" t="s">
        <v>116</v>
      </c>
      <c r="Z14" s="102">
        <v>9289</v>
      </c>
      <c r="AA14" s="257">
        <f>(Table6[[#This Row],[Paired WTG Generation for loss calculation]]/24)*Table6[[#This Row],[Breakdown Time]]</f>
        <v>19.352083333333265</v>
      </c>
      <c r="AB14" s="102"/>
      <c r="AC14" s="35"/>
      <c r="AD14" s="35"/>
    </row>
    <row r="15" spans="1:30">
      <c r="A15" s="102">
        <f t="shared" si="1"/>
        <v>14</v>
      </c>
      <c r="B15" s="257">
        <f>YEAR(Table6[[#This Row],[Date]])+IF(MONTH(Table6[[#This Row],[Date]])&gt;=4,1,0)</f>
        <v>2026</v>
      </c>
      <c r="C15" s="102">
        <f>YEAR(Table6[[#This Row],[Date]])</f>
        <v>2025</v>
      </c>
      <c r="D15" s="102" t="s">
        <v>265</v>
      </c>
      <c r="E15" s="258">
        <f>Table6[[#This Row],[Date]]-DAY(Table6[[#This Row],[Date]])+1</f>
        <v>45748</v>
      </c>
      <c r="F15" s="259">
        <v>45749</v>
      </c>
      <c r="G15" s="35" t="s">
        <v>122</v>
      </c>
      <c r="H15" s="35" t="str">
        <f>IFERROR(_xlfn.XLOOKUP(Table6[[#This Row],[Affected WTG]],'Basic Data'!$A:$A,'Basic Data'!$B:$B),"")</f>
        <v>TQGXIIPL</v>
      </c>
      <c r="I15" s="35" t="str">
        <f>IFERROR(_xlfn.XLOOKUP(Table6[[#This Row],[Affected WTG]],'Basic Data'!$A:$A,'Basic Data'!$C:$C),"")</f>
        <v>GEDA</v>
      </c>
      <c r="J15" s="260">
        <f>IFERROR(_xlfn.XLOOKUP(Table6[[#This Row],[Affected WTG]],'Basic Data'!$A:$A,'Basic Data'!$E:$E),"")</f>
        <v>3.846153846153845E-2</v>
      </c>
      <c r="K15" s="102">
        <v>175</v>
      </c>
      <c r="L15" s="35" t="str">
        <f>IFERROR(_xlfn.XLOOKUP(Table6[[#This Row],[Error Code]],'Basic Data'!$AA:$AA,'Basic Data'!$AB:$AB),"Incorrect Error Code")</f>
        <v>SLC error</v>
      </c>
      <c r="M15" s="35" t="s">
        <v>266</v>
      </c>
      <c r="N15" s="264"/>
      <c r="O15" s="265">
        <v>0.35</v>
      </c>
      <c r="P15" s="265">
        <v>0.35</v>
      </c>
      <c r="Q15" s="266">
        <v>0.36666666666666664</v>
      </c>
      <c r="R15" s="261">
        <f>IF(Table6[[#This Row],[Work Start TimeStamp]]="","",(Table6[[#This Row],[Work Start TimeStamp]]-Table6[[#This Row],[Fault Start TimeStamp]])*24)</f>
        <v>0</v>
      </c>
      <c r="S15" s="261">
        <f>(Table6[[#This Row],[Fault Clearance time]]-Table6[[#This Row],[Work Start TimeStamp]])*24</f>
        <v>0.39999999999999991</v>
      </c>
      <c r="T15" s="261">
        <f>(Table6[[#This Row],[Fault Clearance time]]-Table6[[#This Row],[Fault Start TimeStamp]])*24</f>
        <v>0.39999999999999991</v>
      </c>
      <c r="U15" s="35" t="s">
        <v>279</v>
      </c>
      <c r="V15" s="102" t="s">
        <v>268</v>
      </c>
      <c r="W15" s="267">
        <f>IFERROR(Table6[[#This Row],[Breakdown Time]]*Table6[[#This Row],[Plant Equivalent Weightage]],"")</f>
        <v>1.5384615384615377E-2</v>
      </c>
      <c r="X15" s="262" t="s">
        <v>269</v>
      </c>
      <c r="Y15" s="263" t="s">
        <v>140</v>
      </c>
      <c r="Z15" s="102">
        <v>12678</v>
      </c>
      <c r="AA15" s="257">
        <f>(Table6[[#This Row],[Paired WTG Generation for loss calculation]]/24)*Table6[[#This Row],[Breakdown Time]]</f>
        <v>211.29999999999995</v>
      </c>
      <c r="AB15" s="102"/>
      <c r="AC15" s="35"/>
      <c r="AD15" s="35"/>
    </row>
    <row r="16" spans="1:30">
      <c r="A16" s="102">
        <f t="shared" si="1"/>
        <v>15</v>
      </c>
      <c r="B16" s="257">
        <f>YEAR(Table6[[#This Row],[Date]])+IF(MONTH(Table6[[#This Row],[Date]])&gt;=4,1,0)</f>
        <v>2026</v>
      </c>
      <c r="C16" s="102">
        <f>YEAR(Table6[[#This Row],[Date]])</f>
        <v>2025</v>
      </c>
      <c r="D16" s="102" t="s">
        <v>265</v>
      </c>
      <c r="E16" s="258">
        <f>Table6[[#This Row],[Date]]-DAY(Table6[[#This Row],[Date]])+1</f>
        <v>45748</v>
      </c>
      <c r="F16" s="259">
        <v>45749</v>
      </c>
      <c r="G16" s="35" t="s">
        <v>124</v>
      </c>
      <c r="H16" s="35" t="str">
        <f>IFERROR(_xlfn.XLOOKUP(Table6[[#This Row],[Affected WTG]],'Basic Data'!$A:$A,'Basic Data'!$B:$B),"")</f>
        <v>TQGXIIPL</v>
      </c>
      <c r="I16" s="35" t="str">
        <f>IFERROR(_xlfn.XLOOKUP(Table6[[#This Row],[Affected WTG]],'Basic Data'!$A:$A,'Basic Data'!$C:$C),"")</f>
        <v>GEDA</v>
      </c>
      <c r="J16" s="260">
        <f>IFERROR(_xlfn.XLOOKUP(Table6[[#This Row],[Affected WTG]],'Basic Data'!$A:$A,'Basic Data'!$E:$E),"")</f>
        <v>3.846153846153845E-2</v>
      </c>
      <c r="K16" s="102">
        <v>656</v>
      </c>
      <c r="L16" s="35" t="str">
        <f>IFERROR(_xlfn.XLOOKUP(Table6[[#This Row],[Error Code]],'Basic Data'!$AA:$AA,'Basic Data'!$AB:$AB),"Incorrect Error Code")</f>
        <v>Error pitch converter 1</v>
      </c>
      <c r="M16" s="35" t="s">
        <v>266</v>
      </c>
      <c r="N16" s="264"/>
      <c r="O16" s="265">
        <v>0.32291666666666669</v>
      </c>
      <c r="P16" s="265">
        <v>0.32291666666666669</v>
      </c>
      <c r="Q16" s="266">
        <v>0.34236111111111112</v>
      </c>
      <c r="R16" s="261">
        <f>IF(Table6[[#This Row],[Work Start TimeStamp]]="","",(Table6[[#This Row],[Work Start TimeStamp]]-Table6[[#This Row],[Fault Start TimeStamp]])*24)</f>
        <v>0</v>
      </c>
      <c r="S16" s="261">
        <f>(Table6[[#This Row],[Fault Clearance time]]-Table6[[#This Row],[Work Start TimeStamp]])*24</f>
        <v>0.46666666666666634</v>
      </c>
      <c r="T16" s="261">
        <f>(Table6[[#This Row],[Fault Clearance time]]-Table6[[#This Row],[Fault Start TimeStamp]])*24</f>
        <v>0.46666666666666634</v>
      </c>
      <c r="U16" s="35" t="s">
        <v>280</v>
      </c>
      <c r="V16" s="102" t="s">
        <v>268</v>
      </c>
      <c r="W16" s="267">
        <f>IFERROR(Table6[[#This Row],[Breakdown Time]]*Table6[[#This Row],[Plant Equivalent Weightage]],"")</f>
        <v>1.794871794871793E-2</v>
      </c>
      <c r="X16" s="262" t="s">
        <v>269</v>
      </c>
      <c r="Y16" s="263" t="s">
        <v>129</v>
      </c>
      <c r="Z16" s="102">
        <v>13298</v>
      </c>
      <c r="AA16" s="257">
        <f>(Table6[[#This Row],[Paired WTG Generation for loss calculation]]/24)*Table6[[#This Row],[Breakdown Time]]</f>
        <v>258.57222222222208</v>
      </c>
      <c r="AB16" s="102"/>
      <c r="AC16" s="35"/>
      <c r="AD16" s="35"/>
    </row>
    <row r="17" spans="1:30">
      <c r="A17" s="102">
        <f t="shared" si="1"/>
        <v>16</v>
      </c>
      <c r="B17" s="257">
        <f>YEAR(Table6[[#This Row],[Date]])+IF(MONTH(Table6[[#This Row],[Date]])&gt;=4,1,0)</f>
        <v>2026</v>
      </c>
      <c r="C17" s="102">
        <f>YEAR(Table6[[#This Row],[Date]])</f>
        <v>2025</v>
      </c>
      <c r="D17" s="102" t="s">
        <v>265</v>
      </c>
      <c r="E17" s="258">
        <f>Table6[[#This Row],[Date]]-DAY(Table6[[#This Row],[Date]])+1</f>
        <v>45748</v>
      </c>
      <c r="F17" s="259">
        <v>45749</v>
      </c>
      <c r="G17" s="35" t="s">
        <v>124</v>
      </c>
      <c r="H17" s="35" t="str">
        <f>IFERROR(_xlfn.XLOOKUP(Table6[[#This Row],[Affected WTG]],'Basic Data'!$A:$A,'Basic Data'!$B:$B),"")</f>
        <v>TQGXIIPL</v>
      </c>
      <c r="I17" s="35" t="str">
        <f>IFERROR(_xlfn.XLOOKUP(Table6[[#This Row],[Affected WTG]],'Basic Data'!$A:$A,'Basic Data'!$C:$C),"")</f>
        <v>GEDA</v>
      </c>
      <c r="J17" s="260">
        <f>IFERROR(_xlfn.XLOOKUP(Table6[[#This Row],[Affected WTG]],'Basic Data'!$A:$A,'Basic Data'!$E:$E),"")</f>
        <v>3.846153846153845E-2</v>
      </c>
      <c r="K17" s="102">
        <v>55</v>
      </c>
      <c r="L17" s="35" t="str">
        <f>IFERROR(_xlfn.XLOOKUP(Table6[[#This Row],[Error Code]],'Basic Data'!$AA:$AA,'Basic Data'!$AB:$AB),"Incorrect Error Code")</f>
        <v>WTG shut down</v>
      </c>
      <c r="M17" s="35" t="s">
        <v>271</v>
      </c>
      <c r="N17" s="264"/>
      <c r="O17" s="265">
        <v>0.4</v>
      </c>
      <c r="P17" s="265">
        <v>0.4</v>
      </c>
      <c r="Q17" s="266">
        <v>0.64583333333333337</v>
      </c>
      <c r="R17" s="261">
        <f>IF(Table6[[#This Row],[Work Start TimeStamp]]="","",(Table6[[#This Row],[Work Start TimeStamp]]-Table6[[#This Row],[Fault Start TimeStamp]])*24)</f>
        <v>0</v>
      </c>
      <c r="S17" s="261">
        <f>(Table6[[#This Row],[Fault Clearance time]]-Table6[[#This Row],[Work Start TimeStamp]])*24</f>
        <v>5.9</v>
      </c>
      <c r="T17" s="261">
        <f>(Table6[[#This Row],[Fault Clearance time]]-Table6[[#This Row],[Fault Start TimeStamp]])*24</f>
        <v>5.9</v>
      </c>
      <c r="U17" s="35" t="s">
        <v>281</v>
      </c>
      <c r="V17" s="102" t="s">
        <v>268</v>
      </c>
      <c r="W17" s="267">
        <f>IFERROR(Table6[[#This Row],[Breakdown Time]]*Table6[[#This Row],[Plant Equivalent Weightage]],"")</f>
        <v>0.22692307692307687</v>
      </c>
      <c r="X17" s="262" t="s">
        <v>273</v>
      </c>
      <c r="Y17" s="263" t="s">
        <v>129</v>
      </c>
      <c r="Z17" s="102">
        <v>13298</v>
      </c>
      <c r="AA17" s="257">
        <f>(Table6[[#This Row],[Paired WTG Generation for loss calculation]]/24)*Table6[[#This Row],[Breakdown Time]]</f>
        <v>3269.0916666666672</v>
      </c>
      <c r="AB17" s="102"/>
      <c r="AC17" s="35"/>
      <c r="AD17" s="35"/>
    </row>
    <row r="18" spans="1:30">
      <c r="A18" s="102">
        <f t="shared" si="1"/>
        <v>17</v>
      </c>
      <c r="B18" s="257">
        <f>YEAR(Table6[[#This Row],[Date]])+IF(MONTH(Table6[[#This Row],[Date]])&gt;=4,1,0)</f>
        <v>2026</v>
      </c>
      <c r="C18" s="102">
        <f>YEAR(Table6[[#This Row],[Date]])</f>
        <v>2025</v>
      </c>
      <c r="D18" s="102" t="s">
        <v>265</v>
      </c>
      <c r="E18" s="258">
        <f>Table6[[#This Row],[Date]]-DAY(Table6[[#This Row],[Date]])+1</f>
        <v>45748</v>
      </c>
      <c r="F18" s="259">
        <v>45749</v>
      </c>
      <c r="G18" s="35" t="s">
        <v>127</v>
      </c>
      <c r="H18" s="35" t="str">
        <f>IFERROR(_xlfn.XLOOKUP(Table6[[#This Row],[Affected WTG]],'Basic Data'!$A:$A,'Basic Data'!$B:$B),"")</f>
        <v>TQGXIIPL</v>
      </c>
      <c r="I18" s="35" t="str">
        <f>IFERROR(_xlfn.XLOOKUP(Table6[[#This Row],[Affected WTG]],'Basic Data'!$A:$A,'Basic Data'!$C:$C),"")</f>
        <v>GEDA</v>
      </c>
      <c r="J18" s="260">
        <f>IFERROR(_xlfn.XLOOKUP(Table6[[#This Row],[Affected WTG]],'Basic Data'!$A:$A,'Basic Data'!$E:$E),"")</f>
        <v>3.846153846153845E-2</v>
      </c>
      <c r="K18" s="102">
        <v>6130</v>
      </c>
      <c r="L18" s="35" t="str">
        <f>IFERROR(_xlfn.XLOOKUP(Table6[[#This Row],[Error Code]],'Basic Data'!$AA:$AA,'Basic Data'!$AB:$AB),"Incorrect Error Code")</f>
        <v>Yaw speed high</v>
      </c>
      <c r="M18" s="35" t="s">
        <v>266</v>
      </c>
      <c r="N18" s="264"/>
      <c r="O18" s="265">
        <v>0.30763888888888891</v>
      </c>
      <c r="P18" s="265">
        <v>0.30763888888888891</v>
      </c>
      <c r="Q18" s="266">
        <v>0.31180555555555556</v>
      </c>
      <c r="R18" s="261">
        <f>IF(Table6[[#This Row],[Work Start TimeStamp]]="","",(Table6[[#This Row],[Work Start TimeStamp]]-Table6[[#This Row],[Fault Start TimeStamp]])*24)</f>
        <v>0</v>
      </c>
      <c r="S18" s="261">
        <f>(Table6[[#This Row],[Fault Clearance time]]-Table6[[#This Row],[Work Start TimeStamp]])*24</f>
        <v>9.9999999999999645E-2</v>
      </c>
      <c r="T18" s="261">
        <f>(Table6[[#This Row],[Fault Clearance time]]-Table6[[#This Row],[Fault Start TimeStamp]])*24</f>
        <v>9.9999999999999645E-2</v>
      </c>
      <c r="U18" s="35" t="s">
        <v>267</v>
      </c>
      <c r="V18" s="102" t="s">
        <v>268</v>
      </c>
      <c r="W18" s="267">
        <f>IFERROR(Table6[[#This Row],[Breakdown Time]]*Table6[[#This Row],[Plant Equivalent Weightage]],"")</f>
        <v>3.8461538461538312E-3</v>
      </c>
      <c r="X18" s="262" t="s">
        <v>269</v>
      </c>
      <c r="Y18" s="263" t="s">
        <v>125</v>
      </c>
      <c r="Z18" s="102">
        <v>12012</v>
      </c>
      <c r="AA18" s="257">
        <f>(Table6[[#This Row],[Paired WTG Generation for loss calculation]]/24)*Table6[[#This Row],[Breakdown Time]]</f>
        <v>50.04999999999982</v>
      </c>
      <c r="AB18" s="102"/>
      <c r="AC18" s="35"/>
      <c r="AD18" s="35"/>
    </row>
    <row r="19" spans="1:30">
      <c r="A19" s="102">
        <f t="shared" si="1"/>
        <v>18</v>
      </c>
      <c r="B19" s="257">
        <f>YEAR(Table6[[#This Row],[Date]])+IF(MONTH(Table6[[#This Row],[Date]])&gt;=4,1,0)</f>
        <v>2026</v>
      </c>
      <c r="C19" s="102">
        <f>YEAR(Table6[[#This Row],[Date]])</f>
        <v>2025</v>
      </c>
      <c r="D19" s="102" t="s">
        <v>265</v>
      </c>
      <c r="E19" s="258">
        <f>Table6[[#This Row],[Date]]-DAY(Table6[[#This Row],[Date]])+1</f>
        <v>45748</v>
      </c>
      <c r="F19" s="259">
        <v>45749</v>
      </c>
      <c r="G19" s="35" t="s">
        <v>131</v>
      </c>
      <c r="H19" s="35" t="str">
        <f>IFERROR(_xlfn.XLOOKUP(Table6[[#This Row],[Affected WTG]],'Basic Data'!$A:$A,'Basic Data'!$B:$B),"")</f>
        <v>TQGXIIPL</v>
      </c>
      <c r="I19" s="35" t="str">
        <f>IFERROR(_xlfn.XLOOKUP(Table6[[#This Row],[Affected WTG]],'Basic Data'!$A:$A,'Basic Data'!$C:$C),"")</f>
        <v>GEDA</v>
      </c>
      <c r="J19" s="260">
        <f>IFERROR(_xlfn.XLOOKUP(Table6[[#This Row],[Affected WTG]],'Basic Data'!$A:$A,'Basic Data'!$E:$E),"")</f>
        <v>3.846153846153845E-2</v>
      </c>
      <c r="K19" s="102">
        <v>6605</v>
      </c>
      <c r="L19" s="35" t="str">
        <f>IFERROR(_xlfn.XLOOKUP(Table6[[#This Row],[Error Code]],'Basic Data'!$AA:$AA,'Basic Data'!$AB:$AB),"Incorrect Error Code")</f>
        <v>Wind.dir. diff. level 2</v>
      </c>
      <c r="M19" s="35" t="s">
        <v>278</v>
      </c>
      <c r="N19" s="264"/>
      <c r="O19" s="265">
        <v>0.16875000000000001</v>
      </c>
      <c r="P19" s="265">
        <v>0.16875000000000001</v>
      </c>
      <c r="Q19" s="266">
        <v>0.1701388888888889</v>
      </c>
      <c r="R19" s="261">
        <f>IF(Table6[[#This Row],[Work Start TimeStamp]]="","",(Table6[[#This Row],[Work Start TimeStamp]]-Table6[[#This Row],[Fault Start TimeStamp]])*24)</f>
        <v>0</v>
      </c>
      <c r="S19" s="261">
        <f>(Table6[[#This Row],[Fault Clearance time]]-Table6[[#This Row],[Work Start TimeStamp]])*24</f>
        <v>3.3333333333333215E-2</v>
      </c>
      <c r="T19" s="261">
        <f>(Table6[[#This Row],[Fault Clearance time]]-Table6[[#This Row],[Fault Start TimeStamp]])*24</f>
        <v>3.3333333333333215E-2</v>
      </c>
      <c r="U19" s="35" t="s">
        <v>277</v>
      </c>
      <c r="V19" s="102" t="s">
        <v>268</v>
      </c>
      <c r="W19" s="267">
        <f>IFERROR(Table6[[#This Row],[Breakdown Time]]*Table6[[#This Row],[Plant Equivalent Weightage]],"")</f>
        <v>1.2820512820512771E-3</v>
      </c>
      <c r="X19" s="262" t="s">
        <v>269</v>
      </c>
      <c r="Y19" s="263" t="s">
        <v>136</v>
      </c>
      <c r="Z19" s="102">
        <v>9405</v>
      </c>
      <c r="AA19" s="257">
        <f>(Table6[[#This Row],[Paired WTG Generation for loss calculation]]/24)*Table6[[#This Row],[Breakdown Time]]</f>
        <v>13.062499999999954</v>
      </c>
      <c r="AB19" s="102"/>
      <c r="AC19" s="35"/>
      <c r="AD19" s="35"/>
    </row>
    <row r="20" spans="1:30">
      <c r="A20" s="102">
        <f t="shared" si="1"/>
        <v>19</v>
      </c>
      <c r="B20" s="257">
        <f>YEAR(Table6[[#This Row],[Date]])+IF(MONTH(Table6[[#This Row],[Date]])&gt;=4,1,0)</f>
        <v>2026</v>
      </c>
      <c r="C20" s="102">
        <f>YEAR(Table6[[#This Row],[Date]])</f>
        <v>2025</v>
      </c>
      <c r="D20" s="102" t="s">
        <v>265</v>
      </c>
      <c r="E20" s="258">
        <f>Table6[[#This Row],[Date]]-DAY(Table6[[#This Row],[Date]])+1</f>
        <v>45748</v>
      </c>
      <c r="F20" s="259">
        <v>45749</v>
      </c>
      <c r="G20" s="35" t="s">
        <v>132</v>
      </c>
      <c r="H20" s="35" t="str">
        <f>IFERROR(_xlfn.XLOOKUP(Table6[[#This Row],[Affected WTG]],'Basic Data'!$A:$A,'Basic Data'!$B:$B),"")</f>
        <v>TQGXIIPL</v>
      </c>
      <c r="I20" s="35" t="str">
        <f>IFERROR(_xlfn.XLOOKUP(Table6[[#This Row],[Affected WTG]],'Basic Data'!$A:$A,'Basic Data'!$C:$C),"")</f>
        <v>GEDA</v>
      </c>
      <c r="J20" s="260">
        <f>IFERROR(_xlfn.XLOOKUP(Table6[[#This Row],[Affected WTG]],'Basic Data'!$A:$A,'Basic Data'!$E:$E),"")</f>
        <v>3.846153846153845E-2</v>
      </c>
      <c r="K20" s="102">
        <v>3110</v>
      </c>
      <c r="L20" s="35" t="str">
        <f>IFERROR(_xlfn.XLOOKUP(Table6[[#This Row],[Error Code]],'Basic Data'!$AA:$AA,'Basic Data'!$AB:$AB),"Incorrect Error Code")</f>
        <v>Frequency converter error</v>
      </c>
      <c r="M20" s="35" t="s">
        <v>266</v>
      </c>
      <c r="N20" s="264"/>
      <c r="O20" s="265">
        <v>0.74375000000000002</v>
      </c>
      <c r="P20" s="265">
        <v>0.74375000000000002</v>
      </c>
      <c r="Q20" s="266">
        <v>0.74722222222222223</v>
      </c>
      <c r="R20" s="261">
        <f>IF(Table6[[#This Row],[Work Start TimeStamp]]="","",(Table6[[#This Row],[Work Start TimeStamp]]-Table6[[#This Row],[Fault Start TimeStamp]])*24)</f>
        <v>0</v>
      </c>
      <c r="S20" s="261">
        <f>(Table6[[#This Row],[Fault Clearance time]]-Table6[[#This Row],[Work Start TimeStamp]])*24</f>
        <v>8.3333333333333037E-2</v>
      </c>
      <c r="T20" s="261">
        <f>(Table6[[#This Row],[Fault Clearance time]]-Table6[[#This Row],[Fault Start TimeStamp]])*24</f>
        <v>8.3333333333333037E-2</v>
      </c>
      <c r="U20" s="35" t="s">
        <v>275</v>
      </c>
      <c r="V20" s="102" t="s">
        <v>268</v>
      </c>
      <c r="W20" s="267">
        <f>IFERROR(Table6[[#This Row],[Breakdown Time]]*Table6[[#This Row],[Plant Equivalent Weightage]],"")</f>
        <v>3.2051282051281929E-3</v>
      </c>
      <c r="X20" s="262" t="s">
        <v>269</v>
      </c>
      <c r="Y20" s="263" t="s">
        <v>120</v>
      </c>
      <c r="Z20" s="102">
        <v>10737</v>
      </c>
      <c r="AA20" s="257">
        <f>(Table6[[#This Row],[Paired WTG Generation for loss calculation]]/24)*Table6[[#This Row],[Breakdown Time]]</f>
        <v>37.281249999999865</v>
      </c>
      <c r="AB20" s="102"/>
      <c r="AC20" s="35"/>
      <c r="AD20" s="35"/>
    </row>
    <row r="21" spans="1:30">
      <c r="A21" s="102">
        <f t="shared" si="1"/>
        <v>20</v>
      </c>
      <c r="B21" s="257">
        <f>YEAR(Table6[[#This Row],[Date]])+IF(MONTH(Table6[[#This Row],[Date]])&gt;=4,1,0)</f>
        <v>2026</v>
      </c>
      <c r="C21" s="102">
        <f>YEAR(Table6[[#This Row],[Date]])</f>
        <v>2025</v>
      </c>
      <c r="D21" s="102" t="s">
        <v>265</v>
      </c>
      <c r="E21" s="258">
        <f>Table6[[#This Row],[Date]]-DAY(Table6[[#This Row],[Date]])+1</f>
        <v>45748</v>
      </c>
      <c r="F21" s="259">
        <v>45749</v>
      </c>
      <c r="G21" s="35" t="s">
        <v>137</v>
      </c>
      <c r="H21" s="35" t="str">
        <f>IFERROR(_xlfn.XLOOKUP(Table6[[#This Row],[Affected WTG]],'Basic Data'!$A:$A,'Basic Data'!$B:$B),"")</f>
        <v>TQGXIIPL</v>
      </c>
      <c r="I21" s="35" t="str">
        <f>IFERROR(_xlfn.XLOOKUP(Table6[[#This Row],[Affected WTG]],'Basic Data'!$A:$A,'Basic Data'!$C:$C),"")</f>
        <v>GEDA</v>
      </c>
      <c r="J21" s="260">
        <f>IFERROR(_xlfn.XLOOKUP(Table6[[#This Row],[Affected WTG]],'Basic Data'!$A:$A,'Basic Data'!$E:$E),"")</f>
        <v>3.846153846153845E-2</v>
      </c>
      <c r="K21" s="102">
        <v>3110</v>
      </c>
      <c r="L21" s="35" t="str">
        <f>IFERROR(_xlfn.XLOOKUP(Table6[[#This Row],[Error Code]],'Basic Data'!$AA:$AA,'Basic Data'!$AB:$AB),"Incorrect Error Code")</f>
        <v>Frequency converter error</v>
      </c>
      <c r="M21" s="35" t="s">
        <v>266</v>
      </c>
      <c r="N21" s="264"/>
      <c r="O21" s="265">
        <v>0.74375000000000002</v>
      </c>
      <c r="P21" s="265">
        <v>0.74375000000000002</v>
      </c>
      <c r="Q21" s="266">
        <v>0.74513888888888891</v>
      </c>
      <c r="R21" s="261">
        <f>IF(Table6[[#This Row],[Work Start TimeStamp]]="","",(Table6[[#This Row],[Work Start TimeStamp]]-Table6[[#This Row],[Fault Start TimeStamp]])*24)</f>
        <v>0</v>
      </c>
      <c r="S21" s="261">
        <f>(Table6[[#This Row],[Fault Clearance time]]-Table6[[#This Row],[Work Start TimeStamp]])*24</f>
        <v>3.3333333333333215E-2</v>
      </c>
      <c r="T21" s="261">
        <f>(Table6[[#This Row],[Fault Clearance time]]-Table6[[#This Row],[Fault Start TimeStamp]])*24</f>
        <v>3.3333333333333215E-2</v>
      </c>
      <c r="U21" s="35" t="s">
        <v>275</v>
      </c>
      <c r="V21" s="102" t="s">
        <v>268</v>
      </c>
      <c r="W21" s="267">
        <f>IFERROR(Table6[[#This Row],[Breakdown Time]]*Table6[[#This Row],[Plant Equivalent Weightage]],"")</f>
        <v>1.2820512820512771E-3</v>
      </c>
      <c r="X21" s="262" t="s">
        <v>269</v>
      </c>
      <c r="Y21" s="263" t="s">
        <v>125</v>
      </c>
      <c r="Z21" s="102">
        <v>12012</v>
      </c>
      <c r="AA21" s="257">
        <f>(Table6[[#This Row],[Paired WTG Generation for loss calculation]]/24)*Table6[[#This Row],[Breakdown Time]]</f>
        <v>16.683333333333273</v>
      </c>
      <c r="AB21" s="102"/>
      <c r="AC21" s="35"/>
      <c r="AD21" s="35"/>
    </row>
    <row r="22" spans="1:30">
      <c r="A22" s="102">
        <f t="shared" si="1"/>
        <v>21</v>
      </c>
      <c r="B22" s="257">
        <f>YEAR(Table6[[#This Row],[Date]])+IF(MONTH(Table6[[#This Row],[Date]])&gt;=4,1,0)</f>
        <v>2026</v>
      </c>
      <c r="C22" s="102">
        <f>YEAR(Table6[[#This Row],[Date]])</f>
        <v>2025</v>
      </c>
      <c r="D22" s="102" t="s">
        <v>265</v>
      </c>
      <c r="E22" s="258">
        <f>Table6[[#This Row],[Date]]-DAY(Table6[[#This Row],[Date]])+1</f>
        <v>45748</v>
      </c>
      <c r="F22" s="259">
        <v>45749</v>
      </c>
      <c r="G22" s="35" t="s">
        <v>139</v>
      </c>
      <c r="H22" s="35" t="str">
        <f>IFERROR(_xlfn.XLOOKUP(Table6[[#This Row],[Affected WTG]],'Basic Data'!$A:$A,'Basic Data'!$B:$B),"")</f>
        <v>TQGXIIPL</v>
      </c>
      <c r="I22" s="35" t="str">
        <f>IFERROR(_xlfn.XLOOKUP(Table6[[#This Row],[Affected WTG]],'Basic Data'!$A:$A,'Basic Data'!$C:$C),"")</f>
        <v>GEDA</v>
      </c>
      <c r="J22" s="260">
        <f>IFERROR(_xlfn.XLOOKUP(Table6[[#This Row],[Affected WTG]],'Basic Data'!$A:$A,'Basic Data'!$E:$E),"")</f>
        <v>3.846153846153845E-2</v>
      </c>
      <c r="K22" s="102">
        <v>6007</v>
      </c>
      <c r="L22" s="35" t="str">
        <f>IFERROR(_xlfn.XLOOKUP(Table6[[#This Row],[Error Code]],'Basic Data'!$AA:$AA,'Basic Data'!$AB:$AB),"Incorrect Error Code")</f>
        <v>Overload yaw motors group 1</v>
      </c>
      <c r="M22" s="35" t="s">
        <v>266</v>
      </c>
      <c r="N22" s="264"/>
      <c r="O22" s="265">
        <v>0.56805555555555554</v>
      </c>
      <c r="P22" s="265">
        <v>0.60833333333333328</v>
      </c>
      <c r="Q22" s="266">
        <v>0.64166666666666672</v>
      </c>
      <c r="R22" s="261">
        <f>IF(Table6[[#This Row],[Work Start TimeStamp]]="","",(Table6[[#This Row],[Work Start TimeStamp]]-Table6[[#This Row],[Fault Start TimeStamp]])*24)</f>
        <v>0.9666666666666659</v>
      </c>
      <c r="S22" s="261">
        <f>(Table6[[#This Row],[Fault Clearance time]]-Table6[[#This Row],[Work Start TimeStamp]])*24</f>
        <v>0.80000000000000249</v>
      </c>
      <c r="T22" s="261">
        <f>(Table6[[#This Row],[Fault Clearance time]]-Table6[[#This Row],[Fault Start TimeStamp]])*24</f>
        <v>1.7666666666666684</v>
      </c>
      <c r="U22" s="35" t="s">
        <v>282</v>
      </c>
      <c r="V22" s="102" t="s">
        <v>268</v>
      </c>
      <c r="W22" s="267">
        <f>IFERROR(Table6[[#This Row],[Breakdown Time]]*Table6[[#This Row],[Plant Equivalent Weightage]],"")</f>
        <v>6.7948717948717999E-2</v>
      </c>
      <c r="X22" s="262" t="s">
        <v>269</v>
      </c>
      <c r="Y22" s="263" t="s">
        <v>115</v>
      </c>
      <c r="Z22" s="102">
        <v>15390</v>
      </c>
      <c r="AA22" s="257">
        <f>(Table6[[#This Row],[Paired WTG Generation for loss calculation]]/24)*Table6[[#This Row],[Breakdown Time]]</f>
        <v>1132.8750000000011</v>
      </c>
      <c r="AB22" s="102"/>
      <c r="AC22" s="35"/>
      <c r="AD22" s="35"/>
    </row>
    <row r="23" spans="1:30">
      <c r="A23" s="102">
        <f t="shared" si="1"/>
        <v>22</v>
      </c>
      <c r="B23" s="257">
        <f>YEAR(Table6[[#This Row],[Date]])+IF(MONTH(Table6[[#This Row],[Date]])&gt;=4,1,0)</f>
        <v>2026</v>
      </c>
      <c r="C23" s="102">
        <f>YEAR(Table6[[#This Row],[Date]])</f>
        <v>2025</v>
      </c>
      <c r="D23" s="102" t="s">
        <v>265</v>
      </c>
      <c r="E23" s="258">
        <f>Table6[[#This Row],[Date]]-DAY(Table6[[#This Row],[Date]])+1</f>
        <v>45748</v>
      </c>
      <c r="F23" s="259">
        <v>45749</v>
      </c>
      <c r="G23" s="35" t="s">
        <v>140</v>
      </c>
      <c r="H23" s="35" t="str">
        <f>IFERROR(_xlfn.XLOOKUP(Table6[[#This Row],[Affected WTG]],'Basic Data'!$A:$A,'Basic Data'!$B:$B),"")</f>
        <v>TQGXIIPL</v>
      </c>
      <c r="I23" s="35" t="str">
        <f>IFERROR(_xlfn.XLOOKUP(Table6[[#This Row],[Affected WTG]],'Basic Data'!$A:$A,'Basic Data'!$C:$C),"")</f>
        <v>GEDA</v>
      </c>
      <c r="J23" s="260">
        <f>IFERROR(_xlfn.XLOOKUP(Table6[[#This Row],[Affected WTG]],'Basic Data'!$A:$A,'Basic Data'!$E:$E),"")</f>
        <v>3.846153846153845E-2</v>
      </c>
      <c r="K23" s="102">
        <v>3110</v>
      </c>
      <c r="L23" s="35" t="str">
        <f>IFERROR(_xlfn.XLOOKUP(Table6[[#This Row],[Error Code]],'Basic Data'!$AA:$AA,'Basic Data'!$AB:$AB),"Incorrect Error Code")</f>
        <v>Frequency converter error</v>
      </c>
      <c r="M23" s="35" t="s">
        <v>266</v>
      </c>
      <c r="N23" s="264"/>
      <c r="O23" s="265">
        <v>0.74375000000000002</v>
      </c>
      <c r="P23" s="265">
        <v>0.74375000000000002</v>
      </c>
      <c r="Q23" s="266">
        <v>0.74722222222222223</v>
      </c>
      <c r="R23" s="261">
        <f>IF(Table6[[#This Row],[Work Start TimeStamp]]="","",(Table6[[#This Row],[Work Start TimeStamp]]-Table6[[#This Row],[Fault Start TimeStamp]])*24)</f>
        <v>0</v>
      </c>
      <c r="S23" s="261">
        <f>(Table6[[#This Row],[Fault Clearance time]]-Table6[[#This Row],[Work Start TimeStamp]])*24</f>
        <v>8.3333333333333037E-2</v>
      </c>
      <c r="T23" s="261">
        <f>(Table6[[#This Row],[Fault Clearance time]]-Table6[[#This Row],[Fault Start TimeStamp]])*24</f>
        <v>8.3333333333333037E-2</v>
      </c>
      <c r="U23" s="35" t="s">
        <v>267</v>
      </c>
      <c r="V23" s="102" t="s">
        <v>268</v>
      </c>
      <c r="W23" s="267">
        <f>IFERROR(Table6[[#This Row],[Breakdown Time]]*Table6[[#This Row],[Plant Equivalent Weightage]],"")</f>
        <v>3.2051282051281929E-3</v>
      </c>
      <c r="X23" s="262" t="s">
        <v>269</v>
      </c>
      <c r="Y23" s="263" t="s">
        <v>115</v>
      </c>
      <c r="Z23" s="102">
        <v>15390</v>
      </c>
      <c r="AA23" s="257">
        <f>(Table6[[#This Row],[Paired WTG Generation for loss calculation]]/24)*Table6[[#This Row],[Breakdown Time]]</f>
        <v>53.437499999999808</v>
      </c>
      <c r="AB23" s="102"/>
      <c r="AC23" s="35"/>
      <c r="AD23" s="35"/>
    </row>
    <row r="24" spans="1:30">
      <c r="A24" s="102">
        <f t="shared" si="1"/>
        <v>23</v>
      </c>
      <c r="B24" s="257">
        <f>YEAR(Table6[[#This Row],[Date]])+IF(MONTH(Table6[[#This Row],[Date]])&gt;=4,1,0)</f>
        <v>2026</v>
      </c>
      <c r="C24" s="102">
        <f>YEAR(Table6[[#This Row],[Date]])</f>
        <v>2025</v>
      </c>
      <c r="D24" s="102" t="s">
        <v>265</v>
      </c>
      <c r="E24" s="258">
        <f>Table6[[#This Row],[Date]]-DAY(Table6[[#This Row],[Date]])+1</f>
        <v>45748</v>
      </c>
      <c r="F24" s="259">
        <v>45750</v>
      </c>
      <c r="G24" s="35" t="s">
        <v>115</v>
      </c>
      <c r="H24" s="35" t="str">
        <f>IFERROR(_xlfn.XLOOKUP(Table6[[#This Row],[Affected WTG]],'Basic Data'!$A:$A,'Basic Data'!$B:$B),"")</f>
        <v>TQGXIIPL</v>
      </c>
      <c r="I24" s="35" t="str">
        <f>IFERROR(_xlfn.XLOOKUP(Table6[[#This Row],[Affected WTG]],'Basic Data'!$A:$A,'Basic Data'!$C:$C),"")</f>
        <v>GEDA</v>
      </c>
      <c r="J24" s="260">
        <f>IFERROR(_xlfn.XLOOKUP(Table6[[#This Row],[Affected WTG]],'Basic Data'!$A:$A,'Basic Data'!$E:$E),"")</f>
        <v>3.846153846153845E-2</v>
      </c>
      <c r="K24" s="102">
        <v>55</v>
      </c>
      <c r="L24" s="35" t="str">
        <f>IFERROR(_xlfn.XLOOKUP(Table6[[#This Row],[Error Code]],'Basic Data'!$AA:$AA,'Basic Data'!$AB:$AB),"Incorrect Error Code")</f>
        <v>WTG shut down</v>
      </c>
      <c r="M24" s="35" t="s">
        <v>271</v>
      </c>
      <c r="N24" s="264"/>
      <c r="O24" s="265">
        <v>0.38124999999999998</v>
      </c>
      <c r="P24" s="265">
        <v>0.38124999999999998</v>
      </c>
      <c r="Q24" s="266">
        <v>0.77777777777777779</v>
      </c>
      <c r="R24" s="261">
        <f>IF(Table6[[#This Row],[Work Start TimeStamp]]="","",(Table6[[#This Row],[Work Start TimeStamp]]-Table6[[#This Row],[Fault Start TimeStamp]])*24)</f>
        <v>0</v>
      </c>
      <c r="S24" s="261">
        <f>(Table6[[#This Row],[Fault Clearance time]]-Table6[[#This Row],[Work Start TimeStamp]])*24</f>
        <v>9.5166666666666675</v>
      </c>
      <c r="T24" s="261">
        <f>(Table6[[#This Row],[Fault Clearance time]]-Table6[[#This Row],[Fault Start TimeStamp]])*24</f>
        <v>9.5166666666666675</v>
      </c>
      <c r="U24" s="35" t="s">
        <v>272</v>
      </c>
      <c r="V24" s="102" t="s">
        <v>268</v>
      </c>
      <c r="W24" s="267">
        <f>IFERROR(Table6[[#This Row],[Breakdown Time]]*Table6[[#This Row],[Plant Equivalent Weightage]],"")</f>
        <v>0.36602564102564095</v>
      </c>
      <c r="X24" s="262" t="s">
        <v>273</v>
      </c>
      <c r="Y24" s="263" t="s">
        <v>140</v>
      </c>
      <c r="Z24" s="102">
        <v>13667</v>
      </c>
      <c r="AA24" s="257">
        <f>(Table6[[#This Row],[Paired WTG Generation for loss calculation]]/24)*Table6[[#This Row],[Breakdown Time]]</f>
        <v>5419.3451388888898</v>
      </c>
      <c r="AB24" s="102"/>
      <c r="AC24" s="35"/>
      <c r="AD24" s="35"/>
    </row>
    <row r="25" spans="1:30">
      <c r="A25" s="102">
        <f t="shared" si="1"/>
        <v>24</v>
      </c>
      <c r="B25" s="257">
        <f>YEAR(Table6[[#This Row],[Date]])+IF(MONTH(Table6[[#This Row],[Date]])&gt;=4,1,0)</f>
        <v>2026</v>
      </c>
      <c r="C25" s="102">
        <f>YEAR(Table6[[#This Row],[Date]])</f>
        <v>2025</v>
      </c>
      <c r="D25" s="102" t="s">
        <v>265</v>
      </c>
      <c r="E25" s="258">
        <f>Table6[[#This Row],[Date]]-DAY(Table6[[#This Row],[Date]])+1</f>
        <v>45748</v>
      </c>
      <c r="F25" s="259">
        <v>45750</v>
      </c>
      <c r="G25" s="35" t="s">
        <v>121</v>
      </c>
      <c r="H25" s="35" t="str">
        <f>IFERROR(_xlfn.XLOOKUP(Table6[[#This Row],[Affected WTG]],'Basic Data'!$A:$A,'Basic Data'!$B:$B),"")</f>
        <v>TQGXIIPL</v>
      </c>
      <c r="I25" s="35" t="str">
        <f>IFERROR(_xlfn.XLOOKUP(Table6[[#This Row],[Affected WTG]],'Basic Data'!$A:$A,'Basic Data'!$C:$C),"")</f>
        <v>GEDA</v>
      </c>
      <c r="J25" s="260">
        <f>IFERROR(_xlfn.XLOOKUP(Table6[[#This Row],[Affected WTG]],'Basic Data'!$A:$A,'Basic Data'!$E:$E),"")</f>
        <v>3.846153846153845E-2</v>
      </c>
      <c r="K25" s="102">
        <v>175</v>
      </c>
      <c r="L25" s="35" t="str">
        <f>IFERROR(_xlfn.XLOOKUP(Table6[[#This Row],[Error Code]],'Basic Data'!$AA:$AA,'Basic Data'!$AB:$AB),"Incorrect Error Code")</f>
        <v>SLC error</v>
      </c>
      <c r="M25" s="35" t="s">
        <v>266</v>
      </c>
      <c r="N25" s="264"/>
      <c r="O25" s="265">
        <v>0.5</v>
      </c>
      <c r="P25" s="265">
        <v>0.5</v>
      </c>
      <c r="Q25" s="266">
        <v>0.50277777777777777</v>
      </c>
      <c r="R25" s="261">
        <f>IF(Table6[[#This Row],[Work Start TimeStamp]]="","",(Table6[[#This Row],[Work Start TimeStamp]]-Table6[[#This Row],[Fault Start TimeStamp]])*24)</f>
        <v>0</v>
      </c>
      <c r="S25" s="261">
        <f>(Table6[[#This Row],[Fault Clearance time]]-Table6[[#This Row],[Work Start TimeStamp]])*24</f>
        <v>6.666666666666643E-2</v>
      </c>
      <c r="T25" s="261">
        <f>(Table6[[#This Row],[Fault Clearance time]]-Table6[[#This Row],[Fault Start TimeStamp]])*24</f>
        <v>6.666666666666643E-2</v>
      </c>
      <c r="U25" s="35" t="s">
        <v>267</v>
      </c>
      <c r="V25" s="102" t="s">
        <v>268</v>
      </c>
      <c r="W25" s="267">
        <f>IFERROR(Table6[[#This Row],[Breakdown Time]]*Table6[[#This Row],[Plant Equivalent Weightage]],"")</f>
        <v>2.5641025641025541E-3</v>
      </c>
      <c r="X25" s="262" t="s">
        <v>269</v>
      </c>
      <c r="Y25" s="263" t="s">
        <v>118</v>
      </c>
      <c r="Z25" s="102">
        <v>11906</v>
      </c>
      <c r="AA25" s="257">
        <f>(Table6[[#This Row],[Paired WTG Generation for loss calculation]]/24)*Table6[[#This Row],[Breakdown Time]]</f>
        <v>33.072222222222102</v>
      </c>
      <c r="AB25" s="102"/>
      <c r="AC25" s="35"/>
      <c r="AD25" s="35"/>
    </row>
    <row r="26" spans="1:30">
      <c r="A26" s="102">
        <f t="shared" si="1"/>
        <v>25</v>
      </c>
      <c r="B26" s="257">
        <f>YEAR(Table6[[#This Row],[Date]])+IF(MONTH(Table6[[#This Row],[Date]])&gt;=4,1,0)</f>
        <v>2026</v>
      </c>
      <c r="C26" s="102">
        <f>YEAR(Table6[[#This Row],[Date]])</f>
        <v>2025</v>
      </c>
      <c r="D26" s="102" t="s">
        <v>265</v>
      </c>
      <c r="E26" s="258">
        <f>Table6[[#This Row],[Date]]-DAY(Table6[[#This Row],[Date]])+1</f>
        <v>45748</v>
      </c>
      <c r="F26" s="259">
        <v>45750</v>
      </c>
      <c r="G26" s="35" t="s">
        <v>122</v>
      </c>
      <c r="H26" s="35" t="str">
        <f>IFERROR(_xlfn.XLOOKUP(Table6[[#This Row],[Affected WTG]],'Basic Data'!$A:$A,'Basic Data'!$B:$B),"")</f>
        <v>TQGXIIPL</v>
      </c>
      <c r="I26" s="35" t="str">
        <f>IFERROR(_xlfn.XLOOKUP(Table6[[#This Row],[Affected WTG]],'Basic Data'!$A:$A,'Basic Data'!$C:$C),"")</f>
        <v>GEDA</v>
      </c>
      <c r="J26" s="260">
        <f>IFERROR(_xlfn.XLOOKUP(Table6[[#This Row],[Affected WTG]],'Basic Data'!$A:$A,'Basic Data'!$E:$E),"")</f>
        <v>3.846153846153845E-2</v>
      </c>
      <c r="K26" s="102">
        <v>153</v>
      </c>
      <c r="L26" s="35" t="str">
        <f>IFERROR(_xlfn.XLOOKUP(Table6[[#This Row],[Error Code]],'Basic Data'!$AA:$AA,'Basic Data'!$AB:$AB),"Incorrect Error Code")</f>
        <v>SLC SF max. cable winding</v>
      </c>
      <c r="M26" s="35" t="s">
        <v>266</v>
      </c>
      <c r="N26" s="264"/>
      <c r="O26" s="265">
        <v>0.94097222222222221</v>
      </c>
      <c r="P26" s="265">
        <v>0.94097222222222221</v>
      </c>
      <c r="Q26" s="266">
        <v>0.95694444444444449</v>
      </c>
      <c r="R26" s="261">
        <f>IF(Table6[[#This Row],[Work Start TimeStamp]]="","",(Table6[[#This Row],[Work Start TimeStamp]]-Table6[[#This Row],[Fault Start TimeStamp]])*24)</f>
        <v>0</v>
      </c>
      <c r="S26" s="261">
        <f>(Table6[[#This Row],[Fault Clearance time]]-Table6[[#This Row],[Work Start TimeStamp]])*24</f>
        <v>0.38333333333333464</v>
      </c>
      <c r="T26" s="261">
        <f>(Table6[[#This Row],[Fault Clearance time]]-Table6[[#This Row],[Fault Start TimeStamp]])*24</f>
        <v>0.38333333333333464</v>
      </c>
      <c r="U26" s="35" t="s">
        <v>283</v>
      </c>
      <c r="V26" s="102" t="s">
        <v>268</v>
      </c>
      <c r="W26" s="267">
        <f>IFERROR(Table6[[#This Row],[Breakdown Time]]*Table6[[#This Row],[Plant Equivalent Weightage]],"")</f>
        <v>1.4743589743589788E-2</v>
      </c>
      <c r="X26" s="262" t="s">
        <v>269</v>
      </c>
      <c r="Y26" s="263" t="s">
        <v>140</v>
      </c>
      <c r="Z26" s="102">
        <v>13667</v>
      </c>
      <c r="AA26" s="257">
        <f>(Table6[[#This Row],[Paired WTG Generation for loss calculation]]/24)*Table6[[#This Row],[Breakdown Time]]</f>
        <v>218.29236111111186</v>
      </c>
      <c r="AB26" s="102"/>
      <c r="AC26" s="35"/>
      <c r="AD26" s="35"/>
    </row>
    <row r="27" spans="1:30">
      <c r="A27" s="102">
        <f t="shared" si="1"/>
        <v>26</v>
      </c>
      <c r="B27" s="257">
        <f>YEAR(Table6[[#This Row],[Date]])+IF(MONTH(Table6[[#This Row],[Date]])&gt;=4,1,0)</f>
        <v>2026</v>
      </c>
      <c r="C27" s="102">
        <f>YEAR(Table6[[#This Row],[Date]])</f>
        <v>2025</v>
      </c>
      <c r="D27" s="102" t="s">
        <v>265</v>
      </c>
      <c r="E27" s="258">
        <f>Table6[[#This Row],[Date]]-DAY(Table6[[#This Row],[Date]])+1</f>
        <v>45748</v>
      </c>
      <c r="F27" s="259">
        <v>45750</v>
      </c>
      <c r="G27" s="35" t="s">
        <v>124</v>
      </c>
      <c r="H27" s="35" t="str">
        <f>IFERROR(_xlfn.XLOOKUP(Table6[[#This Row],[Affected WTG]],'Basic Data'!$A:$A,'Basic Data'!$B:$B),"")</f>
        <v>TQGXIIPL</v>
      </c>
      <c r="I27" s="35" t="str">
        <f>IFERROR(_xlfn.XLOOKUP(Table6[[#This Row],[Affected WTG]],'Basic Data'!$A:$A,'Basic Data'!$C:$C),"")</f>
        <v>GEDA</v>
      </c>
      <c r="J27" s="260">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278</v>
      </c>
      <c r="N27" s="264"/>
      <c r="O27" s="265">
        <v>0.45902777777777776</v>
      </c>
      <c r="P27" s="265">
        <v>0.45902777777777776</v>
      </c>
      <c r="Q27" s="266">
        <v>0.4597222222222222</v>
      </c>
      <c r="R27" s="261">
        <f>IF(Table6[[#This Row],[Work Start TimeStamp]]="","",(Table6[[#This Row],[Work Start TimeStamp]]-Table6[[#This Row],[Fault Start TimeStamp]])*24)</f>
        <v>0</v>
      </c>
      <c r="S27" s="261">
        <f>(Table6[[#This Row],[Fault Clearance time]]-Table6[[#This Row],[Work Start TimeStamp]])*24</f>
        <v>1.6666666666666607E-2</v>
      </c>
      <c r="T27" s="261">
        <f>(Table6[[#This Row],[Fault Clearance time]]-Table6[[#This Row],[Fault Start TimeStamp]])*24</f>
        <v>1.6666666666666607E-2</v>
      </c>
      <c r="U27" s="35" t="s">
        <v>277</v>
      </c>
      <c r="V27" s="102" t="s">
        <v>268</v>
      </c>
      <c r="W27" s="267">
        <f>IFERROR(Table6[[#This Row],[Breakdown Time]]*Table6[[#This Row],[Plant Equivalent Weightage]],"")</f>
        <v>6.4102564102563853E-4</v>
      </c>
      <c r="X27" s="262" t="s">
        <v>269</v>
      </c>
      <c r="Y27" s="263" t="s">
        <v>129</v>
      </c>
      <c r="Z27" s="102">
        <v>16142</v>
      </c>
      <c r="AA27" s="257">
        <f>(Table6[[#This Row],[Paired WTG Generation for loss calculation]]/24)*Table6[[#This Row],[Breakdown Time]]</f>
        <v>11.209722222222183</v>
      </c>
      <c r="AB27" s="102"/>
      <c r="AC27" s="35"/>
      <c r="AD27" s="35"/>
    </row>
    <row r="28" spans="1:30">
      <c r="A28" s="102">
        <f t="shared" si="1"/>
        <v>27</v>
      </c>
      <c r="B28" s="257">
        <f>YEAR(Table6[[#This Row],[Date]])+IF(MONTH(Table6[[#This Row],[Date]])&gt;=4,1,0)</f>
        <v>2026</v>
      </c>
      <c r="C28" s="102">
        <f>YEAR(Table6[[#This Row],[Date]])</f>
        <v>2025</v>
      </c>
      <c r="D28" s="102" t="s">
        <v>265</v>
      </c>
      <c r="E28" s="258">
        <f>Table6[[#This Row],[Date]]-DAY(Table6[[#This Row],[Date]])+1</f>
        <v>45748</v>
      </c>
      <c r="F28" s="259">
        <v>45750</v>
      </c>
      <c r="G28" s="35" t="s">
        <v>124</v>
      </c>
      <c r="H28" s="35" t="str">
        <f>IFERROR(_xlfn.XLOOKUP(Table6[[#This Row],[Affected WTG]],'Basic Data'!$A:$A,'Basic Data'!$B:$B),"")</f>
        <v>TQGXIIPL</v>
      </c>
      <c r="I28" s="35" t="str">
        <f>IFERROR(_xlfn.XLOOKUP(Table6[[#This Row],[Affected WTG]],'Basic Data'!$A:$A,'Basic Data'!$C:$C),"")</f>
        <v>GEDA</v>
      </c>
      <c r="J28" s="260">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278</v>
      </c>
      <c r="N28" s="264"/>
      <c r="O28" s="265">
        <v>0.46736111111111112</v>
      </c>
      <c r="P28" s="265">
        <v>0.46736111111111112</v>
      </c>
      <c r="Q28" s="266">
        <v>0.46805555555555556</v>
      </c>
      <c r="R28" s="261">
        <f>IF(Table6[[#This Row],[Work Start TimeStamp]]="","",(Table6[[#This Row],[Work Start TimeStamp]]-Table6[[#This Row],[Fault Start TimeStamp]])*24)</f>
        <v>0</v>
      </c>
      <c r="S28" s="261">
        <f>(Table6[[#This Row],[Fault Clearance time]]-Table6[[#This Row],[Work Start TimeStamp]])*24</f>
        <v>1.6666666666666607E-2</v>
      </c>
      <c r="T28" s="261">
        <f>(Table6[[#This Row],[Fault Clearance time]]-Table6[[#This Row],[Fault Start TimeStamp]])*24</f>
        <v>1.6666666666666607E-2</v>
      </c>
      <c r="U28" s="35" t="s">
        <v>277</v>
      </c>
      <c r="V28" s="102" t="s">
        <v>268</v>
      </c>
      <c r="W28" s="267">
        <f>IFERROR(Table6[[#This Row],[Breakdown Time]]*Table6[[#This Row],[Plant Equivalent Weightage]],"")</f>
        <v>6.4102564102563853E-4</v>
      </c>
      <c r="X28" s="262" t="s">
        <v>269</v>
      </c>
      <c r="Y28" s="263" t="s">
        <v>129</v>
      </c>
      <c r="Z28" s="102">
        <v>16142</v>
      </c>
      <c r="AA28" s="257">
        <f>(Table6[[#This Row],[Paired WTG Generation for loss calculation]]/24)*Table6[[#This Row],[Breakdown Time]]</f>
        <v>11.209722222222183</v>
      </c>
      <c r="AB28" s="102"/>
      <c r="AC28" s="35"/>
      <c r="AD28" s="35"/>
    </row>
    <row r="29" spans="1:30">
      <c r="A29" s="102">
        <f t="shared" si="1"/>
        <v>28</v>
      </c>
      <c r="B29" s="257">
        <f>YEAR(Table6[[#This Row],[Date]])+IF(MONTH(Table6[[#This Row],[Date]])&gt;=4,1,0)</f>
        <v>2026</v>
      </c>
      <c r="C29" s="102">
        <f>YEAR(Table6[[#This Row],[Date]])</f>
        <v>2025</v>
      </c>
      <c r="D29" s="102" t="s">
        <v>265</v>
      </c>
      <c r="E29" s="258">
        <f>Table6[[#This Row],[Date]]-DAY(Table6[[#This Row],[Date]])+1</f>
        <v>45748</v>
      </c>
      <c r="F29" s="259">
        <v>45750</v>
      </c>
      <c r="G29" s="35" t="s">
        <v>128</v>
      </c>
      <c r="H29" s="35" t="str">
        <f>IFERROR(_xlfn.XLOOKUP(Table6[[#This Row],[Affected WTG]],'Basic Data'!$A:$A,'Basic Data'!$B:$B),"")</f>
        <v>TQGXIIPL</v>
      </c>
      <c r="I29" s="35" t="str">
        <f>IFERROR(_xlfn.XLOOKUP(Table6[[#This Row],[Affected WTG]],'Basic Data'!$A:$A,'Basic Data'!$C:$C),"")</f>
        <v>GEDA</v>
      </c>
      <c r="J29" s="260">
        <f>IFERROR(_xlfn.XLOOKUP(Table6[[#This Row],[Affected WTG]],'Basic Data'!$A:$A,'Basic Data'!$E:$E),"")</f>
        <v>3.846153846153845E-2</v>
      </c>
      <c r="K29" s="102">
        <v>3211</v>
      </c>
      <c r="L29" s="35" t="str">
        <f>IFERROR(_xlfn.XLOOKUP(Table6[[#This Row],[Error Code]],'Basic Data'!$AA:$AA,'Basic Data'!$AB:$AB),"Incorrect Error Code")</f>
        <v>Conv. load shedding (CAN)</v>
      </c>
      <c r="M29" s="35" t="s">
        <v>266</v>
      </c>
      <c r="N29" s="264"/>
      <c r="O29" s="265">
        <v>0.52777777777777779</v>
      </c>
      <c r="P29" s="265">
        <v>0.52777777777777779</v>
      </c>
      <c r="Q29" s="266">
        <v>0.53680555555555554</v>
      </c>
      <c r="R29" s="261">
        <f>IF(Table6[[#This Row],[Work Start TimeStamp]]="","",(Table6[[#This Row],[Work Start TimeStamp]]-Table6[[#This Row],[Fault Start TimeStamp]])*24)</f>
        <v>0</v>
      </c>
      <c r="S29" s="261">
        <f>(Table6[[#This Row],[Fault Clearance time]]-Table6[[#This Row],[Work Start TimeStamp]])*24</f>
        <v>0.2166666666666659</v>
      </c>
      <c r="T29" s="261">
        <f>(Table6[[#This Row],[Fault Clearance time]]-Table6[[#This Row],[Fault Start TimeStamp]])*24</f>
        <v>0.2166666666666659</v>
      </c>
      <c r="U29" s="35" t="s">
        <v>284</v>
      </c>
      <c r="V29" s="102" t="s">
        <v>268</v>
      </c>
      <c r="W29" s="267">
        <f>IFERROR(Table6[[#This Row],[Breakdown Time]]*Table6[[#This Row],[Plant Equivalent Weightage]],"")</f>
        <v>8.333333333333302E-3</v>
      </c>
      <c r="X29" s="262" t="s">
        <v>269</v>
      </c>
      <c r="Y29" s="263" t="s">
        <v>126</v>
      </c>
      <c r="Z29" s="102">
        <v>14465</v>
      </c>
      <c r="AA29" s="257">
        <f>(Table6[[#This Row],[Paired WTG Generation for loss calculation]]/24)*Table6[[#This Row],[Breakdown Time]]</f>
        <v>130.58680555555509</v>
      </c>
      <c r="AB29" s="102"/>
      <c r="AC29" s="35"/>
      <c r="AD29" s="35"/>
    </row>
    <row r="30" spans="1:30">
      <c r="A30" s="102">
        <f t="shared" si="1"/>
        <v>29</v>
      </c>
      <c r="B30" s="257">
        <f>YEAR(Table6[[#This Row],[Date]])+IF(MONTH(Table6[[#This Row],[Date]])&gt;=4,1,0)</f>
        <v>2026</v>
      </c>
      <c r="C30" s="102">
        <f>YEAR(Table6[[#This Row],[Date]])</f>
        <v>2025</v>
      </c>
      <c r="D30" s="102" t="s">
        <v>265</v>
      </c>
      <c r="E30" s="258">
        <f>Table6[[#This Row],[Date]]-DAY(Table6[[#This Row],[Date]])+1</f>
        <v>45748</v>
      </c>
      <c r="F30" s="259">
        <v>45750</v>
      </c>
      <c r="G30" s="35" t="s">
        <v>130</v>
      </c>
      <c r="H30" s="35" t="str">
        <f>IFERROR(_xlfn.XLOOKUP(Table6[[#This Row],[Affected WTG]],'Basic Data'!$A:$A,'Basic Data'!$B:$B),"")</f>
        <v>TQGXIIPL</v>
      </c>
      <c r="I30" s="35" t="str">
        <f>IFERROR(_xlfn.XLOOKUP(Table6[[#This Row],[Affected WTG]],'Basic Data'!$A:$A,'Basic Data'!$C:$C),"")</f>
        <v>GEDA</v>
      </c>
      <c r="J30" s="260">
        <f>IFERROR(_xlfn.XLOOKUP(Table6[[#This Row],[Affected WTG]],'Basic Data'!$A:$A,'Basic Data'!$E:$E),"")</f>
        <v>3.846153846153845E-2</v>
      </c>
      <c r="K30" s="102">
        <v>3000</v>
      </c>
      <c r="L30" s="35" t="str">
        <f>IFERROR(_xlfn.XLOOKUP(Table6[[#This Row],[Error Code]],'Basic Data'!$AA:$AA,'Basic Data'!$AB:$AB),"Incorrect Error Code")</f>
        <v>Frequency converter not ready</v>
      </c>
      <c r="M30" s="35" t="s">
        <v>266</v>
      </c>
      <c r="N30" s="264"/>
      <c r="O30" s="265">
        <v>0.44791666666666669</v>
      </c>
      <c r="P30" s="265">
        <v>0.44791666666666669</v>
      </c>
      <c r="Q30" s="266">
        <v>0.66111111111111109</v>
      </c>
      <c r="R30" s="261">
        <f>IF(Table6[[#This Row],[Work Start TimeStamp]]="","",(Table6[[#This Row],[Work Start TimeStamp]]-Table6[[#This Row],[Fault Start TimeStamp]])*24)</f>
        <v>0</v>
      </c>
      <c r="S30" s="261">
        <f>(Table6[[#This Row],[Fault Clearance time]]-Table6[[#This Row],[Work Start TimeStamp]])*24</f>
        <v>5.1166666666666654</v>
      </c>
      <c r="T30" s="261">
        <f>(Table6[[#This Row],[Fault Clearance time]]-Table6[[#This Row],[Fault Start TimeStamp]])*24</f>
        <v>5.1166666666666654</v>
      </c>
      <c r="U30" s="35" t="s">
        <v>285</v>
      </c>
      <c r="V30" s="102" t="s">
        <v>268</v>
      </c>
      <c r="W30" s="267">
        <f>IFERROR(Table6[[#This Row],[Breakdown Time]]*Table6[[#This Row],[Plant Equivalent Weightage]],"")</f>
        <v>0.19679487179487168</v>
      </c>
      <c r="X30" s="262" t="s">
        <v>269</v>
      </c>
      <c r="Y30" s="263" t="s">
        <v>135</v>
      </c>
      <c r="Z30" s="102">
        <v>11665</v>
      </c>
      <c r="AA30" s="257">
        <f>(Table6[[#This Row],[Paired WTG Generation for loss calculation]]/24)*Table6[[#This Row],[Breakdown Time]]</f>
        <v>2486.9131944444439</v>
      </c>
      <c r="AB30" s="102"/>
      <c r="AC30" s="35"/>
      <c r="AD30" s="35"/>
    </row>
    <row r="31" spans="1:30">
      <c r="A31" s="102">
        <f t="shared" si="1"/>
        <v>30</v>
      </c>
      <c r="B31" s="257">
        <f>YEAR(Table6[[#This Row],[Date]])+IF(MONTH(Table6[[#This Row],[Date]])&gt;=4,1,0)</f>
        <v>2026</v>
      </c>
      <c r="C31" s="102">
        <f>YEAR(Table6[[#This Row],[Date]])</f>
        <v>2025</v>
      </c>
      <c r="D31" s="102" t="s">
        <v>265</v>
      </c>
      <c r="E31" s="258">
        <f>Table6[[#This Row],[Date]]-DAY(Table6[[#This Row],[Date]])+1</f>
        <v>45748</v>
      </c>
      <c r="F31" s="259">
        <v>45751</v>
      </c>
      <c r="G31" s="35" t="s">
        <v>115</v>
      </c>
      <c r="H31" s="35" t="str">
        <f>IFERROR(_xlfn.XLOOKUP(Table6[[#This Row],[Affected WTG]],'Basic Data'!$A:$A,'Basic Data'!$B:$B),"")</f>
        <v>TQGXIIPL</v>
      </c>
      <c r="I31" s="35" t="str">
        <f>IFERROR(_xlfn.XLOOKUP(Table6[[#This Row],[Affected WTG]],'Basic Data'!$A:$A,'Basic Data'!$C:$C),"")</f>
        <v>GEDA</v>
      </c>
      <c r="J31" s="260">
        <f>IFERROR(_xlfn.XLOOKUP(Table6[[#This Row],[Affected WTG]],'Basic Data'!$A:$A,'Basic Data'!$E:$E),"")</f>
        <v>3.846153846153845E-2</v>
      </c>
      <c r="K31" s="102">
        <v>5550</v>
      </c>
      <c r="L31" s="35" t="str">
        <f>IFERROR(_xlfn.XLOOKUP(Table6[[#This Row],[Error Code]],'Basic Data'!$AA:$AA,'Basic Data'!$AB:$AB),"Incorrect Error Code")</f>
        <v>Low hydraulic oil level</v>
      </c>
      <c r="M31" s="35" t="s">
        <v>266</v>
      </c>
      <c r="N31" s="264"/>
      <c r="O31" s="265">
        <v>0.17083333333333334</v>
      </c>
      <c r="P31" s="265">
        <v>0.17083333333333334</v>
      </c>
      <c r="Q31" s="266">
        <v>0.26250000000000001</v>
      </c>
      <c r="R31" s="261">
        <f>IF(Table6[[#This Row],[Work Start TimeStamp]]="","",(Table6[[#This Row],[Work Start TimeStamp]]-Table6[[#This Row],[Fault Start TimeStamp]])*24)</f>
        <v>0</v>
      </c>
      <c r="S31" s="261">
        <f>(Table6[[#This Row],[Fault Clearance time]]-Table6[[#This Row],[Work Start TimeStamp]])*24</f>
        <v>2.2000000000000002</v>
      </c>
      <c r="T31" s="261">
        <f>(Table6[[#This Row],[Fault Clearance time]]-Table6[[#This Row],[Fault Start TimeStamp]])*24</f>
        <v>2.2000000000000002</v>
      </c>
      <c r="U31" s="35" t="s">
        <v>286</v>
      </c>
      <c r="V31" s="102" t="s">
        <v>268</v>
      </c>
      <c r="W31" s="267">
        <f>IFERROR(Table6[[#This Row],[Breakdown Time]]*Table6[[#This Row],[Plant Equivalent Weightage]],"")</f>
        <v>8.4615384615384592E-2</v>
      </c>
      <c r="X31" s="262" t="s">
        <v>269</v>
      </c>
      <c r="Y31" s="263" t="s">
        <v>140</v>
      </c>
      <c r="Z31" s="102">
        <v>7143</v>
      </c>
      <c r="AA31" s="257">
        <f>(Table6[[#This Row],[Paired WTG Generation for loss calculation]]/24)*Table6[[#This Row],[Breakdown Time]]</f>
        <v>654.77500000000009</v>
      </c>
      <c r="AB31" s="102"/>
      <c r="AC31" s="35"/>
      <c r="AD31" s="35"/>
    </row>
    <row r="32" spans="1:30">
      <c r="A32" s="102">
        <f t="shared" si="1"/>
        <v>31</v>
      </c>
      <c r="B32" s="257">
        <f>YEAR(Table6[[#This Row],[Date]])+IF(MONTH(Table6[[#This Row],[Date]])&gt;=4,1,0)</f>
        <v>2026</v>
      </c>
      <c r="C32" s="102">
        <f>YEAR(Table6[[#This Row],[Date]])</f>
        <v>2025</v>
      </c>
      <c r="D32" s="102" t="s">
        <v>265</v>
      </c>
      <c r="E32" s="258">
        <f>Table6[[#This Row],[Date]]-DAY(Table6[[#This Row],[Date]])+1</f>
        <v>45748</v>
      </c>
      <c r="F32" s="259">
        <v>45751</v>
      </c>
      <c r="G32" s="35" t="s">
        <v>115</v>
      </c>
      <c r="H32" s="35" t="str">
        <f>IFERROR(_xlfn.XLOOKUP(Table6[[#This Row],[Affected WTG]],'Basic Data'!$A:$A,'Basic Data'!$B:$B),"")</f>
        <v>TQGXIIPL</v>
      </c>
      <c r="I32" s="35" t="str">
        <f>IFERROR(_xlfn.XLOOKUP(Table6[[#This Row],[Affected WTG]],'Basic Data'!$A:$A,'Basic Data'!$C:$C),"")</f>
        <v>GEDA</v>
      </c>
      <c r="J32" s="260">
        <f>IFERROR(_xlfn.XLOOKUP(Table6[[#This Row],[Affected WTG]],'Basic Data'!$A:$A,'Basic Data'!$E:$E),"")</f>
        <v>3.846153846153845E-2</v>
      </c>
      <c r="K32" s="102">
        <v>55</v>
      </c>
      <c r="L32" s="35" t="str">
        <f>IFERROR(_xlfn.XLOOKUP(Table6[[#This Row],[Error Code]],'Basic Data'!$AA:$AA,'Basic Data'!$AB:$AB),"Incorrect Error Code")</f>
        <v>WTG shut down</v>
      </c>
      <c r="M32" s="35" t="s">
        <v>271</v>
      </c>
      <c r="N32" s="264"/>
      <c r="O32" s="265">
        <v>0.40972222222222221</v>
      </c>
      <c r="P32" s="265">
        <v>0.40972222222222221</v>
      </c>
      <c r="Q32" s="266">
        <v>0.64097222222222228</v>
      </c>
      <c r="R32" s="261">
        <f>IF(Table6[[#This Row],[Work Start TimeStamp]]="","",(Table6[[#This Row],[Work Start TimeStamp]]-Table6[[#This Row],[Fault Start TimeStamp]])*24)</f>
        <v>0</v>
      </c>
      <c r="S32" s="261">
        <f>(Table6[[#This Row],[Fault Clearance time]]-Table6[[#This Row],[Work Start TimeStamp]])*24</f>
        <v>5.5500000000000016</v>
      </c>
      <c r="T32" s="261">
        <f>(Table6[[#This Row],[Fault Clearance time]]-Table6[[#This Row],[Fault Start TimeStamp]])*24</f>
        <v>5.5500000000000016</v>
      </c>
      <c r="U32" s="35" t="s">
        <v>281</v>
      </c>
      <c r="V32" s="102" t="s">
        <v>268</v>
      </c>
      <c r="W32" s="267">
        <f>IFERROR(Table6[[#This Row],[Breakdown Time]]*Table6[[#This Row],[Plant Equivalent Weightage]],"")</f>
        <v>0.21346153846153845</v>
      </c>
      <c r="X32" s="262" t="s">
        <v>273</v>
      </c>
      <c r="Y32" s="263" t="s">
        <v>140</v>
      </c>
      <c r="Z32" s="102">
        <v>7143</v>
      </c>
      <c r="AA32" s="257">
        <f>(Table6[[#This Row],[Paired WTG Generation for loss calculation]]/24)*Table6[[#This Row],[Breakdown Time]]</f>
        <v>1651.8187500000004</v>
      </c>
      <c r="AB32" s="102"/>
      <c r="AC32" s="35"/>
      <c r="AD32" s="35"/>
    </row>
    <row r="33" spans="1:30">
      <c r="A33" s="102">
        <f t="shared" si="1"/>
        <v>32</v>
      </c>
      <c r="B33" s="257">
        <f>YEAR(Table6[[#This Row],[Date]])+IF(MONTH(Table6[[#This Row],[Date]])&gt;=4,1,0)</f>
        <v>2026</v>
      </c>
      <c r="C33" s="102">
        <f>YEAR(Table6[[#This Row],[Date]])</f>
        <v>2025</v>
      </c>
      <c r="D33" s="102" t="s">
        <v>265</v>
      </c>
      <c r="E33" s="258">
        <f>Table6[[#This Row],[Date]]-DAY(Table6[[#This Row],[Date]])+1</f>
        <v>45748</v>
      </c>
      <c r="F33" s="259">
        <v>45751</v>
      </c>
      <c r="G33" s="35" t="s">
        <v>119</v>
      </c>
      <c r="H33" s="35" t="str">
        <f>IFERROR(_xlfn.XLOOKUP(Table6[[#This Row],[Affected WTG]],'Basic Data'!$A:$A,'Basic Data'!$B:$B),"")</f>
        <v>TQGXIIPL</v>
      </c>
      <c r="I33" s="35" t="str">
        <f>IFERROR(_xlfn.XLOOKUP(Table6[[#This Row],[Affected WTG]],'Basic Data'!$A:$A,'Basic Data'!$C:$C),"")</f>
        <v>GEDA</v>
      </c>
      <c r="J33" s="260">
        <f>IFERROR(_xlfn.XLOOKUP(Table6[[#This Row],[Affected WTG]],'Basic Data'!$A:$A,'Basic Data'!$E:$E),"")</f>
        <v>3.846153846153845E-2</v>
      </c>
      <c r="K33" s="102">
        <v>3000</v>
      </c>
      <c r="L33" s="35" t="str">
        <f>IFERROR(_xlfn.XLOOKUP(Table6[[#This Row],[Error Code]],'Basic Data'!$AA:$AA,'Basic Data'!$AB:$AB),"Incorrect Error Code")</f>
        <v>Frequency converter not ready</v>
      </c>
      <c r="M33" s="35" t="s">
        <v>278</v>
      </c>
      <c r="N33" s="264"/>
      <c r="O33" s="265">
        <v>0.21180555555555555</v>
      </c>
      <c r="P33" s="265">
        <v>0.21180555555555555</v>
      </c>
      <c r="Q33" s="266">
        <v>0.21388888888888888</v>
      </c>
      <c r="R33" s="261">
        <f>IF(Table6[[#This Row],[Work Start TimeStamp]]="","",(Table6[[#This Row],[Work Start TimeStamp]]-Table6[[#This Row],[Fault Start TimeStamp]])*24)</f>
        <v>0</v>
      </c>
      <c r="S33" s="261">
        <f>(Table6[[#This Row],[Fault Clearance time]]-Table6[[#This Row],[Work Start TimeStamp]])*24</f>
        <v>4.9999999999999822E-2</v>
      </c>
      <c r="T33" s="261">
        <f>(Table6[[#This Row],[Fault Clearance time]]-Table6[[#This Row],[Fault Start TimeStamp]])*24</f>
        <v>4.9999999999999822E-2</v>
      </c>
      <c r="U33" s="35" t="s">
        <v>277</v>
      </c>
      <c r="V33" s="102" t="s">
        <v>268</v>
      </c>
      <c r="W33" s="267">
        <f>IFERROR(Table6[[#This Row],[Breakdown Time]]*Table6[[#This Row],[Plant Equivalent Weightage]],"")</f>
        <v>1.9230769230769156E-3</v>
      </c>
      <c r="X33" s="262" t="s">
        <v>269</v>
      </c>
      <c r="Y33" s="263" t="s">
        <v>116</v>
      </c>
      <c r="Z33" s="102">
        <v>13454</v>
      </c>
      <c r="AA33" s="257">
        <f>(Table6[[#This Row],[Paired WTG Generation for loss calculation]]/24)*Table6[[#This Row],[Breakdown Time]]</f>
        <v>28.029166666666569</v>
      </c>
      <c r="AB33" s="102"/>
      <c r="AC33" s="35"/>
      <c r="AD33" s="35"/>
    </row>
    <row r="34" spans="1:30">
      <c r="A34" s="102">
        <f t="shared" si="1"/>
        <v>33</v>
      </c>
      <c r="B34" s="257">
        <f>YEAR(Table6[[#This Row],[Date]])+IF(MONTH(Table6[[#This Row],[Date]])&gt;=4,1,0)</f>
        <v>2026</v>
      </c>
      <c r="C34" s="102">
        <f>YEAR(Table6[[#This Row],[Date]])</f>
        <v>2025</v>
      </c>
      <c r="D34" s="102" t="s">
        <v>265</v>
      </c>
      <c r="E34" s="258">
        <f>Table6[[#This Row],[Date]]-DAY(Table6[[#This Row],[Date]])+1</f>
        <v>45748</v>
      </c>
      <c r="F34" s="259">
        <v>45751</v>
      </c>
      <c r="G34" s="35" t="s">
        <v>122</v>
      </c>
      <c r="H34" s="35" t="str">
        <f>IFERROR(_xlfn.XLOOKUP(Table6[[#This Row],[Affected WTG]],'Basic Data'!$A:$A,'Basic Data'!$B:$B),"")</f>
        <v>TQGXIIPL</v>
      </c>
      <c r="I34" s="35" t="str">
        <f>IFERROR(_xlfn.XLOOKUP(Table6[[#This Row],[Affected WTG]],'Basic Data'!$A:$A,'Basic Data'!$C:$C),"")</f>
        <v>GEDA</v>
      </c>
      <c r="J34" s="260">
        <f>IFERROR(_xlfn.XLOOKUP(Table6[[#This Row],[Affected WTG]],'Basic Data'!$A:$A,'Basic Data'!$E:$E),"")</f>
        <v>3.846153846153845E-2</v>
      </c>
      <c r="K34" s="102">
        <v>4520</v>
      </c>
      <c r="L34" s="35" t="str">
        <f>IFERROR(_xlfn.XLOOKUP(Table6[[#This Row],[Error Code]],'Basic Data'!$AA:$AA,'Basic Data'!$AB:$AB),"Incorrect Error Code")</f>
        <v>Tower oscillation X level 1</v>
      </c>
      <c r="M34" s="35" t="s">
        <v>278</v>
      </c>
      <c r="N34" s="264"/>
      <c r="O34" s="265">
        <v>6.25E-2</v>
      </c>
      <c r="P34" s="265">
        <v>6.25E-2</v>
      </c>
      <c r="Q34" s="266">
        <v>7.013888888888889E-2</v>
      </c>
      <c r="R34" s="261">
        <f>IF(Table6[[#This Row],[Work Start TimeStamp]]="","",(Table6[[#This Row],[Work Start TimeStamp]]-Table6[[#This Row],[Fault Start TimeStamp]])*24)</f>
        <v>0</v>
      </c>
      <c r="S34" s="261">
        <f>(Table6[[#This Row],[Fault Clearance time]]-Table6[[#This Row],[Work Start TimeStamp]])*24</f>
        <v>0.18333333333333335</v>
      </c>
      <c r="T34" s="261">
        <f>(Table6[[#This Row],[Fault Clearance time]]-Table6[[#This Row],[Fault Start TimeStamp]])*24</f>
        <v>0.18333333333333335</v>
      </c>
      <c r="U34" s="35" t="s">
        <v>277</v>
      </c>
      <c r="V34" s="102" t="s">
        <v>268</v>
      </c>
      <c r="W34" s="267">
        <f>IFERROR(Table6[[#This Row],[Breakdown Time]]*Table6[[#This Row],[Plant Equivalent Weightage]],"")</f>
        <v>7.0512820512820496E-3</v>
      </c>
      <c r="X34" s="262" t="s">
        <v>269</v>
      </c>
      <c r="Y34" s="263" t="s">
        <v>140</v>
      </c>
      <c r="Z34" s="102">
        <v>7143</v>
      </c>
      <c r="AA34" s="257">
        <f>(Table6[[#This Row],[Paired WTG Generation for loss calculation]]/24)*Table6[[#This Row],[Breakdown Time]]</f>
        <v>54.564583333333339</v>
      </c>
      <c r="AB34" s="102"/>
      <c r="AC34" s="35"/>
      <c r="AD34" s="35"/>
    </row>
    <row r="35" spans="1:30">
      <c r="A35" s="102">
        <f t="shared" si="1"/>
        <v>34</v>
      </c>
      <c r="B35" s="257">
        <f>YEAR(Table6[[#This Row],[Date]])+IF(MONTH(Table6[[#This Row],[Date]])&gt;=4,1,0)</f>
        <v>2026</v>
      </c>
      <c r="C35" s="102">
        <f>YEAR(Table6[[#This Row],[Date]])</f>
        <v>2025</v>
      </c>
      <c r="D35" s="102" t="s">
        <v>265</v>
      </c>
      <c r="E35" s="258">
        <f>Table6[[#This Row],[Date]]-DAY(Table6[[#This Row],[Date]])+1</f>
        <v>45748</v>
      </c>
      <c r="F35" s="259">
        <v>45751</v>
      </c>
      <c r="G35" s="35" t="s">
        <v>122</v>
      </c>
      <c r="H35" s="35" t="str">
        <f>IFERROR(_xlfn.XLOOKUP(Table6[[#This Row],[Affected WTG]],'Basic Data'!$A:$A,'Basic Data'!$B:$B),"")</f>
        <v>TQGXIIPL</v>
      </c>
      <c r="I35" s="35" t="str">
        <f>IFERROR(_xlfn.XLOOKUP(Table6[[#This Row],[Affected WTG]],'Basic Data'!$A:$A,'Basic Data'!$C:$C),"")</f>
        <v>GEDA</v>
      </c>
      <c r="J35" s="260">
        <f>IFERROR(_xlfn.XLOOKUP(Table6[[#This Row],[Affected WTG]],'Basic Data'!$A:$A,'Basic Data'!$E:$E),"")</f>
        <v>3.846153846153845E-2</v>
      </c>
      <c r="K35" s="102">
        <v>4520</v>
      </c>
      <c r="L35" s="35" t="str">
        <f>IFERROR(_xlfn.XLOOKUP(Table6[[#This Row],[Error Code]],'Basic Data'!$AA:$AA,'Basic Data'!$AB:$AB),"Incorrect Error Code")</f>
        <v>Tower oscillation X level 1</v>
      </c>
      <c r="M35" s="35" t="s">
        <v>266</v>
      </c>
      <c r="N35" s="264"/>
      <c r="O35" s="265">
        <v>9.4444444444444442E-2</v>
      </c>
      <c r="P35" s="265">
        <v>9.4444444444444442E-2</v>
      </c>
      <c r="Q35" s="266">
        <v>0.11180555555555556</v>
      </c>
      <c r="R35" s="261">
        <f>IF(Table6[[#This Row],[Work Start TimeStamp]]="","",(Table6[[#This Row],[Work Start TimeStamp]]-Table6[[#This Row],[Fault Start TimeStamp]])*24)</f>
        <v>0</v>
      </c>
      <c r="S35" s="261">
        <f>(Table6[[#This Row],[Fault Clearance time]]-Table6[[#This Row],[Work Start TimeStamp]])*24</f>
        <v>0.41666666666666685</v>
      </c>
      <c r="T35" s="261">
        <f>(Table6[[#This Row],[Fault Clearance time]]-Table6[[#This Row],[Fault Start TimeStamp]])*24</f>
        <v>0.41666666666666685</v>
      </c>
      <c r="U35" s="35" t="s">
        <v>267</v>
      </c>
      <c r="V35" s="102" t="s">
        <v>268</v>
      </c>
      <c r="W35" s="267">
        <f>IFERROR(Table6[[#This Row],[Breakdown Time]]*Table6[[#This Row],[Plant Equivalent Weightage]],"")</f>
        <v>1.6025641025641028E-2</v>
      </c>
      <c r="X35" s="262" t="s">
        <v>269</v>
      </c>
      <c r="Y35" s="263" t="s">
        <v>140</v>
      </c>
      <c r="Z35" s="102">
        <v>7143</v>
      </c>
      <c r="AA35" s="257">
        <f>(Table6[[#This Row],[Paired WTG Generation for loss calculation]]/24)*Table6[[#This Row],[Breakdown Time]]</f>
        <v>124.01041666666673</v>
      </c>
      <c r="AB35" s="102"/>
      <c r="AC35" s="35"/>
      <c r="AD35" s="35"/>
    </row>
    <row r="36" spans="1:30">
      <c r="A36" s="102">
        <f t="shared" si="1"/>
        <v>35</v>
      </c>
      <c r="B36" s="257">
        <f>YEAR(Table6[[#This Row],[Date]])+IF(MONTH(Table6[[#This Row],[Date]])&gt;=4,1,0)</f>
        <v>2026</v>
      </c>
      <c r="C36" s="102">
        <f>YEAR(Table6[[#This Row],[Date]])</f>
        <v>2025</v>
      </c>
      <c r="D36" s="102" t="s">
        <v>265</v>
      </c>
      <c r="E36" s="258">
        <f>Table6[[#This Row],[Date]]-DAY(Table6[[#This Row],[Date]])+1</f>
        <v>45748</v>
      </c>
      <c r="F36" s="259">
        <v>45751</v>
      </c>
      <c r="G36" s="35" t="s">
        <v>122</v>
      </c>
      <c r="H36" s="35" t="str">
        <f>IFERROR(_xlfn.XLOOKUP(Table6[[#This Row],[Affected WTG]],'Basic Data'!$A:$A,'Basic Data'!$B:$B),"")</f>
        <v>TQGXIIPL</v>
      </c>
      <c r="I36" s="35" t="str">
        <f>IFERROR(_xlfn.XLOOKUP(Table6[[#This Row],[Affected WTG]],'Basic Data'!$A:$A,'Basic Data'!$C:$C),"")</f>
        <v>GEDA</v>
      </c>
      <c r="J36" s="260">
        <f>IFERROR(_xlfn.XLOOKUP(Table6[[#This Row],[Affected WTG]],'Basic Data'!$A:$A,'Basic Data'!$E:$E),"")</f>
        <v>3.846153846153845E-2</v>
      </c>
      <c r="K36" s="102">
        <v>153</v>
      </c>
      <c r="L36" s="35" t="str">
        <f>IFERROR(_xlfn.XLOOKUP(Table6[[#This Row],[Error Code]],'Basic Data'!$AA:$AA,'Basic Data'!$AB:$AB),"Incorrect Error Code")</f>
        <v>SLC SF max. cable winding</v>
      </c>
      <c r="M36" s="35" t="s">
        <v>266</v>
      </c>
      <c r="N36" s="264"/>
      <c r="O36" s="265">
        <v>0.95416666666666672</v>
      </c>
      <c r="P36" s="265">
        <v>0.95416666666666672</v>
      </c>
      <c r="Q36" s="266">
        <v>1</v>
      </c>
      <c r="R36" s="261">
        <f>IF(Table6[[#This Row],[Work Start TimeStamp]]="","",(Table6[[#This Row],[Work Start TimeStamp]]-Table6[[#This Row],[Fault Start TimeStamp]])*24)</f>
        <v>0</v>
      </c>
      <c r="S36" s="261">
        <f>(Table6[[#This Row],[Fault Clearance time]]-Table6[[#This Row],[Work Start TimeStamp]])*24</f>
        <v>1.0999999999999988</v>
      </c>
      <c r="T36" s="261">
        <f>(Table6[[#This Row],[Fault Clearance time]]-Table6[[#This Row],[Fault Start TimeStamp]])*24</f>
        <v>1.0999999999999988</v>
      </c>
      <c r="U36" s="35" t="s">
        <v>283</v>
      </c>
      <c r="V36" s="102" t="s">
        <v>268</v>
      </c>
      <c r="W36" s="267">
        <f>IFERROR(Table6[[#This Row],[Breakdown Time]]*Table6[[#This Row],[Plant Equivalent Weightage]],"")</f>
        <v>4.2307692307692248E-2</v>
      </c>
      <c r="X36" s="262" t="s">
        <v>269</v>
      </c>
      <c r="Y36" s="263" t="s">
        <v>140</v>
      </c>
      <c r="Z36" s="102">
        <v>7143</v>
      </c>
      <c r="AA36" s="257">
        <f>(Table6[[#This Row],[Paired WTG Generation for loss calculation]]/24)*Table6[[#This Row],[Breakdown Time]]</f>
        <v>327.38749999999965</v>
      </c>
      <c r="AB36" s="102"/>
      <c r="AC36" s="35"/>
      <c r="AD36" s="35"/>
    </row>
    <row r="37" spans="1:30">
      <c r="A37" s="102">
        <f t="shared" si="1"/>
        <v>36</v>
      </c>
      <c r="B37" s="257">
        <f>YEAR(Table6[[#This Row],[Date]])+IF(MONTH(Table6[[#This Row],[Date]])&gt;=4,1,0)</f>
        <v>2026</v>
      </c>
      <c r="C37" s="102">
        <f>YEAR(Table6[[#This Row],[Date]])</f>
        <v>2025</v>
      </c>
      <c r="D37" s="102" t="s">
        <v>265</v>
      </c>
      <c r="E37" s="258">
        <f>Table6[[#This Row],[Date]]-DAY(Table6[[#This Row],[Date]])+1</f>
        <v>45748</v>
      </c>
      <c r="F37" s="259">
        <v>45751</v>
      </c>
      <c r="G37" s="35" t="s">
        <v>126</v>
      </c>
      <c r="H37" s="35" t="str">
        <f>IFERROR(_xlfn.XLOOKUP(Table6[[#This Row],[Affected WTG]],'Basic Data'!$A:$A,'Basic Data'!$B:$B),"")</f>
        <v>TQGXIIPL</v>
      </c>
      <c r="I37" s="35" t="str">
        <f>IFERROR(_xlfn.XLOOKUP(Table6[[#This Row],[Affected WTG]],'Basic Data'!$A:$A,'Basic Data'!$C:$C),"")</f>
        <v>GEDA</v>
      </c>
      <c r="J37" s="260">
        <f>IFERROR(_xlfn.XLOOKUP(Table6[[#This Row],[Affected WTG]],'Basic Data'!$A:$A,'Basic Data'!$E:$E),"")</f>
        <v>3.846153846153845E-2</v>
      </c>
      <c r="K37" s="102">
        <v>5510</v>
      </c>
      <c r="L37" s="35" t="str">
        <f>IFERROR(_xlfn.XLOOKUP(Table6[[#This Row],[Error Code]],'Basic Data'!$AA:$AA,'Basic Data'!$AB:$AB),"Incorrect Error Code")</f>
        <v>Low hydraulic pressure</v>
      </c>
      <c r="M37" s="35" t="s">
        <v>266</v>
      </c>
      <c r="N37" s="264"/>
      <c r="O37" s="265">
        <v>0.19166666666666668</v>
      </c>
      <c r="P37" s="265">
        <v>0.19166666666666668</v>
      </c>
      <c r="Q37" s="266">
        <v>0.34375</v>
      </c>
      <c r="R37" s="261">
        <f>IF(Table6[[#This Row],[Work Start TimeStamp]]="","",(Table6[[#This Row],[Work Start TimeStamp]]-Table6[[#This Row],[Fault Start TimeStamp]])*24)</f>
        <v>0</v>
      </c>
      <c r="S37" s="261">
        <f>(Table6[[#This Row],[Fault Clearance time]]-Table6[[#This Row],[Work Start TimeStamp]])*24</f>
        <v>3.6499999999999995</v>
      </c>
      <c r="T37" s="261">
        <f>(Table6[[#This Row],[Fault Clearance time]]-Table6[[#This Row],[Fault Start TimeStamp]])*24</f>
        <v>3.6499999999999995</v>
      </c>
      <c r="U37" s="35" t="s">
        <v>287</v>
      </c>
      <c r="V37" s="102" t="s">
        <v>268</v>
      </c>
      <c r="W37" s="267">
        <f>IFERROR(Table6[[#This Row],[Breakdown Time]]*Table6[[#This Row],[Plant Equivalent Weightage]],"")</f>
        <v>0.14038461538461533</v>
      </c>
      <c r="X37" s="262" t="s">
        <v>269</v>
      </c>
      <c r="Y37" s="263" t="s">
        <v>128</v>
      </c>
      <c r="Z37" s="102">
        <v>9746</v>
      </c>
      <c r="AA37" s="257">
        <f>(Table6[[#This Row],[Paired WTG Generation for loss calculation]]/24)*Table6[[#This Row],[Breakdown Time]]</f>
        <v>1482.2041666666664</v>
      </c>
      <c r="AB37" s="102"/>
      <c r="AC37" s="35"/>
      <c r="AD37" s="35"/>
    </row>
    <row r="38" spans="1:30">
      <c r="A38" s="102">
        <f t="shared" si="1"/>
        <v>37</v>
      </c>
      <c r="B38" s="257">
        <f>YEAR(Table6[[#This Row],[Date]])+IF(MONTH(Table6[[#This Row],[Date]])&gt;=4,1,0)</f>
        <v>2026</v>
      </c>
      <c r="C38" s="102">
        <f>YEAR(Table6[[#This Row],[Date]])</f>
        <v>2025</v>
      </c>
      <c r="D38" s="102" t="s">
        <v>265</v>
      </c>
      <c r="E38" s="258">
        <f>Table6[[#This Row],[Date]]-DAY(Table6[[#This Row],[Date]])+1</f>
        <v>45748</v>
      </c>
      <c r="F38" s="259">
        <v>45751</v>
      </c>
      <c r="G38" s="35" t="s">
        <v>138</v>
      </c>
      <c r="H38" s="35" t="str">
        <f>IFERROR(_xlfn.XLOOKUP(Table6[[#This Row],[Affected WTG]],'Basic Data'!$A:$A,'Basic Data'!$B:$B),"")</f>
        <v>TQGXIIPL</v>
      </c>
      <c r="I38" s="35" t="str">
        <f>IFERROR(_xlfn.XLOOKUP(Table6[[#This Row],[Affected WTG]],'Basic Data'!$A:$A,'Basic Data'!$C:$C),"")</f>
        <v>GEDA</v>
      </c>
      <c r="J38" s="260">
        <f>IFERROR(_xlfn.XLOOKUP(Table6[[#This Row],[Affected WTG]],'Basic Data'!$A:$A,'Basic Data'!$E:$E),"")</f>
        <v>3.846153846153845E-2</v>
      </c>
      <c r="K38" s="102">
        <v>3211</v>
      </c>
      <c r="L38" s="35" t="str">
        <f>IFERROR(_xlfn.XLOOKUP(Table6[[#This Row],[Error Code]],'Basic Data'!$AA:$AA,'Basic Data'!$AB:$AB),"Incorrect Error Code")</f>
        <v>Conv. load shedding (CAN)</v>
      </c>
      <c r="M38" s="35" t="s">
        <v>278</v>
      </c>
      <c r="N38" s="264"/>
      <c r="O38" s="265">
        <v>0.48819444444444443</v>
      </c>
      <c r="P38" s="265">
        <v>0.48819444444444443</v>
      </c>
      <c r="Q38" s="266">
        <v>0.48958333333333331</v>
      </c>
      <c r="R38" s="261">
        <f>IF(Table6[[#This Row],[Work Start TimeStamp]]="","",(Table6[[#This Row],[Work Start TimeStamp]]-Table6[[#This Row],[Fault Start TimeStamp]])*24)</f>
        <v>0</v>
      </c>
      <c r="S38" s="261">
        <f>(Table6[[#This Row],[Fault Clearance time]]-Table6[[#This Row],[Work Start TimeStamp]])*24</f>
        <v>3.3333333333333215E-2</v>
      </c>
      <c r="T38" s="261">
        <f>(Table6[[#This Row],[Fault Clearance time]]-Table6[[#This Row],[Fault Start TimeStamp]])*24</f>
        <v>3.3333333333333215E-2</v>
      </c>
      <c r="U38" s="35" t="s">
        <v>277</v>
      </c>
      <c r="V38" s="102" t="s">
        <v>268</v>
      </c>
      <c r="W38" s="267">
        <f>IFERROR(Table6[[#This Row],[Breakdown Time]]*Table6[[#This Row],[Plant Equivalent Weightage]],"")</f>
        <v>1.2820512820512771E-3</v>
      </c>
      <c r="X38" s="262" t="s">
        <v>269</v>
      </c>
      <c r="Y38" s="263" t="s">
        <v>134</v>
      </c>
      <c r="Z38" s="102">
        <v>10901</v>
      </c>
      <c r="AA38" s="257">
        <f>(Table6[[#This Row],[Paired WTG Generation for loss calculation]]/24)*Table6[[#This Row],[Breakdown Time]]</f>
        <v>15.140277777777724</v>
      </c>
      <c r="AB38" s="102"/>
      <c r="AC38" s="35"/>
      <c r="AD38" s="35"/>
    </row>
    <row r="39" spans="1:30">
      <c r="A39" s="102">
        <f t="shared" si="1"/>
        <v>38</v>
      </c>
      <c r="B39" s="257">
        <f>YEAR(Table6[[#This Row],[Date]])+IF(MONTH(Table6[[#This Row],[Date]])&gt;=4,1,0)</f>
        <v>2026</v>
      </c>
      <c r="C39" s="102">
        <f>YEAR(Table6[[#This Row],[Date]])</f>
        <v>2025</v>
      </c>
      <c r="D39" s="102" t="s">
        <v>265</v>
      </c>
      <c r="E39" s="258">
        <f>Table6[[#This Row],[Date]]-DAY(Table6[[#This Row],[Date]])+1</f>
        <v>45748</v>
      </c>
      <c r="F39" s="259">
        <v>45751</v>
      </c>
      <c r="G39" s="35" t="s">
        <v>138</v>
      </c>
      <c r="H39" s="35" t="str">
        <f>IFERROR(_xlfn.XLOOKUP(Table6[[#This Row],[Affected WTG]],'Basic Data'!$A:$A,'Basic Data'!$B:$B),"")</f>
        <v>TQGXIIPL</v>
      </c>
      <c r="I39" s="35" t="str">
        <f>IFERROR(_xlfn.XLOOKUP(Table6[[#This Row],[Affected WTG]],'Basic Data'!$A:$A,'Basic Data'!$C:$C),"")</f>
        <v>GEDA</v>
      </c>
      <c r="J39" s="260">
        <f>IFERROR(_xlfn.XLOOKUP(Table6[[#This Row],[Affected WTG]],'Basic Data'!$A:$A,'Basic Data'!$E:$E),"")</f>
        <v>3.846153846153845E-2</v>
      </c>
      <c r="K39" s="102">
        <v>5510</v>
      </c>
      <c r="L39" s="35" t="str">
        <f>IFERROR(_xlfn.XLOOKUP(Table6[[#This Row],[Error Code]],'Basic Data'!$AA:$AA,'Basic Data'!$AB:$AB),"Incorrect Error Code")</f>
        <v>Low hydraulic pressure</v>
      </c>
      <c r="M39" s="35" t="s">
        <v>266</v>
      </c>
      <c r="N39" s="264"/>
      <c r="O39" s="265">
        <v>0.81597222222222221</v>
      </c>
      <c r="P39" s="265">
        <v>0.81597222222222221</v>
      </c>
      <c r="Q39" s="266">
        <v>1</v>
      </c>
      <c r="R39" s="261">
        <f>IF(Table6[[#This Row],[Work Start TimeStamp]]="","",(Table6[[#This Row],[Work Start TimeStamp]]-Table6[[#This Row],[Fault Start TimeStamp]])*24)</f>
        <v>0</v>
      </c>
      <c r="S39" s="261">
        <f>(Table6[[#This Row],[Fault Clearance time]]-Table6[[#This Row],[Work Start TimeStamp]])*24</f>
        <v>4.416666666666667</v>
      </c>
      <c r="T39" s="261">
        <f>(Table6[[#This Row],[Fault Clearance time]]-Table6[[#This Row],[Fault Start TimeStamp]])*24</f>
        <v>4.416666666666667</v>
      </c>
      <c r="U39" s="35" t="s">
        <v>288</v>
      </c>
      <c r="V39" s="102" t="s">
        <v>289</v>
      </c>
      <c r="W39" s="267">
        <f>IFERROR(Table6[[#This Row],[Breakdown Time]]*Table6[[#This Row],[Plant Equivalent Weightage]],"")</f>
        <v>0.16987179487179482</v>
      </c>
      <c r="X39" s="262" t="s">
        <v>269</v>
      </c>
      <c r="Y39" s="263" t="s">
        <v>134</v>
      </c>
      <c r="Z39" s="102">
        <v>10901</v>
      </c>
      <c r="AA39" s="257">
        <f>(Table6[[#This Row],[Paired WTG Generation for loss calculation]]/24)*Table6[[#This Row],[Breakdown Time]]</f>
        <v>2006.0868055555557</v>
      </c>
      <c r="AB39" s="102"/>
      <c r="AC39" s="35"/>
      <c r="AD39" s="35"/>
    </row>
    <row r="40" spans="1:30">
      <c r="A40" s="102">
        <f t="shared" si="1"/>
        <v>39</v>
      </c>
      <c r="B40" s="257">
        <f>YEAR(Table6[[#This Row],[Date]])+IF(MONTH(Table6[[#This Row],[Date]])&gt;=4,1,0)</f>
        <v>2026</v>
      </c>
      <c r="C40" s="102">
        <f>YEAR(Table6[[#This Row],[Date]])</f>
        <v>2025</v>
      </c>
      <c r="D40" s="102" t="s">
        <v>265</v>
      </c>
      <c r="E40" s="258">
        <f>Table6[[#This Row],[Date]]-DAY(Table6[[#This Row],[Date]])+1</f>
        <v>45748</v>
      </c>
      <c r="F40" s="259">
        <v>45752</v>
      </c>
      <c r="G40" s="35" t="s">
        <v>117</v>
      </c>
      <c r="H40" s="35" t="str">
        <f>IFERROR(_xlfn.XLOOKUP(Table6[[#This Row],[Affected WTG]],'Basic Data'!$A:$A,'Basic Data'!$B:$B),"")</f>
        <v>TQGXIIPL</v>
      </c>
      <c r="I40" s="35" t="str">
        <f>IFERROR(_xlfn.XLOOKUP(Table6[[#This Row],[Affected WTG]],'Basic Data'!$A:$A,'Basic Data'!$C:$C),"")</f>
        <v>GEDA</v>
      </c>
      <c r="J40" s="260">
        <f>IFERROR(_xlfn.XLOOKUP(Table6[[#This Row],[Affected WTG]],'Basic Data'!$A:$A,'Basic Data'!$E:$E),"")</f>
        <v>3.846153846153845E-2</v>
      </c>
      <c r="K40" s="102">
        <v>55</v>
      </c>
      <c r="L40" s="35" t="str">
        <f>IFERROR(_xlfn.XLOOKUP(Table6[[#This Row],[Error Code]],'Basic Data'!$AA:$AA,'Basic Data'!$AB:$AB),"Incorrect Error Code")</f>
        <v>WTG shut down</v>
      </c>
      <c r="M40" s="35" t="s">
        <v>271</v>
      </c>
      <c r="N40" s="264"/>
      <c r="O40" s="265">
        <v>0.25972222222222224</v>
      </c>
      <c r="P40" s="265">
        <v>0.25972222222222224</v>
      </c>
      <c r="Q40" s="266">
        <v>0.32291666666666669</v>
      </c>
      <c r="R40" s="261">
        <f>IF(Table6[[#This Row],[Work Start TimeStamp]]="","",(Table6[[#This Row],[Work Start TimeStamp]]-Table6[[#This Row],[Fault Start TimeStamp]])*24)</f>
        <v>0</v>
      </c>
      <c r="S40" s="261">
        <f>(Table6[[#This Row],[Fault Clearance time]]-Table6[[#This Row],[Work Start TimeStamp]])*24</f>
        <v>1.5166666666666666</v>
      </c>
      <c r="T40" s="261">
        <f>(Table6[[#This Row],[Fault Clearance time]]-Table6[[#This Row],[Fault Start TimeStamp]])*24</f>
        <v>1.5166666666666666</v>
      </c>
      <c r="U40" s="35" t="s">
        <v>272</v>
      </c>
      <c r="V40" s="102" t="s">
        <v>268</v>
      </c>
      <c r="W40" s="267">
        <f>IFERROR(Table6[[#This Row],[Breakdown Time]]*Table6[[#This Row],[Plant Equivalent Weightage]],"")</f>
        <v>5.8333333333333313E-2</v>
      </c>
      <c r="X40" s="262" t="s">
        <v>273</v>
      </c>
      <c r="Y40" s="263" t="s">
        <v>123</v>
      </c>
      <c r="Z40" s="102">
        <v>10832</v>
      </c>
      <c r="AA40" s="257">
        <f>(Table6[[#This Row],[Paired WTG Generation for loss calculation]]/24)*Table6[[#This Row],[Breakdown Time]]</f>
        <v>684.52222222222213</v>
      </c>
      <c r="AB40" s="102"/>
      <c r="AC40" s="35"/>
      <c r="AD40" s="35"/>
    </row>
    <row r="41" spans="1:30">
      <c r="A41" s="102">
        <f t="shared" si="1"/>
        <v>40</v>
      </c>
      <c r="B41" s="257">
        <f>YEAR(Table6[[#This Row],[Date]])+IF(MONTH(Table6[[#This Row],[Date]])&gt;=4,1,0)</f>
        <v>2026</v>
      </c>
      <c r="C41" s="102">
        <f>YEAR(Table6[[#This Row],[Date]])</f>
        <v>2025</v>
      </c>
      <c r="D41" s="102" t="s">
        <v>265</v>
      </c>
      <c r="E41" s="258">
        <f>Table6[[#This Row],[Date]]-DAY(Table6[[#This Row],[Date]])+1</f>
        <v>45748</v>
      </c>
      <c r="F41" s="259">
        <v>45752</v>
      </c>
      <c r="G41" s="35" t="s">
        <v>117</v>
      </c>
      <c r="H41" s="35" t="str">
        <f>IFERROR(_xlfn.XLOOKUP(Table6[[#This Row],[Affected WTG]],'Basic Data'!$A:$A,'Basic Data'!$B:$B),"")</f>
        <v>TQGXIIPL</v>
      </c>
      <c r="I41" s="35" t="str">
        <f>IFERROR(_xlfn.XLOOKUP(Table6[[#This Row],[Affected WTG]],'Basic Data'!$A:$A,'Basic Data'!$C:$C),"")</f>
        <v>GEDA</v>
      </c>
      <c r="J41" s="260">
        <f>IFERROR(_xlfn.XLOOKUP(Table6[[#This Row],[Affected WTG]],'Basic Data'!$A:$A,'Basic Data'!$E:$E),"")</f>
        <v>3.846153846153845E-2</v>
      </c>
      <c r="K41" s="102">
        <v>55</v>
      </c>
      <c r="L41" s="35" t="str">
        <f>IFERROR(_xlfn.XLOOKUP(Table6[[#This Row],[Error Code]],'Basic Data'!$AA:$AA,'Basic Data'!$AB:$AB),"Incorrect Error Code")</f>
        <v>WTG shut down</v>
      </c>
      <c r="M41" s="35" t="s">
        <v>271</v>
      </c>
      <c r="N41" s="264"/>
      <c r="O41" s="265">
        <v>0.34722222222222221</v>
      </c>
      <c r="P41" s="265">
        <v>0.34722222222222221</v>
      </c>
      <c r="Q41" s="266">
        <v>0.62083333333333335</v>
      </c>
      <c r="R41" s="261">
        <f>IF(Table6[[#This Row],[Work Start TimeStamp]]="","",(Table6[[#This Row],[Work Start TimeStamp]]-Table6[[#This Row],[Fault Start TimeStamp]])*24)</f>
        <v>0</v>
      </c>
      <c r="S41" s="261">
        <f>(Table6[[#This Row],[Fault Clearance time]]-Table6[[#This Row],[Work Start TimeStamp]])*24</f>
        <v>6.5666666666666673</v>
      </c>
      <c r="T41" s="261">
        <f>(Table6[[#This Row],[Fault Clearance time]]-Table6[[#This Row],[Fault Start TimeStamp]])*24</f>
        <v>6.5666666666666673</v>
      </c>
      <c r="U41" s="35" t="s">
        <v>272</v>
      </c>
      <c r="V41" s="102" t="s">
        <v>268</v>
      </c>
      <c r="W41" s="267">
        <f>IFERROR(Table6[[#This Row],[Breakdown Time]]*Table6[[#This Row],[Plant Equivalent Weightage]],"")</f>
        <v>0.2525641025641025</v>
      </c>
      <c r="X41" s="262" t="s">
        <v>273</v>
      </c>
      <c r="Y41" s="263" t="s">
        <v>123</v>
      </c>
      <c r="Z41" s="102">
        <v>10832</v>
      </c>
      <c r="AA41" s="257">
        <f>(Table6[[#This Row],[Paired WTG Generation for loss calculation]]/24)*Table6[[#This Row],[Breakdown Time]]</f>
        <v>2963.7555555555559</v>
      </c>
      <c r="AB41" s="102"/>
      <c r="AC41" s="35"/>
      <c r="AD41" s="35"/>
    </row>
    <row r="42" spans="1:30">
      <c r="A42" s="102">
        <f t="shared" si="1"/>
        <v>41</v>
      </c>
      <c r="B42" s="257">
        <f>YEAR(Table6[[#This Row],[Date]])+IF(MONTH(Table6[[#This Row],[Date]])&gt;=4,1,0)</f>
        <v>2026</v>
      </c>
      <c r="C42" s="102">
        <f>YEAR(Table6[[#This Row],[Date]])</f>
        <v>2025</v>
      </c>
      <c r="D42" s="102" t="s">
        <v>265</v>
      </c>
      <c r="E42" s="258">
        <f>Table6[[#This Row],[Date]]-DAY(Table6[[#This Row],[Date]])+1</f>
        <v>45748</v>
      </c>
      <c r="F42" s="259">
        <v>45752</v>
      </c>
      <c r="G42" s="35" t="s">
        <v>121</v>
      </c>
      <c r="H42" s="35" t="str">
        <f>IFERROR(_xlfn.XLOOKUP(Table6[[#This Row],[Affected WTG]],'Basic Data'!$A:$A,'Basic Data'!$B:$B),"")</f>
        <v>TQGXIIPL</v>
      </c>
      <c r="I42" s="35" t="str">
        <f>IFERROR(_xlfn.XLOOKUP(Table6[[#This Row],[Affected WTG]],'Basic Data'!$A:$A,'Basic Data'!$C:$C),"")</f>
        <v>GEDA</v>
      </c>
      <c r="J42" s="260">
        <f>IFERROR(_xlfn.XLOOKUP(Table6[[#This Row],[Affected WTG]],'Basic Data'!$A:$A,'Basic Data'!$E:$E),"")</f>
        <v>3.846153846153845E-2</v>
      </c>
      <c r="K42" s="102">
        <v>3110</v>
      </c>
      <c r="L42" s="35" t="str">
        <f>IFERROR(_xlfn.XLOOKUP(Table6[[#This Row],[Error Code]],'Basic Data'!$AA:$AA,'Basic Data'!$AB:$AB),"Incorrect Error Code")</f>
        <v>Frequency converter error</v>
      </c>
      <c r="M42" s="35" t="s">
        <v>266</v>
      </c>
      <c r="N42" s="264"/>
      <c r="O42" s="265">
        <v>0.92361111111111116</v>
      </c>
      <c r="P42" s="265">
        <v>0.92361111111111116</v>
      </c>
      <c r="Q42" s="266">
        <v>0.94722222222222219</v>
      </c>
      <c r="R42" s="261">
        <f>IF(Table6[[#This Row],[Work Start TimeStamp]]="","",(Table6[[#This Row],[Work Start TimeStamp]]-Table6[[#This Row],[Fault Start TimeStamp]])*24)</f>
        <v>0</v>
      </c>
      <c r="S42" s="261">
        <f>(Table6[[#This Row],[Fault Clearance time]]-Table6[[#This Row],[Work Start TimeStamp]])*24</f>
        <v>0.56666666666666465</v>
      </c>
      <c r="T42" s="261">
        <f>(Table6[[#This Row],[Fault Clearance time]]-Table6[[#This Row],[Fault Start TimeStamp]])*24</f>
        <v>0.56666666666666465</v>
      </c>
      <c r="U42" s="35" t="s">
        <v>283</v>
      </c>
      <c r="V42" s="102" t="s">
        <v>268</v>
      </c>
      <c r="W42" s="267">
        <f>IFERROR(Table6[[#This Row],[Breakdown Time]]*Table6[[#This Row],[Plant Equivalent Weightage]],"")</f>
        <v>2.1794871794871711E-2</v>
      </c>
      <c r="X42" s="262" t="s">
        <v>269</v>
      </c>
      <c r="Y42" s="263" t="s">
        <v>118</v>
      </c>
      <c r="Z42" s="102">
        <v>9733</v>
      </c>
      <c r="AA42" s="257">
        <f>(Table6[[#This Row],[Paired WTG Generation for loss calculation]]/24)*Table6[[#This Row],[Breakdown Time]]</f>
        <v>229.80694444444364</v>
      </c>
      <c r="AB42" s="102"/>
      <c r="AC42" s="35"/>
      <c r="AD42" s="35"/>
    </row>
    <row r="43" spans="1:30">
      <c r="A43" s="102">
        <f t="shared" si="1"/>
        <v>42</v>
      </c>
      <c r="B43" s="257">
        <f>YEAR(Table6[[#This Row],[Date]])+IF(MONTH(Table6[[#This Row],[Date]])&gt;=4,1,0)</f>
        <v>2026</v>
      </c>
      <c r="C43" s="102">
        <f>YEAR(Table6[[#This Row],[Date]])</f>
        <v>2025</v>
      </c>
      <c r="D43" s="102" t="s">
        <v>265</v>
      </c>
      <c r="E43" s="258">
        <f>Table6[[#This Row],[Date]]-DAY(Table6[[#This Row],[Date]])+1</f>
        <v>45748</v>
      </c>
      <c r="F43" s="259">
        <v>45752</v>
      </c>
      <c r="G43" s="35" t="s">
        <v>122</v>
      </c>
      <c r="H43" s="35" t="str">
        <f>IFERROR(_xlfn.XLOOKUP(Table6[[#This Row],[Affected WTG]],'Basic Data'!$A:$A,'Basic Data'!$B:$B),"")</f>
        <v>TQGXIIPL</v>
      </c>
      <c r="I43" s="35" t="str">
        <f>IFERROR(_xlfn.XLOOKUP(Table6[[#This Row],[Affected WTG]],'Basic Data'!$A:$A,'Basic Data'!$C:$C),"")</f>
        <v>GEDA</v>
      </c>
      <c r="J43" s="260">
        <f>IFERROR(_xlfn.XLOOKUP(Table6[[#This Row],[Affected WTG]],'Basic Data'!$A:$A,'Basic Data'!$E:$E),"")</f>
        <v>3.846153846153845E-2</v>
      </c>
      <c r="K43" s="102">
        <v>153</v>
      </c>
      <c r="L43" s="35" t="str">
        <f>IFERROR(_xlfn.XLOOKUP(Table6[[#This Row],[Error Code]],'Basic Data'!$AA:$AA,'Basic Data'!$AB:$AB),"Incorrect Error Code")</f>
        <v>SLC SF max. cable winding</v>
      </c>
      <c r="M43" s="35" t="s">
        <v>266</v>
      </c>
      <c r="N43" s="264"/>
      <c r="O43" s="265">
        <v>0</v>
      </c>
      <c r="P43" s="265">
        <v>0</v>
      </c>
      <c r="Q43" s="266">
        <v>6.1805555555555558E-2</v>
      </c>
      <c r="R43" s="261">
        <f>IF(Table6[[#This Row],[Work Start TimeStamp]]="","",(Table6[[#This Row],[Work Start TimeStamp]]-Table6[[#This Row],[Fault Start TimeStamp]])*24)</f>
        <v>0</v>
      </c>
      <c r="S43" s="261">
        <f>(Table6[[#This Row],[Fault Clearance time]]-Table6[[#This Row],[Work Start TimeStamp]])*24</f>
        <v>1.4833333333333334</v>
      </c>
      <c r="T43" s="261">
        <f>(Table6[[#This Row],[Fault Clearance time]]-Table6[[#This Row],[Fault Start TimeStamp]])*24</f>
        <v>1.4833333333333334</v>
      </c>
      <c r="U43" s="35" t="s">
        <v>283</v>
      </c>
      <c r="V43" s="102" t="s">
        <v>268</v>
      </c>
      <c r="W43" s="267">
        <f>IFERROR(Table6[[#This Row],[Breakdown Time]]*Table6[[#This Row],[Plant Equivalent Weightage]],"")</f>
        <v>5.7051282051282036E-2</v>
      </c>
      <c r="X43" s="262" t="s">
        <v>269</v>
      </c>
      <c r="Y43" s="263" t="s">
        <v>140</v>
      </c>
      <c r="Z43" s="102">
        <v>8683</v>
      </c>
      <c r="AA43" s="257">
        <f>(Table6[[#This Row],[Paired WTG Generation for loss calculation]]/24)*Table6[[#This Row],[Breakdown Time]]</f>
        <v>536.65763888888898</v>
      </c>
      <c r="AB43" s="102"/>
      <c r="AC43" s="35"/>
      <c r="AD43" s="35"/>
    </row>
    <row r="44" spans="1:30">
      <c r="A44" s="102">
        <f t="shared" si="1"/>
        <v>43</v>
      </c>
      <c r="B44" s="257">
        <f>YEAR(Table6[[#This Row],[Date]])+IF(MONTH(Table6[[#This Row],[Date]])&gt;=4,1,0)</f>
        <v>2026</v>
      </c>
      <c r="C44" s="102">
        <f>YEAR(Table6[[#This Row],[Date]])</f>
        <v>2025</v>
      </c>
      <c r="D44" s="102" t="s">
        <v>265</v>
      </c>
      <c r="E44" s="258">
        <f>Table6[[#This Row],[Date]]-DAY(Table6[[#This Row],[Date]])+1</f>
        <v>45748</v>
      </c>
      <c r="F44" s="259">
        <v>45752</v>
      </c>
      <c r="G44" s="35" t="s">
        <v>128</v>
      </c>
      <c r="H44" s="35" t="str">
        <f>IFERROR(_xlfn.XLOOKUP(Table6[[#This Row],[Affected WTG]],'Basic Data'!$A:$A,'Basic Data'!$B:$B),"")</f>
        <v>TQGXIIPL</v>
      </c>
      <c r="I44" s="35" t="str">
        <f>IFERROR(_xlfn.XLOOKUP(Table6[[#This Row],[Affected WTG]],'Basic Data'!$A:$A,'Basic Data'!$C:$C),"")</f>
        <v>GEDA</v>
      </c>
      <c r="J44" s="260">
        <f>IFERROR(_xlfn.XLOOKUP(Table6[[#This Row],[Affected WTG]],'Basic Data'!$A:$A,'Basic Data'!$E:$E),"")</f>
        <v>3.846153846153845E-2</v>
      </c>
      <c r="K44" s="102">
        <v>175</v>
      </c>
      <c r="L44" s="35" t="str">
        <f>IFERROR(_xlfn.XLOOKUP(Table6[[#This Row],[Error Code]],'Basic Data'!$AA:$AA,'Basic Data'!$AB:$AB),"Incorrect Error Code")</f>
        <v>SLC error</v>
      </c>
      <c r="M44" s="35" t="s">
        <v>278</v>
      </c>
      <c r="N44" s="264"/>
      <c r="O44" s="265">
        <v>0.29652777777777778</v>
      </c>
      <c r="P44" s="265">
        <v>0.29652777777777778</v>
      </c>
      <c r="Q44" s="266">
        <v>0.29722222222222222</v>
      </c>
      <c r="R44" s="261">
        <f>IF(Table6[[#This Row],[Work Start TimeStamp]]="","",(Table6[[#This Row],[Work Start TimeStamp]]-Table6[[#This Row],[Fault Start TimeStamp]])*24)</f>
        <v>0</v>
      </c>
      <c r="S44" s="261">
        <f>(Table6[[#This Row],[Fault Clearance time]]-Table6[[#This Row],[Work Start TimeStamp]])*24</f>
        <v>1.6666666666666607E-2</v>
      </c>
      <c r="T44" s="261">
        <f>(Table6[[#This Row],[Fault Clearance time]]-Table6[[#This Row],[Fault Start TimeStamp]])*24</f>
        <v>1.6666666666666607E-2</v>
      </c>
      <c r="U44" s="35" t="s">
        <v>290</v>
      </c>
      <c r="V44" s="102" t="s">
        <v>268</v>
      </c>
      <c r="W44" s="267">
        <f>IFERROR(Table6[[#This Row],[Breakdown Time]]*Table6[[#This Row],[Plant Equivalent Weightage]],"")</f>
        <v>6.4102564102563853E-4</v>
      </c>
      <c r="X44" s="262" t="s">
        <v>269</v>
      </c>
      <c r="Y44" s="263" t="s">
        <v>126</v>
      </c>
      <c r="Z44" s="102">
        <v>9113</v>
      </c>
      <c r="AA44" s="257">
        <f>(Table6[[#This Row],[Paired WTG Generation for loss calculation]]/24)*Table6[[#This Row],[Breakdown Time]]</f>
        <v>6.3284722222221994</v>
      </c>
      <c r="AB44" s="102"/>
      <c r="AC44" s="35"/>
      <c r="AD44" s="35"/>
    </row>
    <row r="45" spans="1:30">
      <c r="A45" s="102">
        <f t="shared" si="1"/>
        <v>44</v>
      </c>
      <c r="B45" s="257">
        <f>YEAR(Table6[[#This Row],[Date]])+IF(MONTH(Table6[[#This Row],[Date]])&gt;=4,1,0)</f>
        <v>2026</v>
      </c>
      <c r="C45" s="102">
        <f>YEAR(Table6[[#This Row],[Date]])</f>
        <v>2025</v>
      </c>
      <c r="D45" s="102" t="s">
        <v>265</v>
      </c>
      <c r="E45" s="258">
        <f>Table6[[#This Row],[Date]]-DAY(Table6[[#This Row],[Date]])+1</f>
        <v>45748</v>
      </c>
      <c r="F45" s="259">
        <v>45752</v>
      </c>
      <c r="G45" s="35" t="s">
        <v>137</v>
      </c>
      <c r="H45" s="35" t="str">
        <f>IFERROR(_xlfn.XLOOKUP(Table6[[#This Row],[Affected WTG]],'Basic Data'!$A:$A,'Basic Data'!$B:$B),"")</f>
        <v>TQGXIIPL</v>
      </c>
      <c r="I45" s="35" t="str">
        <f>IFERROR(_xlfn.XLOOKUP(Table6[[#This Row],[Affected WTG]],'Basic Data'!$A:$A,'Basic Data'!$C:$C),"")</f>
        <v>GEDA</v>
      </c>
      <c r="J45" s="260">
        <f>IFERROR(_xlfn.XLOOKUP(Table6[[#This Row],[Affected WTG]],'Basic Data'!$A:$A,'Basic Data'!$E:$E),"")</f>
        <v>3.846153846153845E-2</v>
      </c>
      <c r="K45" s="102">
        <v>3000</v>
      </c>
      <c r="L45" s="35" t="str">
        <f>IFERROR(_xlfn.XLOOKUP(Table6[[#This Row],[Error Code]],'Basic Data'!$AA:$AA,'Basic Data'!$AB:$AB),"Incorrect Error Code")</f>
        <v>Frequency converter not ready</v>
      </c>
      <c r="M45" s="35" t="s">
        <v>278</v>
      </c>
      <c r="N45" s="264"/>
      <c r="O45" s="265">
        <v>0.37291666666666667</v>
      </c>
      <c r="P45" s="265">
        <v>0.37291666666666667</v>
      </c>
      <c r="Q45" s="266">
        <v>0.375</v>
      </c>
      <c r="R45" s="261">
        <f>IF(Table6[[#This Row],[Work Start TimeStamp]]="","",(Table6[[#This Row],[Work Start TimeStamp]]-Table6[[#This Row],[Fault Start TimeStamp]])*24)</f>
        <v>0</v>
      </c>
      <c r="S45" s="261">
        <f>(Table6[[#This Row],[Fault Clearance time]]-Table6[[#This Row],[Work Start TimeStamp]])*24</f>
        <v>4.9999999999999822E-2</v>
      </c>
      <c r="T45" s="261">
        <f>(Table6[[#This Row],[Fault Clearance time]]-Table6[[#This Row],[Fault Start TimeStamp]])*24</f>
        <v>4.9999999999999822E-2</v>
      </c>
      <c r="U45" s="35" t="s">
        <v>277</v>
      </c>
      <c r="V45" s="102" t="s">
        <v>268</v>
      </c>
      <c r="W45" s="267">
        <f>IFERROR(Table6[[#This Row],[Breakdown Time]]*Table6[[#This Row],[Plant Equivalent Weightage]],"")</f>
        <v>1.9230769230769156E-3</v>
      </c>
      <c r="X45" s="262" t="s">
        <v>269</v>
      </c>
      <c r="Y45" s="263" t="s">
        <v>125</v>
      </c>
      <c r="Z45" s="102">
        <v>9830</v>
      </c>
      <c r="AA45" s="257">
        <f>(Table6[[#This Row],[Paired WTG Generation for loss calculation]]/24)*Table6[[#This Row],[Breakdown Time]]</f>
        <v>20.479166666666593</v>
      </c>
      <c r="AB45" s="102"/>
      <c r="AC45" s="35"/>
      <c r="AD45" s="35"/>
    </row>
    <row r="46" spans="1:30">
      <c r="A46" s="102">
        <f t="shared" si="1"/>
        <v>45</v>
      </c>
      <c r="B46" s="257">
        <f>YEAR(Table6[[#This Row],[Date]])+IF(MONTH(Table6[[#This Row],[Date]])&gt;=4,1,0)</f>
        <v>2026</v>
      </c>
      <c r="C46" s="102">
        <f>YEAR(Table6[[#This Row],[Date]])</f>
        <v>2025</v>
      </c>
      <c r="D46" s="102" t="s">
        <v>265</v>
      </c>
      <c r="E46" s="258">
        <f>Table6[[#This Row],[Date]]-DAY(Table6[[#This Row],[Date]])+1</f>
        <v>45748</v>
      </c>
      <c r="F46" s="259">
        <v>45752</v>
      </c>
      <c r="G46" s="35" t="s">
        <v>138</v>
      </c>
      <c r="H46" s="35" t="str">
        <f>IFERROR(_xlfn.XLOOKUP(Table6[[#This Row],[Affected WTG]],'Basic Data'!$A:$A,'Basic Data'!$B:$B),"")</f>
        <v>TQGXIIPL</v>
      </c>
      <c r="I46" s="35" t="str">
        <f>IFERROR(_xlfn.XLOOKUP(Table6[[#This Row],[Affected WTG]],'Basic Data'!$A:$A,'Basic Data'!$C:$C),"")</f>
        <v>GEDA</v>
      </c>
      <c r="J46" s="260">
        <f>IFERROR(_xlfn.XLOOKUP(Table6[[#This Row],[Affected WTG]],'Basic Data'!$A:$A,'Basic Data'!$E:$E),"")</f>
        <v>3.846153846153845E-2</v>
      </c>
      <c r="K46" s="102">
        <v>5510</v>
      </c>
      <c r="L46" s="35" t="str">
        <f>IFERROR(_xlfn.XLOOKUP(Table6[[#This Row],[Error Code]],'Basic Data'!$AA:$AA,'Basic Data'!$AB:$AB),"Incorrect Error Code")</f>
        <v>Low hydraulic pressure</v>
      </c>
      <c r="M46" s="35" t="s">
        <v>291</v>
      </c>
      <c r="N46" s="264"/>
      <c r="O46" s="265">
        <v>0</v>
      </c>
      <c r="P46" s="265">
        <v>0</v>
      </c>
      <c r="Q46" s="266">
        <v>0.69791666666666663</v>
      </c>
      <c r="R46" s="261">
        <f>IF(Table6[[#This Row],[Work Start TimeStamp]]="","",(Table6[[#This Row],[Work Start TimeStamp]]-Table6[[#This Row],[Fault Start TimeStamp]])*24)</f>
        <v>0</v>
      </c>
      <c r="S46" s="261">
        <f>(Table6[[#This Row],[Fault Clearance time]]-Table6[[#This Row],[Work Start TimeStamp]])*24</f>
        <v>16.75</v>
      </c>
      <c r="T46" s="261">
        <f>(Table6[[#This Row],[Fault Clearance time]]-Table6[[#This Row],[Fault Start TimeStamp]])*24</f>
        <v>16.75</v>
      </c>
      <c r="U46" s="35" t="s">
        <v>292</v>
      </c>
      <c r="V46" s="102" t="s">
        <v>268</v>
      </c>
      <c r="W46" s="267">
        <f>IFERROR(Table6[[#This Row],[Breakdown Time]]*Table6[[#This Row],[Plant Equivalent Weightage]],"")</f>
        <v>0.64423076923076905</v>
      </c>
      <c r="X46" s="262" t="s">
        <v>269</v>
      </c>
      <c r="Y46" s="263" t="s">
        <v>134</v>
      </c>
      <c r="Z46" s="102">
        <v>7721</v>
      </c>
      <c r="AA46" s="257">
        <f>(Table6[[#This Row],[Paired WTG Generation for loss calculation]]/24)*Table6[[#This Row],[Breakdown Time]]</f>
        <v>5388.614583333333</v>
      </c>
      <c r="AB46" s="102"/>
      <c r="AC46" s="35"/>
      <c r="AD46" s="35"/>
    </row>
    <row r="47" spans="1:30">
      <c r="A47" s="102">
        <f t="shared" si="1"/>
        <v>46</v>
      </c>
      <c r="B47" s="257">
        <f>YEAR(Table6[[#This Row],[Date]])+IF(MONTH(Table6[[#This Row],[Date]])&gt;=4,1,0)</f>
        <v>2026</v>
      </c>
      <c r="C47" s="102">
        <f>YEAR(Table6[[#This Row],[Date]])</f>
        <v>2025</v>
      </c>
      <c r="D47" s="102" t="s">
        <v>265</v>
      </c>
      <c r="E47" s="258">
        <f>Table6[[#This Row],[Date]]-DAY(Table6[[#This Row],[Date]])+1</f>
        <v>45748</v>
      </c>
      <c r="F47" s="259">
        <v>45752</v>
      </c>
      <c r="G47" s="35" t="s">
        <v>140</v>
      </c>
      <c r="H47" s="35" t="str">
        <f>IFERROR(_xlfn.XLOOKUP(Table6[[#This Row],[Affected WTG]],'Basic Data'!$A:$A,'Basic Data'!$B:$B),"")</f>
        <v>TQGXIIPL</v>
      </c>
      <c r="I47" s="35" t="str">
        <f>IFERROR(_xlfn.XLOOKUP(Table6[[#This Row],[Affected WTG]],'Basic Data'!$A:$A,'Basic Data'!$C:$C),"")</f>
        <v>GEDA</v>
      </c>
      <c r="J47" s="260">
        <f>IFERROR(_xlfn.XLOOKUP(Table6[[#This Row],[Affected WTG]],'Basic Data'!$A:$A,'Basic Data'!$E:$E),"")</f>
        <v>3.846153846153845E-2</v>
      </c>
      <c r="K47" s="102">
        <v>3000</v>
      </c>
      <c r="L47" s="35" t="str">
        <f>IFERROR(_xlfn.XLOOKUP(Table6[[#This Row],[Error Code]],'Basic Data'!$AA:$AA,'Basic Data'!$AB:$AB),"Incorrect Error Code")</f>
        <v>Frequency converter not ready</v>
      </c>
      <c r="M47" s="35" t="s">
        <v>278</v>
      </c>
      <c r="N47" s="264"/>
      <c r="O47" s="265">
        <v>0.37291666666666667</v>
      </c>
      <c r="P47" s="265">
        <v>0.37291666666666667</v>
      </c>
      <c r="Q47" s="266">
        <v>0.375</v>
      </c>
      <c r="R47" s="261">
        <f>IF(Table6[[#This Row],[Work Start TimeStamp]]="","",(Table6[[#This Row],[Work Start TimeStamp]]-Table6[[#This Row],[Fault Start TimeStamp]])*24)</f>
        <v>0</v>
      </c>
      <c r="S47" s="261">
        <f>(Table6[[#This Row],[Fault Clearance time]]-Table6[[#This Row],[Work Start TimeStamp]])*24</f>
        <v>4.9999999999999822E-2</v>
      </c>
      <c r="T47" s="261">
        <f>(Table6[[#This Row],[Fault Clearance time]]-Table6[[#This Row],[Fault Start TimeStamp]])*24</f>
        <v>4.9999999999999822E-2</v>
      </c>
      <c r="U47" s="35" t="s">
        <v>293</v>
      </c>
      <c r="V47" s="102" t="s">
        <v>268</v>
      </c>
      <c r="W47" s="267">
        <f>IFERROR(Table6[[#This Row],[Breakdown Time]]*Table6[[#This Row],[Plant Equivalent Weightage]],"")</f>
        <v>1.9230769230769156E-3</v>
      </c>
      <c r="X47" s="262" t="s">
        <v>269</v>
      </c>
      <c r="Y47" s="263" t="s">
        <v>115</v>
      </c>
      <c r="Z47" s="102">
        <v>10770</v>
      </c>
      <c r="AA47" s="257">
        <f>(Table6[[#This Row],[Paired WTG Generation for loss calculation]]/24)*Table6[[#This Row],[Breakdown Time]]</f>
        <v>22.437499999999922</v>
      </c>
      <c r="AB47" s="102"/>
      <c r="AC47" s="35"/>
      <c r="AD47" s="35"/>
    </row>
    <row r="48" spans="1:30">
      <c r="A48" s="102">
        <f t="shared" si="1"/>
        <v>47</v>
      </c>
      <c r="B48" s="257">
        <f>YEAR(Table6[[#This Row],[Date]])+IF(MONTH(Table6[[#This Row],[Date]])&gt;=4,1,0)</f>
        <v>2026</v>
      </c>
      <c r="C48" s="102">
        <f>YEAR(Table6[[#This Row],[Date]])</f>
        <v>2025</v>
      </c>
      <c r="D48" s="102" t="s">
        <v>265</v>
      </c>
      <c r="E48" s="258">
        <f>Table6[[#This Row],[Date]]-DAY(Table6[[#This Row],[Date]])+1</f>
        <v>45748</v>
      </c>
      <c r="F48" s="259">
        <v>45753</v>
      </c>
      <c r="G48" s="35" t="s">
        <v>115</v>
      </c>
      <c r="H48" s="35" t="str">
        <f>IFERROR(_xlfn.XLOOKUP(Table6[[#This Row],[Affected WTG]],'Basic Data'!$A:$A,'Basic Data'!$B:$B),"")</f>
        <v>TQGXIIPL</v>
      </c>
      <c r="I48" s="35" t="str">
        <f>IFERROR(_xlfn.XLOOKUP(Table6[[#This Row],[Affected WTG]],'Basic Data'!$A:$A,'Basic Data'!$C:$C),"")</f>
        <v>GEDA</v>
      </c>
      <c r="J48" s="260">
        <f>IFERROR(_xlfn.XLOOKUP(Table6[[#This Row],[Affected WTG]],'Basic Data'!$A:$A,'Basic Data'!$E:$E),"")</f>
        <v>3.846153846153845E-2</v>
      </c>
      <c r="K48" s="102">
        <v>4520</v>
      </c>
      <c r="L48" s="35" t="str">
        <f>IFERROR(_xlfn.XLOOKUP(Table6[[#This Row],[Error Code]],'Basic Data'!$AA:$AA,'Basic Data'!$AB:$AB),"Incorrect Error Code")</f>
        <v>Tower oscillation X level 1</v>
      </c>
      <c r="M48" s="35" t="s">
        <v>278</v>
      </c>
      <c r="N48" s="264"/>
      <c r="O48" s="265">
        <v>0.28888888888888886</v>
      </c>
      <c r="P48" s="265">
        <v>0.28888888888888886</v>
      </c>
      <c r="Q48" s="266">
        <v>0.29652777777777778</v>
      </c>
      <c r="R48" s="261">
        <f>IF(Table6[[#This Row],[Work Start TimeStamp]]="","",(Table6[[#This Row],[Work Start TimeStamp]]-Table6[[#This Row],[Fault Start TimeStamp]])*24)</f>
        <v>0</v>
      </c>
      <c r="S48" s="261">
        <f>(Table6[[#This Row],[Fault Clearance time]]-Table6[[#This Row],[Work Start TimeStamp]])*24</f>
        <v>0.18333333333333401</v>
      </c>
      <c r="T48" s="261">
        <f>(Table6[[#This Row],[Fault Clearance time]]-Table6[[#This Row],[Fault Start TimeStamp]])*24</f>
        <v>0.18333333333333401</v>
      </c>
      <c r="U48" s="35" t="s">
        <v>293</v>
      </c>
      <c r="V48" s="102" t="s">
        <v>268</v>
      </c>
      <c r="W48" s="267">
        <f>IFERROR(Table6[[#This Row],[Breakdown Time]]*Table6[[#This Row],[Plant Equivalent Weightage]],"")</f>
        <v>7.0512820512820757E-3</v>
      </c>
      <c r="X48" s="262" t="s">
        <v>269</v>
      </c>
      <c r="Y48" s="263" t="s">
        <v>140</v>
      </c>
      <c r="Z48" s="102">
        <v>14855</v>
      </c>
      <c r="AA48" s="257">
        <f>(Table6[[#This Row],[Paired WTG Generation for loss calculation]]/24)*Table6[[#This Row],[Breakdown Time]]</f>
        <v>113.47569444444487</v>
      </c>
      <c r="AB48" s="102"/>
      <c r="AC48" s="35"/>
      <c r="AD48" s="35"/>
    </row>
    <row r="49" spans="1:30">
      <c r="A49" s="102">
        <f t="shared" si="1"/>
        <v>48</v>
      </c>
      <c r="B49" s="257">
        <f>YEAR(Table6[[#This Row],[Date]])+IF(MONTH(Table6[[#This Row],[Date]])&gt;=4,1,0)</f>
        <v>2026</v>
      </c>
      <c r="C49" s="102">
        <f>YEAR(Table6[[#This Row],[Date]])</f>
        <v>2025</v>
      </c>
      <c r="D49" s="102" t="s">
        <v>265</v>
      </c>
      <c r="E49" s="258">
        <f>Table6[[#This Row],[Date]]-DAY(Table6[[#This Row],[Date]])+1</f>
        <v>45748</v>
      </c>
      <c r="F49" s="259">
        <v>45753</v>
      </c>
      <c r="G49" s="35" t="s">
        <v>115</v>
      </c>
      <c r="H49" s="35" t="str">
        <f>IFERROR(_xlfn.XLOOKUP(Table6[[#This Row],[Affected WTG]],'Basic Data'!$A:$A,'Basic Data'!$B:$B),"")</f>
        <v>TQGXIIPL</v>
      </c>
      <c r="I49" s="35" t="str">
        <f>IFERROR(_xlfn.XLOOKUP(Table6[[#This Row],[Affected WTG]],'Basic Data'!$A:$A,'Basic Data'!$C:$C),"")</f>
        <v>GEDA</v>
      </c>
      <c r="J49" s="260">
        <f>IFERROR(_xlfn.XLOOKUP(Table6[[#This Row],[Affected WTG]],'Basic Data'!$A:$A,'Basic Data'!$E:$E),"")</f>
        <v>3.846153846153845E-2</v>
      </c>
      <c r="K49" s="102">
        <v>4520</v>
      </c>
      <c r="L49" s="35" t="str">
        <f>IFERROR(_xlfn.XLOOKUP(Table6[[#This Row],[Error Code]],'Basic Data'!$AA:$AA,'Basic Data'!$AB:$AB),"Incorrect Error Code")</f>
        <v>Tower oscillation X level 1</v>
      </c>
      <c r="M49" s="35" t="s">
        <v>278</v>
      </c>
      <c r="N49" s="264"/>
      <c r="O49" s="265">
        <v>0.375</v>
      </c>
      <c r="P49" s="265">
        <v>0.375</v>
      </c>
      <c r="Q49" s="266">
        <v>0.38263888888888886</v>
      </c>
      <c r="R49" s="261">
        <f>IF(Table6[[#This Row],[Work Start TimeStamp]]="","",(Table6[[#This Row],[Work Start TimeStamp]]-Table6[[#This Row],[Fault Start TimeStamp]])*24)</f>
        <v>0</v>
      </c>
      <c r="S49" s="261">
        <f>(Table6[[#This Row],[Fault Clearance time]]-Table6[[#This Row],[Work Start TimeStamp]])*24</f>
        <v>0.18333333333333268</v>
      </c>
      <c r="T49" s="261">
        <f>(Table6[[#This Row],[Fault Clearance time]]-Table6[[#This Row],[Fault Start TimeStamp]])*24</f>
        <v>0.18333333333333268</v>
      </c>
      <c r="U49" s="35" t="s">
        <v>293</v>
      </c>
      <c r="V49" s="102" t="s">
        <v>268</v>
      </c>
      <c r="W49" s="267">
        <f>IFERROR(Table6[[#This Row],[Breakdown Time]]*Table6[[#This Row],[Plant Equivalent Weightage]],"")</f>
        <v>7.0512820512820245E-3</v>
      </c>
      <c r="X49" s="262" t="s">
        <v>269</v>
      </c>
      <c r="Y49" s="263" t="s">
        <v>140</v>
      </c>
      <c r="Z49" s="102">
        <v>14855</v>
      </c>
      <c r="AA49" s="257">
        <f>(Table6[[#This Row],[Paired WTG Generation for loss calculation]]/24)*Table6[[#This Row],[Breakdown Time]]</f>
        <v>113.47569444444404</v>
      </c>
      <c r="AB49" s="102"/>
      <c r="AC49" s="35"/>
      <c r="AD49" s="35"/>
    </row>
    <row r="50" spans="1:30">
      <c r="A50" s="102">
        <f t="shared" si="1"/>
        <v>49</v>
      </c>
      <c r="B50" s="257">
        <f>YEAR(Table6[[#This Row],[Date]])+IF(MONTH(Table6[[#This Row],[Date]])&gt;=4,1,0)</f>
        <v>2026</v>
      </c>
      <c r="C50" s="102">
        <f>YEAR(Table6[[#This Row],[Date]])</f>
        <v>2025</v>
      </c>
      <c r="D50" s="102" t="s">
        <v>265</v>
      </c>
      <c r="E50" s="258">
        <f>Table6[[#This Row],[Date]]-DAY(Table6[[#This Row],[Date]])+1</f>
        <v>45748</v>
      </c>
      <c r="F50" s="259">
        <v>45753</v>
      </c>
      <c r="G50" s="35" t="s">
        <v>117</v>
      </c>
      <c r="H50" s="35" t="str">
        <f>IFERROR(_xlfn.XLOOKUP(Table6[[#This Row],[Affected WTG]],'Basic Data'!$A:$A,'Basic Data'!$B:$B),"")</f>
        <v>TQGXIIPL</v>
      </c>
      <c r="I50" s="35" t="str">
        <f>IFERROR(_xlfn.XLOOKUP(Table6[[#This Row],[Affected WTG]],'Basic Data'!$A:$A,'Basic Data'!$C:$C),"")</f>
        <v>GEDA</v>
      </c>
      <c r="J50" s="260">
        <f>IFERROR(_xlfn.XLOOKUP(Table6[[#This Row],[Affected WTG]],'Basic Data'!$A:$A,'Basic Data'!$E:$E),"")</f>
        <v>3.846153846153845E-2</v>
      </c>
      <c r="K50" s="102">
        <v>55</v>
      </c>
      <c r="L50" s="35" t="str">
        <f>IFERROR(_xlfn.XLOOKUP(Table6[[#This Row],[Error Code]],'Basic Data'!$AA:$AA,'Basic Data'!$AB:$AB),"Incorrect Error Code")</f>
        <v>WTG shut down</v>
      </c>
      <c r="M50" s="35" t="s">
        <v>271</v>
      </c>
      <c r="N50" s="264"/>
      <c r="O50" s="265">
        <v>0.40277777777777779</v>
      </c>
      <c r="P50" s="265">
        <v>0.40277777777777779</v>
      </c>
      <c r="Q50" s="266">
        <v>0.6333333333333333</v>
      </c>
      <c r="R50" s="261">
        <f>IF(Table6[[#This Row],[Work Start TimeStamp]]="","",(Table6[[#This Row],[Work Start TimeStamp]]-Table6[[#This Row],[Fault Start TimeStamp]])*24)</f>
        <v>0</v>
      </c>
      <c r="S50" s="261">
        <f>(Table6[[#This Row],[Fault Clearance time]]-Table6[[#This Row],[Work Start TimeStamp]])*24</f>
        <v>5.5333333333333323</v>
      </c>
      <c r="T50" s="261">
        <f>(Table6[[#This Row],[Fault Clearance time]]-Table6[[#This Row],[Fault Start TimeStamp]])*24</f>
        <v>5.5333333333333323</v>
      </c>
      <c r="U50" s="35" t="s">
        <v>281</v>
      </c>
      <c r="V50" s="102" t="s">
        <v>268</v>
      </c>
      <c r="W50" s="267">
        <f>IFERROR(Table6[[#This Row],[Breakdown Time]]*Table6[[#This Row],[Plant Equivalent Weightage]],"")</f>
        <v>0.21282051282051273</v>
      </c>
      <c r="X50" s="262" t="s">
        <v>273</v>
      </c>
      <c r="Y50" s="263" t="s">
        <v>123</v>
      </c>
      <c r="Z50" s="102">
        <v>19159</v>
      </c>
      <c r="AA50" s="257">
        <f>(Table6[[#This Row],[Paired WTG Generation for loss calculation]]/24)*Table6[[#This Row],[Breakdown Time]]</f>
        <v>4417.2138888888876</v>
      </c>
      <c r="AB50" s="102"/>
      <c r="AC50" s="35"/>
      <c r="AD50" s="35"/>
    </row>
    <row r="51" spans="1:30">
      <c r="A51" s="102">
        <f t="shared" si="1"/>
        <v>50</v>
      </c>
      <c r="B51" s="257">
        <f>YEAR(Table6[[#This Row],[Date]])+IF(MONTH(Table6[[#This Row],[Date]])&gt;=4,1,0)</f>
        <v>2026</v>
      </c>
      <c r="C51" s="102">
        <f>YEAR(Table6[[#This Row],[Date]])</f>
        <v>2025</v>
      </c>
      <c r="D51" s="102" t="s">
        <v>265</v>
      </c>
      <c r="E51" s="258">
        <f>Table6[[#This Row],[Date]]-DAY(Table6[[#This Row],[Date]])+1</f>
        <v>45748</v>
      </c>
      <c r="F51" s="259">
        <v>45753</v>
      </c>
      <c r="G51" s="35" t="s">
        <v>118</v>
      </c>
      <c r="H51" s="35" t="str">
        <f>IFERROR(_xlfn.XLOOKUP(Table6[[#This Row],[Affected WTG]],'Basic Data'!$A:$A,'Basic Data'!$B:$B),"")</f>
        <v>TQGXIIPL</v>
      </c>
      <c r="I51" s="35" t="str">
        <f>IFERROR(_xlfn.XLOOKUP(Table6[[#This Row],[Affected WTG]],'Basic Data'!$A:$A,'Basic Data'!$C:$C),"")</f>
        <v>GEDA</v>
      </c>
      <c r="J51" s="260">
        <f>IFERROR(_xlfn.XLOOKUP(Table6[[#This Row],[Affected WTG]],'Basic Data'!$A:$A,'Basic Data'!$E:$E),"")</f>
        <v>3.846153846153845E-2</v>
      </c>
      <c r="K51" s="102">
        <v>5700</v>
      </c>
      <c r="L51" s="35" t="str">
        <f>IFERROR(_xlfn.XLOOKUP(Table6[[#This Row],[Error Code]],'Basic Data'!$AA:$AA,'Basic Data'!$AB:$AB),"Incorrect Error Code")</f>
        <v>Max. operation time hydraulic</v>
      </c>
      <c r="M51" s="35" t="s">
        <v>266</v>
      </c>
      <c r="N51" s="264"/>
      <c r="O51" s="265">
        <v>0.56944444444444442</v>
      </c>
      <c r="P51" s="265">
        <v>0.56944444444444442</v>
      </c>
      <c r="Q51" s="266">
        <v>0.59097222222222223</v>
      </c>
      <c r="R51" s="261">
        <f>IF(Table6[[#This Row],[Work Start TimeStamp]]="","",(Table6[[#This Row],[Work Start TimeStamp]]-Table6[[#This Row],[Fault Start TimeStamp]])*24)</f>
        <v>0</v>
      </c>
      <c r="S51" s="261">
        <f>(Table6[[#This Row],[Fault Clearance time]]-Table6[[#This Row],[Work Start TimeStamp]])*24</f>
        <v>0.5166666666666675</v>
      </c>
      <c r="T51" s="261">
        <f>(Table6[[#This Row],[Fault Clearance time]]-Table6[[#This Row],[Fault Start TimeStamp]])*24</f>
        <v>0.5166666666666675</v>
      </c>
      <c r="U51" s="35" t="s">
        <v>294</v>
      </c>
      <c r="V51" s="102" t="s">
        <v>268</v>
      </c>
      <c r="W51" s="267">
        <f>IFERROR(Table6[[#This Row],[Breakdown Time]]*Table6[[#This Row],[Plant Equivalent Weightage]],"")</f>
        <v>1.9871794871794898E-2</v>
      </c>
      <c r="X51" s="262" t="s">
        <v>269</v>
      </c>
      <c r="Y51" s="263" t="s">
        <v>121</v>
      </c>
      <c r="Z51" s="102">
        <v>27191</v>
      </c>
      <c r="AA51" s="257">
        <f>(Table6[[#This Row],[Paired WTG Generation for loss calculation]]/24)*Table6[[#This Row],[Breakdown Time]]</f>
        <v>585.36180555555643</v>
      </c>
      <c r="AB51" s="102"/>
      <c r="AC51" s="35"/>
      <c r="AD51" s="35"/>
    </row>
    <row r="52" spans="1:30">
      <c r="A52" s="102">
        <f t="shared" si="1"/>
        <v>51</v>
      </c>
      <c r="B52" s="257">
        <f>YEAR(Table6[[#This Row],[Date]])+IF(MONTH(Table6[[#This Row],[Date]])&gt;=4,1,0)</f>
        <v>2026</v>
      </c>
      <c r="C52" s="102">
        <f>YEAR(Table6[[#This Row],[Date]])</f>
        <v>2025</v>
      </c>
      <c r="D52" s="102" t="s">
        <v>265</v>
      </c>
      <c r="E52" s="258">
        <f>Table6[[#This Row],[Date]]-DAY(Table6[[#This Row],[Date]])+1</f>
        <v>45748</v>
      </c>
      <c r="F52" s="259">
        <v>45753</v>
      </c>
      <c r="G52" s="35" t="s">
        <v>118</v>
      </c>
      <c r="H52" s="35" t="str">
        <f>IFERROR(_xlfn.XLOOKUP(Table6[[#This Row],[Affected WTG]],'Basic Data'!$A:$A,'Basic Data'!$B:$B),"")</f>
        <v>TQGXIIPL</v>
      </c>
      <c r="I52" s="35" t="str">
        <f>IFERROR(_xlfn.XLOOKUP(Table6[[#This Row],[Affected WTG]],'Basic Data'!$A:$A,'Basic Data'!$C:$C),"")</f>
        <v>GEDA</v>
      </c>
      <c r="J52" s="260">
        <f>IFERROR(_xlfn.XLOOKUP(Table6[[#This Row],[Affected WTG]],'Basic Data'!$A:$A,'Basic Data'!$E:$E),"")</f>
        <v>3.846153846153845E-2</v>
      </c>
      <c r="K52" s="102">
        <v>5700</v>
      </c>
      <c r="L52" s="35" t="str">
        <f>IFERROR(_xlfn.XLOOKUP(Table6[[#This Row],[Error Code]],'Basic Data'!$AA:$AA,'Basic Data'!$AB:$AB),"Incorrect Error Code")</f>
        <v>Max. operation time hydraulic</v>
      </c>
      <c r="M52" s="35" t="s">
        <v>266</v>
      </c>
      <c r="N52" s="264"/>
      <c r="O52" s="265">
        <v>0.7368055555555556</v>
      </c>
      <c r="P52" s="265">
        <v>0.7368055555555556</v>
      </c>
      <c r="Q52" s="266">
        <v>0.76111111111111107</v>
      </c>
      <c r="R52" s="261">
        <f>IF(Table6[[#This Row],[Work Start TimeStamp]]="","",(Table6[[#This Row],[Work Start TimeStamp]]-Table6[[#This Row],[Fault Start TimeStamp]])*24)</f>
        <v>0</v>
      </c>
      <c r="S52" s="261">
        <f>(Table6[[#This Row],[Fault Clearance time]]-Table6[[#This Row],[Work Start TimeStamp]])*24</f>
        <v>0.58333333333333126</v>
      </c>
      <c r="T52" s="261">
        <f>(Table6[[#This Row],[Fault Clearance time]]-Table6[[#This Row],[Fault Start TimeStamp]])*24</f>
        <v>0.58333333333333126</v>
      </c>
      <c r="U52" s="35" t="s">
        <v>294</v>
      </c>
      <c r="V52" s="102" t="s">
        <v>268</v>
      </c>
      <c r="W52" s="267">
        <f>IFERROR(Table6[[#This Row],[Breakdown Time]]*Table6[[#This Row],[Plant Equivalent Weightage]],"")</f>
        <v>2.2435897435897349E-2</v>
      </c>
      <c r="X52" s="262" t="s">
        <v>269</v>
      </c>
      <c r="Y52" s="263" t="s">
        <v>121</v>
      </c>
      <c r="Z52" s="102">
        <v>27191</v>
      </c>
      <c r="AA52" s="257">
        <f>(Table6[[#This Row],[Paired WTG Generation for loss calculation]]/24)*Table6[[#This Row],[Breakdown Time]]</f>
        <v>660.8923611111087</v>
      </c>
      <c r="AB52" s="102"/>
      <c r="AC52" s="35"/>
      <c r="AD52" s="35"/>
    </row>
    <row r="53" spans="1:30">
      <c r="A53" s="102">
        <f t="shared" si="1"/>
        <v>52</v>
      </c>
      <c r="B53" s="257">
        <f>YEAR(Table6[[#This Row],[Date]])+IF(MONTH(Table6[[#This Row],[Date]])&gt;=4,1,0)</f>
        <v>2026</v>
      </c>
      <c r="C53" s="102">
        <f>YEAR(Table6[[#This Row],[Date]])</f>
        <v>2025</v>
      </c>
      <c r="D53" s="102" t="s">
        <v>265</v>
      </c>
      <c r="E53" s="258">
        <f>Table6[[#This Row],[Date]]-DAY(Table6[[#This Row],[Date]])+1</f>
        <v>45748</v>
      </c>
      <c r="F53" s="259">
        <v>45753</v>
      </c>
      <c r="G53" s="35" t="s">
        <v>120</v>
      </c>
      <c r="H53" s="35" t="str">
        <f>IFERROR(_xlfn.XLOOKUP(Table6[[#This Row],[Affected WTG]],'Basic Data'!$A:$A,'Basic Data'!$B:$B),"")</f>
        <v>TQGXIIPL</v>
      </c>
      <c r="I53" s="35" t="str">
        <f>IFERROR(_xlfn.XLOOKUP(Table6[[#This Row],[Affected WTG]],'Basic Data'!$A:$A,'Basic Data'!$C:$C),"")</f>
        <v>GEDA</v>
      </c>
      <c r="J53" s="260">
        <f>IFERROR(_xlfn.XLOOKUP(Table6[[#This Row],[Affected WTG]],'Basic Data'!$A:$A,'Basic Data'!$E:$E),"")</f>
        <v>3.846153846153845E-2</v>
      </c>
      <c r="K53" s="102">
        <v>6130</v>
      </c>
      <c r="L53" s="35" t="str">
        <f>IFERROR(_xlfn.XLOOKUP(Table6[[#This Row],[Error Code]],'Basic Data'!$AA:$AA,'Basic Data'!$AB:$AB),"Incorrect Error Code")</f>
        <v>Yaw speed high</v>
      </c>
      <c r="M53" s="35" t="s">
        <v>278</v>
      </c>
      <c r="N53" s="264"/>
      <c r="O53" s="265">
        <v>0.43125000000000002</v>
      </c>
      <c r="P53" s="265">
        <v>0.43125000000000002</v>
      </c>
      <c r="Q53" s="266">
        <v>0.43541666666666667</v>
      </c>
      <c r="R53" s="261">
        <f>IF(Table6[[#This Row],[Work Start TimeStamp]]="","",(Table6[[#This Row],[Work Start TimeStamp]]-Table6[[#This Row],[Fault Start TimeStamp]])*24)</f>
        <v>0</v>
      </c>
      <c r="S53" s="261">
        <f>(Table6[[#This Row],[Fault Clearance time]]-Table6[[#This Row],[Work Start TimeStamp]])*24</f>
        <v>9.9999999999999645E-2</v>
      </c>
      <c r="T53" s="261">
        <f>(Table6[[#This Row],[Fault Clearance time]]-Table6[[#This Row],[Fault Start TimeStamp]])*24</f>
        <v>9.9999999999999645E-2</v>
      </c>
      <c r="U53" s="35" t="s">
        <v>293</v>
      </c>
      <c r="V53" s="102" t="s">
        <v>268</v>
      </c>
      <c r="W53" s="267">
        <f>IFERROR(Table6[[#This Row],[Breakdown Time]]*Table6[[#This Row],[Plant Equivalent Weightage]],"")</f>
        <v>3.8461538461538312E-3</v>
      </c>
      <c r="X53" s="262" t="s">
        <v>269</v>
      </c>
      <c r="Y53" s="263" t="s">
        <v>135</v>
      </c>
      <c r="Z53" s="102">
        <v>23865</v>
      </c>
      <c r="AA53" s="257">
        <f>(Table6[[#This Row],[Paired WTG Generation for loss calculation]]/24)*Table6[[#This Row],[Breakdown Time]]</f>
        <v>99.437499999999645</v>
      </c>
      <c r="AB53" s="102"/>
      <c r="AC53" s="35"/>
      <c r="AD53" s="35"/>
    </row>
    <row r="54" spans="1:30">
      <c r="A54" s="102">
        <f t="shared" si="1"/>
        <v>53</v>
      </c>
      <c r="B54" s="257">
        <f>YEAR(Table6[[#This Row],[Date]])+IF(MONTH(Table6[[#This Row],[Date]])&gt;=4,1,0)</f>
        <v>2026</v>
      </c>
      <c r="C54" s="102">
        <f>YEAR(Table6[[#This Row],[Date]])</f>
        <v>2025</v>
      </c>
      <c r="D54" s="102" t="s">
        <v>265</v>
      </c>
      <c r="E54" s="258">
        <f>Table6[[#This Row],[Date]]-DAY(Table6[[#This Row],[Date]])+1</f>
        <v>45748</v>
      </c>
      <c r="F54" s="259">
        <v>45753</v>
      </c>
      <c r="G54" s="35" t="s">
        <v>121</v>
      </c>
      <c r="H54" s="35" t="str">
        <f>IFERROR(_xlfn.XLOOKUP(Table6[[#This Row],[Affected WTG]],'Basic Data'!$A:$A,'Basic Data'!$B:$B),"")</f>
        <v>TQGXIIPL</v>
      </c>
      <c r="I54" s="35" t="str">
        <f>IFERROR(_xlfn.XLOOKUP(Table6[[#This Row],[Affected WTG]],'Basic Data'!$A:$A,'Basic Data'!$C:$C),"")</f>
        <v>GEDA</v>
      </c>
      <c r="J54" s="260">
        <f>IFERROR(_xlfn.XLOOKUP(Table6[[#This Row],[Affected WTG]],'Basic Data'!$A:$A,'Basic Data'!$E:$E),"")</f>
        <v>3.846153846153845E-2</v>
      </c>
      <c r="K54" s="102">
        <v>175</v>
      </c>
      <c r="L54" s="35" t="str">
        <f>IFERROR(_xlfn.XLOOKUP(Table6[[#This Row],[Error Code]],'Basic Data'!$AA:$AA,'Basic Data'!$AB:$AB),"Incorrect Error Code")</f>
        <v>SLC error</v>
      </c>
      <c r="M54" s="35" t="s">
        <v>266</v>
      </c>
      <c r="N54" s="264"/>
      <c r="O54" s="265">
        <v>0.44166666666666665</v>
      </c>
      <c r="P54" s="265">
        <v>0.44166666666666665</v>
      </c>
      <c r="Q54" s="266">
        <v>0.4597222222222222</v>
      </c>
      <c r="R54" s="261">
        <f>IF(Table6[[#This Row],[Work Start TimeStamp]]="","",(Table6[[#This Row],[Work Start TimeStamp]]-Table6[[#This Row],[Fault Start TimeStamp]])*24)</f>
        <v>0</v>
      </c>
      <c r="S54" s="261">
        <f>(Table6[[#This Row],[Fault Clearance time]]-Table6[[#This Row],[Work Start TimeStamp]])*24</f>
        <v>0.43333333333333313</v>
      </c>
      <c r="T54" s="261">
        <f>(Table6[[#This Row],[Fault Clearance time]]-Table6[[#This Row],[Fault Start TimeStamp]])*24</f>
        <v>0.43333333333333313</v>
      </c>
      <c r="U54" s="35" t="s">
        <v>267</v>
      </c>
      <c r="V54" s="102" t="s">
        <v>268</v>
      </c>
      <c r="W54" s="267">
        <f>IFERROR(Table6[[#This Row],[Breakdown Time]]*Table6[[#This Row],[Plant Equivalent Weightage]],"")</f>
        <v>1.6666666666666653E-2</v>
      </c>
      <c r="X54" s="262" t="s">
        <v>269</v>
      </c>
      <c r="Y54" s="263" t="s">
        <v>118</v>
      </c>
      <c r="Z54" s="102">
        <v>28588</v>
      </c>
      <c r="AA54" s="257">
        <f>(Table6[[#This Row],[Paired WTG Generation for loss calculation]]/24)*Table6[[#This Row],[Breakdown Time]]</f>
        <v>516.17222222222199</v>
      </c>
      <c r="AB54" s="102"/>
      <c r="AC54" s="35"/>
      <c r="AD54" s="35"/>
    </row>
    <row r="55" spans="1:30">
      <c r="A55" s="102">
        <f t="shared" si="1"/>
        <v>54</v>
      </c>
      <c r="B55" s="257">
        <f>YEAR(Table6[[#This Row],[Date]])+IF(MONTH(Table6[[#This Row],[Date]])&gt;=4,1,0)</f>
        <v>2026</v>
      </c>
      <c r="C55" s="102">
        <f>YEAR(Table6[[#This Row],[Date]])</f>
        <v>2025</v>
      </c>
      <c r="D55" s="102" t="s">
        <v>265</v>
      </c>
      <c r="E55" s="258">
        <f>Table6[[#This Row],[Date]]-DAY(Table6[[#This Row],[Date]])+1</f>
        <v>45748</v>
      </c>
      <c r="F55" s="259">
        <v>45753</v>
      </c>
      <c r="G55" s="35" t="s">
        <v>122</v>
      </c>
      <c r="H55" s="35" t="str">
        <f>IFERROR(_xlfn.XLOOKUP(Table6[[#This Row],[Affected WTG]],'Basic Data'!$A:$A,'Basic Data'!$B:$B),"")</f>
        <v>TQGXIIPL</v>
      </c>
      <c r="I55" s="35" t="str">
        <f>IFERROR(_xlfn.XLOOKUP(Table6[[#This Row],[Affected WTG]],'Basic Data'!$A:$A,'Basic Data'!$C:$C),"")</f>
        <v>GEDA</v>
      </c>
      <c r="J55" s="260">
        <f>IFERROR(_xlfn.XLOOKUP(Table6[[#This Row],[Affected WTG]],'Basic Data'!$A:$A,'Basic Data'!$E:$E),"")</f>
        <v>3.846153846153845E-2</v>
      </c>
      <c r="K55" s="102">
        <v>4520</v>
      </c>
      <c r="L55" s="35" t="str">
        <f>IFERROR(_xlfn.XLOOKUP(Table6[[#This Row],[Error Code]],'Basic Data'!$AA:$AA,'Basic Data'!$AB:$AB),"Incorrect Error Code")</f>
        <v>Tower oscillation X level 1</v>
      </c>
      <c r="M55" s="35" t="s">
        <v>278</v>
      </c>
      <c r="N55" s="264"/>
      <c r="O55" s="265">
        <v>0.25833333333333336</v>
      </c>
      <c r="P55" s="265">
        <v>0.25833333333333336</v>
      </c>
      <c r="Q55" s="266">
        <v>0.26597222222222222</v>
      </c>
      <c r="R55" s="261">
        <f>IF(Table6[[#This Row],[Work Start TimeStamp]]="","",(Table6[[#This Row],[Work Start TimeStamp]]-Table6[[#This Row],[Fault Start TimeStamp]])*24)</f>
        <v>0</v>
      </c>
      <c r="S55" s="261">
        <f>(Table6[[#This Row],[Fault Clearance time]]-Table6[[#This Row],[Work Start TimeStamp]])*24</f>
        <v>0.18333333333333268</v>
      </c>
      <c r="T55" s="261">
        <f>(Table6[[#This Row],[Fault Clearance time]]-Table6[[#This Row],[Fault Start TimeStamp]])*24</f>
        <v>0.18333333333333268</v>
      </c>
      <c r="U55" s="35" t="s">
        <v>293</v>
      </c>
      <c r="V55" s="102" t="s">
        <v>268</v>
      </c>
      <c r="W55" s="267">
        <f>IFERROR(Table6[[#This Row],[Breakdown Time]]*Table6[[#This Row],[Plant Equivalent Weightage]],"")</f>
        <v>7.0512820512820245E-3</v>
      </c>
      <c r="X55" s="262" t="s">
        <v>269</v>
      </c>
      <c r="Y55" s="263" t="s">
        <v>140</v>
      </c>
      <c r="Z55" s="102">
        <v>14855</v>
      </c>
      <c r="AA55" s="257">
        <f>(Table6[[#This Row],[Paired WTG Generation for loss calculation]]/24)*Table6[[#This Row],[Breakdown Time]]</f>
        <v>113.47569444444404</v>
      </c>
      <c r="AB55" s="102"/>
      <c r="AC55" s="35"/>
      <c r="AD55" s="35"/>
    </row>
    <row r="56" spans="1:30">
      <c r="A56" s="102">
        <f t="shared" si="1"/>
        <v>55</v>
      </c>
      <c r="B56" s="257">
        <f>YEAR(Table6[[#This Row],[Date]])+IF(MONTH(Table6[[#This Row],[Date]])&gt;=4,1,0)</f>
        <v>2026</v>
      </c>
      <c r="C56" s="102">
        <f>YEAR(Table6[[#This Row],[Date]])</f>
        <v>2025</v>
      </c>
      <c r="D56" s="102" t="s">
        <v>265</v>
      </c>
      <c r="E56" s="258">
        <f>Table6[[#This Row],[Date]]-DAY(Table6[[#This Row],[Date]])+1</f>
        <v>45748</v>
      </c>
      <c r="F56" s="259">
        <v>45753</v>
      </c>
      <c r="G56" s="35" t="s">
        <v>124</v>
      </c>
      <c r="H56" s="35" t="str">
        <f>IFERROR(_xlfn.XLOOKUP(Table6[[#This Row],[Affected WTG]],'Basic Data'!$A:$A,'Basic Data'!$B:$B),"")</f>
        <v>TQGXIIPL</v>
      </c>
      <c r="I56" s="35" t="str">
        <f>IFERROR(_xlfn.XLOOKUP(Table6[[#This Row],[Affected WTG]],'Basic Data'!$A:$A,'Basic Data'!$C:$C),"")</f>
        <v>GEDA</v>
      </c>
      <c r="J56" s="260">
        <f>IFERROR(_xlfn.XLOOKUP(Table6[[#This Row],[Affected WTG]],'Basic Data'!$A:$A,'Basic Data'!$E:$E),"")</f>
        <v>3.846153846153845E-2</v>
      </c>
      <c r="K56" s="102">
        <v>6130</v>
      </c>
      <c r="L56" s="35" t="str">
        <f>IFERROR(_xlfn.XLOOKUP(Table6[[#This Row],[Error Code]],'Basic Data'!$AA:$AA,'Basic Data'!$AB:$AB),"Incorrect Error Code")</f>
        <v>Yaw speed high</v>
      </c>
      <c r="M56" s="35" t="s">
        <v>278</v>
      </c>
      <c r="N56" s="264"/>
      <c r="O56" s="265">
        <v>0.10277777777777777</v>
      </c>
      <c r="P56" s="265">
        <v>0.10277777777777777</v>
      </c>
      <c r="Q56" s="266">
        <v>0.10555555555555556</v>
      </c>
      <c r="R56" s="261">
        <f>IF(Table6[[#This Row],[Work Start TimeStamp]]="","",(Table6[[#This Row],[Work Start TimeStamp]]-Table6[[#This Row],[Fault Start TimeStamp]])*24)</f>
        <v>0</v>
      </c>
      <c r="S56" s="261">
        <f>(Table6[[#This Row],[Fault Clearance time]]-Table6[[#This Row],[Work Start TimeStamp]])*24</f>
        <v>6.6666666666666763E-2</v>
      </c>
      <c r="T56" s="261">
        <f>(Table6[[#This Row],[Fault Clearance time]]-Table6[[#This Row],[Fault Start TimeStamp]])*24</f>
        <v>6.6666666666666763E-2</v>
      </c>
      <c r="U56" s="35" t="s">
        <v>293</v>
      </c>
      <c r="V56" s="102" t="s">
        <v>268</v>
      </c>
      <c r="W56" s="267">
        <f>IFERROR(Table6[[#This Row],[Breakdown Time]]*Table6[[#This Row],[Plant Equivalent Weightage]],"")</f>
        <v>2.5641025641025671E-3</v>
      </c>
      <c r="X56" s="262" t="s">
        <v>269</v>
      </c>
      <c r="Y56" s="263" t="s">
        <v>129</v>
      </c>
      <c r="Z56" s="102">
        <v>24021</v>
      </c>
      <c r="AA56" s="257">
        <f>(Table6[[#This Row],[Paired WTG Generation for loss calculation]]/24)*Table6[[#This Row],[Breakdown Time]]</f>
        <v>66.725000000000094</v>
      </c>
      <c r="AB56" s="102"/>
      <c r="AC56" s="35"/>
      <c r="AD56" s="35"/>
    </row>
    <row r="57" spans="1:30">
      <c r="A57" s="102">
        <f t="shared" si="1"/>
        <v>56</v>
      </c>
      <c r="B57" s="257">
        <f>YEAR(Table6[[#This Row],[Date]])+IF(MONTH(Table6[[#This Row],[Date]])&gt;=4,1,0)</f>
        <v>2026</v>
      </c>
      <c r="C57" s="102">
        <f>YEAR(Table6[[#This Row],[Date]])</f>
        <v>2025</v>
      </c>
      <c r="D57" s="102" t="s">
        <v>265</v>
      </c>
      <c r="E57" s="258">
        <f>Table6[[#This Row],[Date]]-DAY(Table6[[#This Row],[Date]])+1</f>
        <v>45748</v>
      </c>
      <c r="F57" s="259">
        <v>45753</v>
      </c>
      <c r="G57" s="35" t="s">
        <v>126</v>
      </c>
      <c r="H57" s="35" t="str">
        <f>IFERROR(_xlfn.XLOOKUP(Table6[[#This Row],[Affected WTG]],'Basic Data'!$A:$A,'Basic Data'!$B:$B),"")</f>
        <v>TQGXIIPL</v>
      </c>
      <c r="I57" s="35" t="str">
        <f>IFERROR(_xlfn.XLOOKUP(Table6[[#This Row],[Affected WTG]],'Basic Data'!$A:$A,'Basic Data'!$C:$C),"")</f>
        <v>GEDA</v>
      </c>
      <c r="J57" s="260">
        <f>IFERROR(_xlfn.XLOOKUP(Table6[[#This Row],[Affected WTG]],'Basic Data'!$A:$A,'Basic Data'!$E:$E),"")</f>
        <v>3.846153846153845E-2</v>
      </c>
      <c r="K57" s="102">
        <v>6130</v>
      </c>
      <c r="L57" s="35" t="str">
        <f>IFERROR(_xlfn.XLOOKUP(Table6[[#This Row],[Error Code]],'Basic Data'!$AA:$AA,'Basic Data'!$AB:$AB),"Incorrect Error Code")</f>
        <v>Yaw speed high</v>
      </c>
      <c r="M57" s="35" t="s">
        <v>278</v>
      </c>
      <c r="N57" s="264"/>
      <c r="O57" s="265">
        <v>0.11944444444444445</v>
      </c>
      <c r="P57" s="265">
        <v>0.11944444444444445</v>
      </c>
      <c r="Q57" s="266">
        <v>0.12361111111111112</v>
      </c>
      <c r="R57" s="261">
        <f>IF(Table6[[#This Row],[Work Start TimeStamp]]="","",(Table6[[#This Row],[Work Start TimeStamp]]-Table6[[#This Row],[Fault Start TimeStamp]])*24)</f>
        <v>0</v>
      </c>
      <c r="S57" s="261">
        <f>(Table6[[#This Row],[Fault Clearance time]]-Table6[[#This Row],[Work Start TimeStamp]])*24</f>
        <v>9.9999999999999978E-2</v>
      </c>
      <c r="T57" s="261">
        <f>(Table6[[#This Row],[Fault Clearance time]]-Table6[[#This Row],[Fault Start TimeStamp]])*24</f>
        <v>9.9999999999999978E-2</v>
      </c>
      <c r="U57" s="35" t="s">
        <v>293</v>
      </c>
      <c r="V57" s="102" t="s">
        <v>268</v>
      </c>
      <c r="W57" s="267">
        <f>IFERROR(Table6[[#This Row],[Breakdown Time]]*Table6[[#This Row],[Plant Equivalent Weightage]],"")</f>
        <v>3.8461538461538442E-3</v>
      </c>
      <c r="X57" s="262" t="s">
        <v>269</v>
      </c>
      <c r="Y57" s="263" t="s">
        <v>128</v>
      </c>
      <c r="Z57" s="102">
        <v>20710</v>
      </c>
      <c r="AA57" s="257">
        <f>(Table6[[#This Row],[Paired WTG Generation for loss calculation]]/24)*Table6[[#This Row],[Breakdown Time]]</f>
        <v>86.291666666666643</v>
      </c>
      <c r="AB57" s="102"/>
      <c r="AC57" s="35"/>
      <c r="AD57" s="35"/>
    </row>
    <row r="58" spans="1:30">
      <c r="A58" s="102">
        <f t="shared" si="1"/>
        <v>57</v>
      </c>
      <c r="B58" s="257">
        <f>YEAR(Table6[[#This Row],[Date]])+IF(MONTH(Table6[[#This Row],[Date]])&gt;=4,1,0)</f>
        <v>2026</v>
      </c>
      <c r="C58" s="102">
        <f>YEAR(Table6[[#This Row],[Date]])</f>
        <v>2025</v>
      </c>
      <c r="D58" s="102" t="s">
        <v>265</v>
      </c>
      <c r="E58" s="258">
        <f>Table6[[#This Row],[Date]]-DAY(Table6[[#This Row],[Date]])+1</f>
        <v>45748</v>
      </c>
      <c r="F58" s="259">
        <v>45753</v>
      </c>
      <c r="G58" s="35" t="s">
        <v>127</v>
      </c>
      <c r="H58" s="35" t="str">
        <f>IFERROR(_xlfn.XLOOKUP(Table6[[#This Row],[Affected WTG]],'Basic Data'!$A:$A,'Basic Data'!$B:$B),"")</f>
        <v>TQGXIIPL</v>
      </c>
      <c r="I58" s="35" t="str">
        <f>IFERROR(_xlfn.XLOOKUP(Table6[[#This Row],[Affected WTG]],'Basic Data'!$A:$A,'Basic Data'!$C:$C),"")</f>
        <v>GEDA</v>
      </c>
      <c r="J58" s="260">
        <f>IFERROR(_xlfn.XLOOKUP(Table6[[#This Row],[Affected WTG]],'Basic Data'!$A:$A,'Basic Data'!$E:$E),"")</f>
        <v>3.846153846153845E-2</v>
      </c>
      <c r="K58" s="102">
        <v>55</v>
      </c>
      <c r="L58" s="35" t="str">
        <f>IFERROR(_xlfn.XLOOKUP(Table6[[#This Row],[Error Code]],'Basic Data'!$AA:$AA,'Basic Data'!$AB:$AB),"Incorrect Error Code")</f>
        <v>WTG shut down</v>
      </c>
      <c r="M58" s="35" t="s">
        <v>266</v>
      </c>
      <c r="N58" s="264"/>
      <c r="O58" s="265">
        <v>0.43055555555555558</v>
      </c>
      <c r="P58" s="265">
        <v>0.43055555555555558</v>
      </c>
      <c r="Q58" s="266">
        <v>0.48472222222222222</v>
      </c>
      <c r="R58" s="261">
        <f>IF(Table6[[#This Row],[Work Start TimeStamp]]="","",(Table6[[#This Row],[Work Start TimeStamp]]-Table6[[#This Row],[Fault Start TimeStamp]])*24)</f>
        <v>0</v>
      </c>
      <c r="S58" s="261">
        <f>(Table6[[#This Row],[Fault Clearance time]]-Table6[[#This Row],[Work Start TimeStamp]])*24</f>
        <v>1.2999999999999994</v>
      </c>
      <c r="T58" s="261">
        <f>(Table6[[#This Row],[Fault Clearance time]]-Table6[[#This Row],[Fault Start TimeStamp]])*24</f>
        <v>1.2999999999999994</v>
      </c>
      <c r="U58" s="35" t="s">
        <v>295</v>
      </c>
      <c r="V58" s="102" t="s">
        <v>268</v>
      </c>
      <c r="W58" s="267">
        <f>IFERROR(Table6[[#This Row],[Breakdown Time]]*Table6[[#This Row],[Plant Equivalent Weightage]],"")</f>
        <v>4.9999999999999961E-2</v>
      </c>
      <c r="X58" s="262" t="s">
        <v>296</v>
      </c>
      <c r="Y58" s="263" t="s">
        <v>125</v>
      </c>
      <c r="Z58" s="102">
        <v>21595</v>
      </c>
      <c r="AA58" s="257">
        <f>(Table6[[#This Row],[Paired WTG Generation for loss calculation]]/24)*Table6[[#This Row],[Breakdown Time]]</f>
        <v>1169.7291666666661</v>
      </c>
      <c r="AB58" s="102"/>
      <c r="AC58" s="35"/>
      <c r="AD58" s="35"/>
    </row>
    <row r="59" spans="1:30">
      <c r="A59" s="102">
        <f t="shared" si="1"/>
        <v>58</v>
      </c>
      <c r="B59" s="257">
        <f>YEAR(Table6[[#This Row],[Date]])+IF(MONTH(Table6[[#This Row],[Date]])&gt;=4,1,0)</f>
        <v>2026</v>
      </c>
      <c r="C59" s="102">
        <f>YEAR(Table6[[#This Row],[Date]])</f>
        <v>2025</v>
      </c>
      <c r="D59" s="102" t="s">
        <v>265</v>
      </c>
      <c r="E59" s="258">
        <f>Table6[[#This Row],[Date]]-DAY(Table6[[#This Row],[Date]])+1</f>
        <v>45748</v>
      </c>
      <c r="F59" s="259">
        <v>45753</v>
      </c>
      <c r="G59" s="35" t="s">
        <v>131</v>
      </c>
      <c r="H59" s="35" t="str">
        <f>IFERROR(_xlfn.XLOOKUP(Table6[[#This Row],[Affected WTG]],'Basic Data'!$A:$A,'Basic Data'!$B:$B),"")</f>
        <v>TQGXIIPL</v>
      </c>
      <c r="I59" s="35" t="str">
        <f>IFERROR(_xlfn.XLOOKUP(Table6[[#This Row],[Affected WTG]],'Basic Data'!$A:$A,'Basic Data'!$C:$C),"")</f>
        <v>GEDA</v>
      </c>
      <c r="J59" s="260">
        <f>IFERROR(_xlfn.XLOOKUP(Table6[[#This Row],[Affected WTG]],'Basic Data'!$A:$A,'Basic Data'!$E:$E),"")</f>
        <v>3.846153846153845E-2</v>
      </c>
      <c r="K59" s="102">
        <v>657</v>
      </c>
      <c r="L59" s="35" t="str">
        <f>IFERROR(_xlfn.XLOOKUP(Table6[[#This Row],[Error Code]],'Basic Data'!$AA:$AA,'Basic Data'!$AB:$AB),"Incorrect Error Code")</f>
        <v>Error pitch converter 2</v>
      </c>
      <c r="M59" s="35" t="s">
        <v>278</v>
      </c>
      <c r="N59" s="264"/>
      <c r="O59" s="265">
        <v>0.49861111111111112</v>
      </c>
      <c r="P59" s="265">
        <v>0.49861111111111112</v>
      </c>
      <c r="Q59" s="266">
        <v>0.5</v>
      </c>
      <c r="R59" s="261">
        <f>IF(Table6[[#This Row],[Work Start TimeStamp]]="","",(Table6[[#This Row],[Work Start TimeStamp]]-Table6[[#This Row],[Fault Start TimeStamp]])*24)</f>
        <v>0</v>
      </c>
      <c r="S59" s="261">
        <f>(Table6[[#This Row],[Fault Clearance time]]-Table6[[#This Row],[Work Start TimeStamp]])*24</f>
        <v>3.3333333333333215E-2</v>
      </c>
      <c r="T59" s="261">
        <f>(Table6[[#This Row],[Fault Clearance time]]-Table6[[#This Row],[Fault Start TimeStamp]])*24</f>
        <v>3.3333333333333215E-2</v>
      </c>
      <c r="U59" s="35" t="s">
        <v>293</v>
      </c>
      <c r="V59" s="102" t="s">
        <v>268</v>
      </c>
      <c r="W59" s="267">
        <f>IFERROR(Table6[[#This Row],[Breakdown Time]]*Table6[[#This Row],[Plant Equivalent Weightage]],"")</f>
        <v>1.2820512820512771E-3</v>
      </c>
      <c r="X59" s="262" t="s">
        <v>269</v>
      </c>
      <c r="Y59" s="263" t="s">
        <v>136</v>
      </c>
      <c r="Z59" s="102">
        <v>29600</v>
      </c>
      <c r="AA59" s="257">
        <f>(Table6[[#This Row],[Paired WTG Generation for loss calculation]]/24)*Table6[[#This Row],[Breakdown Time]]</f>
        <v>41.111111111110965</v>
      </c>
      <c r="AB59" s="102"/>
      <c r="AC59" s="35"/>
      <c r="AD59" s="35"/>
    </row>
    <row r="60" spans="1:30">
      <c r="A60" s="102">
        <f t="shared" si="1"/>
        <v>59</v>
      </c>
      <c r="B60" s="257">
        <f>YEAR(Table6[[#This Row],[Date]])+IF(MONTH(Table6[[#This Row],[Date]])&gt;=4,1,0)</f>
        <v>2026</v>
      </c>
      <c r="C60" s="102">
        <f>YEAR(Table6[[#This Row],[Date]])</f>
        <v>2025</v>
      </c>
      <c r="D60" s="102" t="s">
        <v>265</v>
      </c>
      <c r="E60" s="258">
        <f>Table6[[#This Row],[Date]]-DAY(Table6[[#This Row],[Date]])+1</f>
        <v>45748</v>
      </c>
      <c r="F60" s="259">
        <v>45753</v>
      </c>
      <c r="G60" s="35" t="s">
        <v>132</v>
      </c>
      <c r="H60" s="35" t="str">
        <f>IFERROR(_xlfn.XLOOKUP(Table6[[#This Row],[Affected WTG]],'Basic Data'!$A:$A,'Basic Data'!$B:$B),"")</f>
        <v>TQGXIIPL</v>
      </c>
      <c r="I60" s="35" t="str">
        <f>IFERROR(_xlfn.XLOOKUP(Table6[[#This Row],[Affected WTG]],'Basic Data'!$A:$A,'Basic Data'!$C:$C),"")</f>
        <v>GEDA</v>
      </c>
      <c r="J60" s="260">
        <f>IFERROR(_xlfn.XLOOKUP(Table6[[#This Row],[Affected WTG]],'Basic Data'!$A:$A,'Basic Data'!$E:$E),"")</f>
        <v>3.846153846153845E-2</v>
      </c>
      <c r="K60" s="102">
        <v>3211</v>
      </c>
      <c r="L60" s="35" t="str">
        <f>IFERROR(_xlfn.XLOOKUP(Table6[[#This Row],[Error Code]],'Basic Data'!$AA:$AA,'Basic Data'!$AB:$AB),"Incorrect Error Code")</f>
        <v>Conv. load shedding (CAN)</v>
      </c>
      <c r="M60" s="35" t="s">
        <v>266</v>
      </c>
      <c r="N60" s="264"/>
      <c r="O60" s="265">
        <v>0.80138888888888893</v>
      </c>
      <c r="P60" s="265">
        <v>0.80138888888888893</v>
      </c>
      <c r="Q60" s="266">
        <v>0.81180555555555556</v>
      </c>
      <c r="R60" s="261">
        <f>IF(Table6[[#This Row],[Work Start TimeStamp]]="","",(Table6[[#This Row],[Work Start TimeStamp]]-Table6[[#This Row],[Fault Start TimeStamp]])*24)</f>
        <v>0</v>
      </c>
      <c r="S60" s="261">
        <f>(Table6[[#This Row],[Fault Clearance time]]-Table6[[#This Row],[Work Start TimeStamp]])*24</f>
        <v>0.24999999999999911</v>
      </c>
      <c r="T60" s="261">
        <f>(Table6[[#This Row],[Fault Clearance time]]-Table6[[#This Row],[Fault Start TimeStamp]])*24</f>
        <v>0.24999999999999911</v>
      </c>
      <c r="U60" s="35" t="s">
        <v>297</v>
      </c>
      <c r="V60" s="102" t="s">
        <v>268</v>
      </c>
      <c r="W60" s="267">
        <f>IFERROR(Table6[[#This Row],[Breakdown Time]]*Table6[[#This Row],[Plant Equivalent Weightage]],"")</f>
        <v>9.6153846153845778E-3</v>
      </c>
      <c r="X60" s="262" t="s">
        <v>269</v>
      </c>
      <c r="Y60" s="263" t="s">
        <v>120</v>
      </c>
      <c r="Z60" s="102">
        <v>24449</v>
      </c>
      <c r="AA60" s="257">
        <f>(Table6[[#This Row],[Paired WTG Generation for loss calculation]]/24)*Table6[[#This Row],[Breakdown Time]]</f>
        <v>254.67708333333243</v>
      </c>
      <c r="AB60" s="102"/>
      <c r="AC60" s="35"/>
      <c r="AD60" s="35"/>
    </row>
    <row r="61" spans="1:30">
      <c r="A61" s="102">
        <f t="shared" si="1"/>
        <v>60</v>
      </c>
      <c r="B61" s="257">
        <f>YEAR(Table6[[#This Row],[Date]])+IF(MONTH(Table6[[#This Row],[Date]])&gt;=4,1,0)</f>
        <v>2026</v>
      </c>
      <c r="C61" s="102">
        <f>YEAR(Table6[[#This Row],[Date]])</f>
        <v>2025</v>
      </c>
      <c r="D61" s="102" t="s">
        <v>265</v>
      </c>
      <c r="E61" s="258">
        <f>Table6[[#This Row],[Date]]-DAY(Table6[[#This Row],[Date]])+1</f>
        <v>45748</v>
      </c>
      <c r="F61" s="259">
        <v>45753</v>
      </c>
      <c r="G61" s="35" t="s">
        <v>134</v>
      </c>
      <c r="H61" s="35" t="str">
        <f>IFERROR(_xlfn.XLOOKUP(Table6[[#This Row],[Affected WTG]],'Basic Data'!$A:$A,'Basic Data'!$B:$B),"")</f>
        <v>TQGXIIPL</v>
      </c>
      <c r="I61" s="35" t="str">
        <f>IFERROR(_xlfn.XLOOKUP(Table6[[#This Row],[Affected WTG]],'Basic Data'!$A:$A,'Basic Data'!$C:$C),"")</f>
        <v>GEDA</v>
      </c>
      <c r="J61" s="260">
        <f>IFERROR(_xlfn.XLOOKUP(Table6[[#This Row],[Affected WTG]],'Basic Data'!$A:$A,'Basic Data'!$E:$E),"")</f>
        <v>3.846153846153845E-2</v>
      </c>
      <c r="K61" s="102">
        <v>3211</v>
      </c>
      <c r="L61" s="35" t="str">
        <f>IFERROR(_xlfn.XLOOKUP(Table6[[#This Row],[Error Code]],'Basic Data'!$AA:$AA,'Basic Data'!$AB:$AB),"Incorrect Error Code")</f>
        <v>Conv. load shedding (CAN)</v>
      </c>
      <c r="M61" s="35" t="s">
        <v>266</v>
      </c>
      <c r="N61" s="264"/>
      <c r="O61" s="265">
        <v>0.82152777777777775</v>
      </c>
      <c r="P61" s="265">
        <v>0.82152777777777775</v>
      </c>
      <c r="Q61" s="266">
        <v>0.85486111111111107</v>
      </c>
      <c r="R61" s="261">
        <f>IF(Table6[[#This Row],[Work Start TimeStamp]]="","",(Table6[[#This Row],[Work Start TimeStamp]]-Table6[[#This Row],[Fault Start TimeStamp]])*24)</f>
        <v>0</v>
      </c>
      <c r="S61" s="261">
        <f>(Table6[[#This Row],[Fault Clearance time]]-Table6[[#This Row],[Work Start TimeStamp]])*24</f>
        <v>0.79999999999999982</v>
      </c>
      <c r="T61" s="261">
        <f>(Table6[[#This Row],[Fault Clearance time]]-Table6[[#This Row],[Fault Start TimeStamp]])*24</f>
        <v>0.79999999999999982</v>
      </c>
      <c r="U61" s="35" t="s">
        <v>298</v>
      </c>
      <c r="V61" s="102" t="s">
        <v>268</v>
      </c>
      <c r="W61" s="267">
        <f>IFERROR(Table6[[#This Row],[Breakdown Time]]*Table6[[#This Row],[Plant Equivalent Weightage]],"")</f>
        <v>3.0769230769230754E-2</v>
      </c>
      <c r="X61" s="262" t="s">
        <v>269</v>
      </c>
      <c r="Y61" s="263" t="s">
        <v>138</v>
      </c>
      <c r="Z61" s="102">
        <v>24582</v>
      </c>
      <c r="AA61" s="257">
        <f>(Table6[[#This Row],[Paired WTG Generation for loss calculation]]/24)*Table6[[#This Row],[Breakdown Time]]</f>
        <v>819.39999999999986</v>
      </c>
      <c r="AB61" s="102"/>
      <c r="AC61" s="35"/>
      <c r="AD61" s="35"/>
    </row>
    <row r="62" spans="1:30">
      <c r="A62" s="102">
        <f t="shared" si="1"/>
        <v>61</v>
      </c>
      <c r="B62" s="257">
        <f>YEAR(Table6[[#This Row],[Date]])+IF(MONTH(Table6[[#This Row],[Date]])&gt;=4,1,0)</f>
        <v>2026</v>
      </c>
      <c r="C62" s="102">
        <f>YEAR(Table6[[#This Row],[Date]])</f>
        <v>2025</v>
      </c>
      <c r="D62" s="102" t="s">
        <v>265</v>
      </c>
      <c r="E62" s="258">
        <f>Table6[[#This Row],[Date]]-DAY(Table6[[#This Row],[Date]])+1</f>
        <v>45748</v>
      </c>
      <c r="F62" s="259">
        <v>45753</v>
      </c>
      <c r="G62" s="35" t="s">
        <v>135</v>
      </c>
      <c r="H62" s="35" t="str">
        <f>IFERROR(_xlfn.XLOOKUP(Table6[[#This Row],[Affected WTG]],'Basic Data'!$A:$A,'Basic Data'!$B:$B),"")</f>
        <v>TQGXIIPL</v>
      </c>
      <c r="I62" s="35" t="str">
        <f>IFERROR(_xlfn.XLOOKUP(Table6[[#This Row],[Affected WTG]],'Basic Data'!$A:$A,'Basic Data'!$C:$C),"")</f>
        <v>GEDA</v>
      </c>
      <c r="J62" s="260">
        <f>IFERROR(_xlfn.XLOOKUP(Table6[[#This Row],[Affected WTG]],'Basic Data'!$A:$A,'Basic Data'!$E:$E),"")</f>
        <v>3.846153846153845E-2</v>
      </c>
      <c r="K62" s="102">
        <v>700</v>
      </c>
      <c r="L62" s="35" t="str">
        <f>IFERROR(_xlfn.XLOOKUP(Table6[[#This Row],[Error Code]],'Basic Data'!$AA:$AA,'Basic Data'!$AB:$AB),"Incorrect Error Code")</f>
        <v>Batt. undervoltage/overvoltage</v>
      </c>
      <c r="M62" s="35" t="s">
        <v>266</v>
      </c>
      <c r="N62" s="264"/>
      <c r="O62" s="265">
        <v>0.3888888888888889</v>
      </c>
      <c r="P62" s="265">
        <v>0.3888888888888889</v>
      </c>
      <c r="Q62" s="266">
        <v>0.40694444444444444</v>
      </c>
      <c r="R62" s="261">
        <f>IF(Table6[[#This Row],[Work Start TimeStamp]]="","",(Table6[[#This Row],[Work Start TimeStamp]]-Table6[[#This Row],[Fault Start TimeStamp]])*24)</f>
        <v>0</v>
      </c>
      <c r="S62" s="261">
        <f>(Table6[[#This Row],[Fault Clearance time]]-Table6[[#This Row],[Work Start TimeStamp]])*24</f>
        <v>0.43333333333333313</v>
      </c>
      <c r="T62" s="261">
        <f>(Table6[[#This Row],[Fault Clearance time]]-Table6[[#This Row],[Fault Start TimeStamp]])*24</f>
        <v>0.43333333333333313</v>
      </c>
      <c r="U62" s="35" t="s">
        <v>299</v>
      </c>
      <c r="V62" s="102" t="s">
        <v>268</v>
      </c>
      <c r="W62" s="267">
        <f>IFERROR(Table6[[#This Row],[Breakdown Time]]*Table6[[#This Row],[Plant Equivalent Weightage]],"")</f>
        <v>1.6666666666666653E-2</v>
      </c>
      <c r="X62" s="262" t="s">
        <v>269</v>
      </c>
      <c r="Y62" s="263" t="s">
        <v>120</v>
      </c>
      <c r="Z62" s="102">
        <v>24449</v>
      </c>
      <c r="AA62" s="257">
        <f>(Table6[[#This Row],[Paired WTG Generation for loss calculation]]/24)*Table6[[#This Row],[Breakdown Time]]</f>
        <v>441.44027777777757</v>
      </c>
      <c r="AB62" s="102"/>
      <c r="AC62" s="35"/>
      <c r="AD62" s="35"/>
    </row>
    <row r="63" spans="1:30">
      <c r="A63" s="102">
        <f t="shared" si="1"/>
        <v>62</v>
      </c>
      <c r="B63" s="257">
        <f>YEAR(Table6[[#This Row],[Date]])+IF(MONTH(Table6[[#This Row],[Date]])&gt;=4,1,0)</f>
        <v>2026</v>
      </c>
      <c r="C63" s="102">
        <f>YEAR(Table6[[#This Row],[Date]])</f>
        <v>2025</v>
      </c>
      <c r="D63" s="102" t="s">
        <v>265</v>
      </c>
      <c r="E63" s="258">
        <f>Table6[[#This Row],[Date]]-DAY(Table6[[#This Row],[Date]])+1</f>
        <v>45748</v>
      </c>
      <c r="F63" s="259">
        <v>45753</v>
      </c>
      <c r="G63" s="35" t="s">
        <v>136</v>
      </c>
      <c r="H63" s="35" t="str">
        <f>IFERROR(_xlfn.XLOOKUP(Table6[[#This Row],[Affected WTG]],'Basic Data'!$A:$A,'Basic Data'!$B:$B),"")</f>
        <v>TQGXIIPL</v>
      </c>
      <c r="I63" s="35" t="str">
        <f>IFERROR(_xlfn.XLOOKUP(Table6[[#This Row],[Affected WTG]],'Basic Data'!$A:$A,'Basic Data'!$C:$C),"")</f>
        <v>GEDA</v>
      </c>
      <c r="J63" s="260">
        <f>IFERROR(_xlfn.XLOOKUP(Table6[[#This Row],[Affected WTG]],'Basic Data'!$A:$A,'Basic Data'!$E:$E),"")</f>
        <v>3.846153846153845E-2</v>
      </c>
      <c r="K63" s="102">
        <v>6130</v>
      </c>
      <c r="L63" s="35" t="str">
        <f>IFERROR(_xlfn.XLOOKUP(Table6[[#This Row],[Error Code]],'Basic Data'!$AA:$AA,'Basic Data'!$AB:$AB),"Incorrect Error Code")</f>
        <v>Yaw speed high</v>
      </c>
      <c r="M63" s="35" t="s">
        <v>278</v>
      </c>
      <c r="N63" s="264"/>
      <c r="O63" s="265">
        <v>0.52638888888888891</v>
      </c>
      <c r="P63" s="265">
        <v>0.52638888888888891</v>
      </c>
      <c r="Q63" s="266">
        <v>0.53055555555555556</v>
      </c>
      <c r="R63" s="261">
        <f>IF(Table6[[#This Row],[Work Start TimeStamp]]="","",(Table6[[#This Row],[Work Start TimeStamp]]-Table6[[#This Row],[Fault Start TimeStamp]])*24)</f>
        <v>0</v>
      </c>
      <c r="S63" s="261">
        <f>(Table6[[#This Row],[Fault Clearance time]]-Table6[[#This Row],[Work Start TimeStamp]])*24</f>
        <v>9.9999999999999645E-2</v>
      </c>
      <c r="T63" s="261">
        <f>(Table6[[#This Row],[Fault Clearance time]]-Table6[[#This Row],[Fault Start TimeStamp]])*24</f>
        <v>9.9999999999999645E-2</v>
      </c>
      <c r="U63" s="35" t="s">
        <v>293</v>
      </c>
      <c r="V63" s="102" t="s">
        <v>268</v>
      </c>
      <c r="W63" s="267">
        <f>IFERROR(Table6[[#This Row],[Breakdown Time]]*Table6[[#This Row],[Plant Equivalent Weightage]],"")</f>
        <v>3.8461538461538312E-3</v>
      </c>
      <c r="X63" s="262" t="s">
        <v>269</v>
      </c>
      <c r="Y63" s="263" t="s">
        <v>120</v>
      </c>
      <c r="Z63" s="102">
        <v>24449</v>
      </c>
      <c r="AA63" s="257">
        <f>(Table6[[#This Row],[Paired WTG Generation for loss calculation]]/24)*Table6[[#This Row],[Breakdown Time]]</f>
        <v>101.87083333333298</v>
      </c>
      <c r="AB63" s="102"/>
      <c r="AC63" s="35"/>
      <c r="AD63" s="35"/>
    </row>
    <row r="64" spans="1:30">
      <c r="A64" s="102">
        <f t="shared" si="1"/>
        <v>63</v>
      </c>
      <c r="B64" s="257">
        <f>YEAR(Table6[[#This Row],[Date]])+IF(MONTH(Table6[[#This Row],[Date]])&gt;=4,1,0)</f>
        <v>2026</v>
      </c>
      <c r="C64" s="102">
        <f>YEAR(Table6[[#This Row],[Date]])</f>
        <v>2025</v>
      </c>
      <c r="D64" s="102" t="s">
        <v>265</v>
      </c>
      <c r="E64" s="258">
        <f>Table6[[#This Row],[Date]]-DAY(Table6[[#This Row],[Date]])+1</f>
        <v>45748</v>
      </c>
      <c r="F64" s="259">
        <v>45753</v>
      </c>
      <c r="G64" s="35" t="s">
        <v>136</v>
      </c>
      <c r="H64" s="35" t="str">
        <f>IFERROR(_xlfn.XLOOKUP(Table6[[#This Row],[Affected WTG]],'Basic Data'!$A:$A,'Basic Data'!$B:$B),"")</f>
        <v>TQGXIIPL</v>
      </c>
      <c r="I64" s="35" t="str">
        <f>IFERROR(_xlfn.XLOOKUP(Table6[[#This Row],[Affected WTG]],'Basic Data'!$A:$A,'Basic Data'!$C:$C),"")</f>
        <v>GEDA</v>
      </c>
      <c r="J64" s="260">
        <f>IFERROR(_xlfn.XLOOKUP(Table6[[#This Row],[Affected WTG]],'Basic Data'!$A:$A,'Basic Data'!$E:$E),"")</f>
        <v>3.846153846153845E-2</v>
      </c>
      <c r="K64" s="102">
        <v>6130</v>
      </c>
      <c r="L64" s="35" t="str">
        <f>IFERROR(_xlfn.XLOOKUP(Table6[[#This Row],[Error Code]],'Basic Data'!$AA:$AA,'Basic Data'!$AB:$AB),"Incorrect Error Code")</f>
        <v>Yaw speed high</v>
      </c>
      <c r="M64" s="35" t="s">
        <v>278</v>
      </c>
      <c r="N64" s="264"/>
      <c r="O64" s="265">
        <v>0.6479166666666667</v>
      </c>
      <c r="P64" s="265">
        <v>0.6479166666666667</v>
      </c>
      <c r="Q64" s="266">
        <v>0.65555555555555556</v>
      </c>
      <c r="R64" s="261">
        <f>IF(Table6[[#This Row],[Work Start TimeStamp]]="","",(Table6[[#This Row],[Work Start TimeStamp]]-Table6[[#This Row],[Fault Start TimeStamp]])*24)</f>
        <v>0</v>
      </c>
      <c r="S64" s="261">
        <f>(Table6[[#This Row],[Fault Clearance time]]-Table6[[#This Row],[Work Start TimeStamp]])*24</f>
        <v>0.18333333333333268</v>
      </c>
      <c r="T64" s="261">
        <f>(Table6[[#This Row],[Fault Clearance time]]-Table6[[#This Row],[Fault Start TimeStamp]])*24</f>
        <v>0.18333333333333268</v>
      </c>
      <c r="U64" s="35" t="s">
        <v>293</v>
      </c>
      <c r="V64" s="102" t="s">
        <v>268</v>
      </c>
      <c r="W64" s="267">
        <f>IFERROR(Table6[[#This Row],[Breakdown Time]]*Table6[[#This Row],[Plant Equivalent Weightage]],"")</f>
        <v>7.0512820512820245E-3</v>
      </c>
      <c r="X64" s="262" t="s">
        <v>269</v>
      </c>
      <c r="Y64" s="263" t="s">
        <v>120</v>
      </c>
      <c r="Z64" s="102">
        <v>24449</v>
      </c>
      <c r="AA64" s="257">
        <f>(Table6[[#This Row],[Paired WTG Generation for loss calculation]]/24)*Table6[[#This Row],[Breakdown Time]]</f>
        <v>186.7631944444438</v>
      </c>
      <c r="AB64" s="102"/>
      <c r="AC64" s="35"/>
      <c r="AD64" s="35"/>
    </row>
    <row r="65" spans="1:30">
      <c r="A65" s="102">
        <f t="shared" si="1"/>
        <v>64</v>
      </c>
      <c r="B65" s="257">
        <f>YEAR(Table6[[#This Row],[Date]])+IF(MONTH(Table6[[#This Row],[Date]])&gt;=4,1,0)</f>
        <v>2026</v>
      </c>
      <c r="C65" s="102">
        <f>YEAR(Table6[[#This Row],[Date]])</f>
        <v>2025</v>
      </c>
      <c r="D65" s="102" t="s">
        <v>265</v>
      </c>
      <c r="E65" s="258">
        <f>Table6[[#This Row],[Date]]-DAY(Table6[[#This Row],[Date]])+1</f>
        <v>45748</v>
      </c>
      <c r="F65" s="259">
        <v>45753</v>
      </c>
      <c r="G65" s="35" t="s">
        <v>137</v>
      </c>
      <c r="H65" s="35" t="str">
        <f>IFERROR(_xlfn.XLOOKUP(Table6[[#This Row],[Affected WTG]],'Basic Data'!$A:$A,'Basic Data'!$B:$B),"")</f>
        <v>TQGXIIPL</v>
      </c>
      <c r="I65" s="35" t="str">
        <f>IFERROR(_xlfn.XLOOKUP(Table6[[#This Row],[Affected WTG]],'Basic Data'!$A:$A,'Basic Data'!$C:$C),"")</f>
        <v>GEDA</v>
      </c>
      <c r="J65" s="260">
        <f>IFERROR(_xlfn.XLOOKUP(Table6[[#This Row],[Affected WTG]],'Basic Data'!$A:$A,'Basic Data'!$E:$E),"")</f>
        <v>3.846153846153845E-2</v>
      </c>
      <c r="K65" s="102">
        <v>3211</v>
      </c>
      <c r="L65" s="35" t="str">
        <f>IFERROR(_xlfn.XLOOKUP(Table6[[#This Row],[Error Code]],'Basic Data'!$AA:$AA,'Basic Data'!$AB:$AB),"Incorrect Error Code")</f>
        <v>Conv. load shedding (CAN)</v>
      </c>
      <c r="M65" s="35" t="s">
        <v>278</v>
      </c>
      <c r="N65" s="264"/>
      <c r="O65" s="265">
        <v>0.79652777777777772</v>
      </c>
      <c r="P65" s="265">
        <v>0.79652777777777772</v>
      </c>
      <c r="Q65" s="266">
        <v>0.79791666666666672</v>
      </c>
      <c r="R65" s="261">
        <f>IF(Table6[[#This Row],[Work Start TimeStamp]]="","",(Table6[[#This Row],[Work Start TimeStamp]]-Table6[[#This Row],[Fault Start TimeStamp]])*24)</f>
        <v>0</v>
      </c>
      <c r="S65" s="261">
        <f>(Table6[[#This Row],[Fault Clearance time]]-Table6[[#This Row],[Work Start TimeStamp]])*24</f>
        <v>3.3333333333335879E-2</v>
      </c>
      <c r="T65" s="261">
        <f>(Table6[[#This Row],[Fault Clearance time]]-Table6[[#This Row],[Fault Start TimeStamp]])*24</f>
        <v>3.3333333333335879E-2</v>
      </c>
      <c r="U65" s="35" t="s">
        <v>293</v>
      </c>
      <c r="V65" s="102" t="s">
        <v>268</v>
      </c>
      <c r="W65" s="267">
        <f>IFERROR(Table6[[#This Row],[Breakdown Time]]*Table6[[#This Row],[Plant Equivalent Weightage]],"")</f>
        <v>1.2820512820513796E-3</v>
      </c>
      <c r="X65" s="262" t="s">
        <v>269</v>
      </c>
      <c r="Y65" s="263" t="s">
        <v>125</v>
      </c>
      <c r="Z65" s="102">
        <v>21595</v>
      </c>
      <c r="AA65" s="257">
        <f>(Table6[[#This Row],[Paired WTG Generation for loss calculation]]/24)*Table6[[#This Row],[Breakdown Time]]</f>
        <v>29.993055555557845</v>
      </c>
      <c r="AB65" s="102"/>
      <c r="AC65" s="35"/>
      <c r="AD65" s="35"/>
    </row>
    <row r="66" spans="1:30">
      <c r="A66" s="102">
        <f t="shared" si="1"/>
        <v>65</v>
      </c>
      <c r="B66" s="257">
        <f>YEAR(Table6[[#This Row],[Date]])+IF(MONTH(Table6[[#This Row],[Date]])&gt;=4,1,0)</f>
        <v>2026</v>
      </c>
      <c r="C66" s="102">
        <f>YEAR(Table6[[#This Row],[Date]])</f>
        <v>2025</v>
      </c>
      <c r="D66" s="102" t="s">
        <v>265</v>
      </c>
      <c r="E66" s="258">
        <f>Table6[[#This Row],[Date]]-DAY(Table6[[#This Row],[Date]])+1</f>
        <v>45748</v>
      </c>
      <c r="F66" s="259">
        <v>45754</v>
      </c>
      <c r="G66" s="35" t="s">
        <v>127</v>
      </c>
      <c r="H66" s="35" t="str">
        <f>IFERROR(_xlfn.XLOOKUP(Table6[[#This Row],[Affected WTG]],'Basic Data'!$A:$A,'Basic Data'!$B:$B),"")</f>
        <v>TQGXIIPL</v>
      </c>
      <c r="I66" s="35" t="str">
        <f>IFERROR(_xlfn.XLOOKUP(Table6[[#This Row],[Affected WTG]],'Basic Data'!$A:$A,'Basic Data'!$C:$C),"")</f>
        <v>GEDA</v>
      </c>
      <c r="J66" s="260">
        <f>IFERROR(_xlfn.XLOOKUP(Table6[[#This Row],[Affected WTG]],'Basic Data'!$A:$A,'Basic Data'!$E:$E),"")</f>
        <v>3.846153846153845E-2</v>
      </c>
      <c r="K66" s="102">
        <v>55</v>
      </c>
      <c r="L66" s="35" t="str">
        <f>IFERROR(_xlfn.XLOOKUP(Table6[[#This Row],[Error Code]],'Basic Data'!$AA:$AA,'Basic Data'!$AB:$AB),"Incorrect Error Code")</f>
        <v>WTG shut down</v>
      </c>
      <c r="M66" s="35" t="s">
        <v>300</v>
      </c>
      <c r="N66" s="264"/>
      <c r="O66" s="265">
        <v>0.16180555555555556</v>
      </c>
      <c r="P66" s="265">
        <v>0.16180555555555556</v>
      </c>
      <c r="Q66" s="266">
        <v>0.32291666666666669</v>
      </c>
      <c r="R66" s="261">
        <f>IF(Table6[[#This Row],[Work Start TimeStamp]]="","",(Table6[[#This Row],[Work Start TimeStamp]]-Table6[[#This Row],[Fault Start TimeStamp]])*24)</f>
        <v>0</v>
      </c>
      <c r="S66" s="261">
        <f>(Table6[[#This Row],[Fault Clearance time]]-Table6[[#This Row],[Work Start TimeStamp]])*24</f>
        <v>3.8666666666666671</v>
      </c>
      <c r="T66" s="261">
        <f>(Table6[[#This Row],[Fault Clearance time]]-Table6[[#This Row],[Fault Start TimeStamp]])*24</f>
        <v>3.8666666666666671</v>
      </c>
      <c r="U66" s="35" t="s">
        <v>301</v>
      </c>
      <c r="V66" s="102" t="s">
        <v>268</v>
      </c>
      <c r="W66" s="267">
        <f>IFERROR(Table6[[#This Row],[Breakdown Time]]*Table6[[#This Row],[Plant Equivalent Weightage]],"")</f>
        <v>0.14871794871794869</v>
      </c>
      <c r="X66" s="262" t="s">
        <v>269</v>
      </c>
      <c r="Y66" s="263" t="s">
        <v>125</v>
      </c>
      <c r="Z66" s="102">
        <v>28893</v>
      </c>
      <c r="AA66" s="257">
        <f>(Table6[[#This Row],[Paired WTG Generation for loss calculation]]/24)*Table6[[#This Row],[Breakdown Time]]</f>
        <v>4654.9833333333336</v>
      </c>
      <c r="AB66" s="102"/>
      <c r="AC66" s="35"/>
      <c r="AD66" s="35"/>
    </row>
    <row r="67" spans="1:30">
      <c r="A67" s="102">
        <f t="shared" si="1"/>
        <v>66</v>
      </c>
      <c r="B67" s="257">
        <f>YEAR(Table6[[#This Row],[Date]])+IF(MONTH(Table6[[#This Row],[Date]])&gt;=4,1,0)</f>
        <v>2026</v>
      </c>
      <c r="C67" s="102">
        <f>YEAR(Table6[[#This Row],[Date]])</f>
        <v>2025</v>
      </c>
      <c r="D67" s="102" t="s">
        <v>265</v>
      </c>
      <c r="E67" s="258">
        <f>Table6[[#This Row],[Date]]-DAY(Table6[[#This Row],[Date]])+1</f>
        <v>45748</v>
      </c>
      <c r="F67" s="259">
        <v>45754</v>
      </c>
      <c r="G67" s="35" t="s">
        <v>128</v>
      </c>
      <c r="H67" s="35" t="str">
        <f>IFERROR(_xlfn.XLOOKUP(Table6[[#This Row],[Affected WTG]],'Basic Data'!$A:$A,'Basic Data'!$B:$B),"")</f>
        <v>TQGXIIPL</v>
      </c>
      <c r="I67" s="35" t="str">
        <f>IFERROR(_xlfn.XLOOKUP(Table6[[#This Row],[Affected WTG]],'Basic Data'!$A:$A,'Basic Data'!$C:$C),"")</f>
        <v>GEDA</v>
      </c>
      <c r="J67" s="260">
        <f>IFERROR(_xlfn.XLOOKUP(Table6[[#This Row],[Affected WTG]],'Basic Data'!$A:$A,'Basic Data'!$E:$E),"")</f>
        <v>3.846153846153845E-2</v>
      </c>
      <c r="K67" s="102">
        <v>55</v>
      </c>
      <c r="L67" s="35" t="str">
        <f>IFERROR(_xlfn.XLOOKUP(Table6[[#This Row],[Error Code]],'Basic Data'!$AA:$AA,'Basic Data'!$AB:$AB),"Incorrect Error Code")</f>
        <v>WTG shut down</v>
      </c>
      <c r="M67" s="35" t="s">
        <v>300</v>
      </c>
      <c r="N67" s="264"/>
      <c r="O67" s="265">
        <v>0.20069444444444445</v>
      </c>
      <c r="P67" s="265">
        <v>0.20069444444444445</v>
      </c>
      <c r="Q67" s="266">
        <v>0.27013888888888887</v>
      </c>
      <c r="R67" s="261">
        <f>IF(Table6[[#This Row],[Work Start TimeStamp]]="","",(Table6[[#This Row],[Work Start TimeStamp]]-Table6[[#This Row],[Fault Start TimeStamp]])*24)</f>
        <v>0</v>
      </c>
      <c r="S67" s="261">
        <f>(Table6[[#This Row],[Fault Clearance time]]-Table6[[#This Row],[Work Start TimeStamp]])*24</f>
        <v>1.6666666666666661</v>
      </c>
      <c r="T67" s="261">
        <f>(Table6[[#This Row],[Fault Clearance time]]-Table6[[#This Row],[Fault Start TimeStamp]])*24</f>
        <v>1.6666666666666661</v>
      </c>
      <c r="U67" s="35" t="s">
        <v>301</v>
      </c>
      <c r="V67" s="102" t="s">
        <v>268</v>
      </c>
      <c r="W67" s="267">
        <f>IFERROR(Table6[[#This Row],[Breakdown Time]]*Table6[[#This Row],[Plant Equivalent Weightage]],"")</f>
        <v>6.4102564102564055E-2</v>
      </c>
      <c r="X67" s="262" t="s">
        <v>269</v>
      </c>
      <c r="Y67" s="263" t="s">
        <v>126</v>
      </c>
      <c r="Z67" s="102">
        <v>29862</v>
      </c>
      <c r="AA67" s="257">
        <f>(Table6[[#This Row],[Paired WTG Generation for loss calculation]]/24)*Table6[[#This Row],[Breakdown Time]]</f>
        <v>2073.7499999999991</v>
      </c>
      <c r="AB67" s="102"/>
      <c r="AC67" s="35"/>
      <c r="AD67" s="35"/>
    </row>
    <row r="68" spans="1:30">
      <c r="A68" s="102">
        <f t="shared" si="1"/>
        <v>67</v>
      </c>
      <c r="B68" s="257">
        <f>YEAR(Table6[[#This Row],[Date]])+IF(MONTH(Table6[[#This Row],[Date]])&gt;=4,1,0)</f>
        <v>2026</v>
      </c>
      <c r="C68" s="102">
        <f>YEAR(Table6[[#This Row],[Date]])</f>
        <v>2025</v>
      </c>
      <c r="D68" s="102" t="s">
        <v>265</v>
      </c>
      <c r="E68" s="258">
        <f>Table6[[#This Row],[Date]]-DAY(Table6[[#This Row],[Date]])+1</f>
        <v>45748</v>
      </c>
      <c r="F68" s="259">
        <v>45754</v>
      </c>
      <c r="G68" s="35" t="s">
        <v>128</v>
      </c>
      <c r="H68" s="35" t="str">
        <f>IFERROR(_xlfn.XLOOKUP(Table6[[#This Row],[Affected WTG]],'Basic Data'!$A:$A,'Basic Data'!$B:$B),"")</f>
        <v>TQGXIIPL</v>
      </c>
      <c r="I68" s="35" t="str">
        <f>IFERROR(_xlfn.XLOOKUP(Table6[[#This Row],[Affected WTG]],'Basic Data'!$A:$A,'Basic Data'!$C:$C),"")</f>
        <v>GEDA</v>
      </c>
      <c r="J68" s="260">
        <f>IFERROR(_xlfn.XLOOKUP(Table6[[#This Row],[Affected WTG]],'Basic Data'!$A:$A,'Basic Data'!$E:$E),"")</f>
        <v>3.846153846153845E-2</v>
      </c>
      <c r="K68" s="102">
        <v>55</v>
      </c>
      <c r="L68" s="35" t="str">
        <f>IFERROR(_xlfn.XLOOKUP(Table6[[#This Row],[Error Code]],'Basic Data'!$AA:$AA,'Basic Data'!$AB:$AB),"Incorrect Error Code")</f>
        <v>WTG shut down</v>
      </c>
      <c r="M68" s="35" t="s">
        <v>300</v>
      </c>
      <c r="N68" s="264"/>
      <c r="O68" s="265">
        <v>0.29583333333333334</v>
      </c>
      <c r="P68" s="265">
        <v>0.29583333333333334</v>
      </c>
      <c r="Q68" s="266">
        <v>0.30902777777777779</v>
      </c>
      <c r="R68" s="261">
        <f>IF(Table6[[#This Row],[Work Start TimeStamp]]="","",(Table6[[#This Row],[Work Start TimeStamp]]-Table6[[#This Row],[Fault Start TimeStamp]])*24)</f>
        <v>0</v>
      </c>
      <c r="S68" s="261">
        <f>(Table6[[#This Row],[Fault Clearance time]]-Table6[[#This Row],[Work Start TimeStamp]])*24</f>
        <v>0.31666666666666687</v>
      </c>
      <c r="T68" s="261">
        <f>(Table6[[#This Row],[Fault Clearance time]]-Table6[[#This Row],[Fault Start TimeStamp]])*24</f>
        <v>0.31666666666666687</v>
      </c>
      <c r="U68" s="35" t="s">
        <v>301</v>
      </c>
      <c r="V68" s="102" t="s">
        <v>268</v>
      </c>
      <c r="W68" s="267">
        <f>IFERROR(Table6[[#This Row],[Breakdown Time]]*Table6[[#This Row],[Plant Equivalent Weightage]],"")</f>
        <v>1.2179487179487183E-2</v>
      </c>
      <c r="X68" s="262" t="s">
        <v>269</v>
      </c>
      <c r="Y68" s="263" t="s">
        <v>126</v>
      </c>
      <c r="Z68" s="102">
        <v>29862</v>
      </c>
      <c r="AA68" s="257">
        <f>(Table6[[#This Row],[Paired WTG Generation for loss calculation]]/24)*Table6[[#This Row],[Breakdown Time]]</f>
        <v>394.01250000000027</v>
      </c>
      <c r="AB68" s="102"/>
      <c r="AC68" s="35"/>
      <c r="AD68" s="35"/>
    </row>
    <row r="69" spans="1:30">
      <c r="A69" s="102">
        <f t="shared" si="1"/>
        <v>68</v>
      </c>
      <c r="B69" s="257">
        <f>YEAR(Table6[[#This Row],[Date]])+IF(MONTH(Table6[[#This Row],[Date]])&gt;=4,1,0)</f>
        <v>2026</v>
      </c>
      <c r="C69" s="102">
        <f>YEAR(Table6[[#This Row],[Date]])</f>
        <v>2025</v>
      </c>
      <c r="D69" s="102" t="s">
        <v>265</v>
      </c>
      <c r="E69" s="258">
        <f>Table6[[#This Row],[Date]]-DAY(Table6[[#This Row],[Date]])+1</f>
        <v>45748</v>
      </c>
      <c r="F69" s="259">
        <v>45754</v>
      </c>
      <c r="G69" s="35" t="s">
        <v>127</v>
      </c>
      <c r="H69" s="35" t="str">
        <f>IFERROR(_xlfn.XLOOKUP(Table6[[#This Row],[Affected WTG]],'Basic Data'!$A:$A,'Basic Data'!$B:$B),"")</f>
        <v>TQGXIIPL</v>
      </c>
      <c r="I69" s="35" t="str">
        <f>IFERROR(_xlfn.XLOOKUP(Table6[[#This Row],[Affected WTG]],'Basic Data'!$A:$A,'Basic Data'!$C:$C),"")</f>
        <v>GEDA</v>
      </c>
      <c r="J69" s="260">
        <f>IFERROR(_xlfn.XLOOKUP(Table6[[#This Row],[Affected WTG]],'Basic Data'!$A:$A,'Basic Data'!$E:$E),"")</f>
        <v>3.846153846153845E-2</v>
      </c>
      <c r="K69" s="102">
        <v>55</v>
      </c>
      <c r="L69" s="35" t="str">
        <f>IFERROR(_xlfn.XLOOKUP(Table6[[#This Row],[Error Code]],'Basic Data'!$AA:$AA,'Basic Data'!$AB:$AB),"Incorrect Error Code")</f>
        <v>WTG shut down</v>
      </c>
      <c r="M69" s="35" t="s">
        <v>300</v>
      </c>
      <c r="N69" s="264"/>
      <c r="O69" s="265">
        <v>0.81527777777777777</v>
      </c>
      <c r="P69" s="265">
        <v>0.81527777777777777</v>
      </c>
      <c r="Q69" s="266">
        <v>0.85</v>
      </c>
      <c r="R69" s="261">
        <f>IF(Table6[[#This Row],[Work Start TimeStamp]]="","",(Table6[[#This Row],[Work Start TimeStamp]]-Table6[[#This Row],[Fault Start TimeStamp]])*24)</f>
        <v>0</v>
      </c>
      <c r="S69" s="261">
        <f>(Table6[[#This Row],[Fault Clearance time]]-Table6[[#This Row],[Work Start TimeStamp]])*24</f>
        <v>0.83333333333333304</v>
      </c>
      <c r="T69" s="261">
        <f>(Table6[[#This Row],[Fault Clearance time]]-Table6[[#This Row],[Fault Start TimeStamp]])*24</f>
        <v>0.83333333333333304</v>
      </c>
      <c r="U69" s="35" t="s">
        <v>301</v>
      </c>
      <c r="V69" s="102" t="s">
        <v>268</v>
      </c>
      <c r="W69" s="267">
        <f>IFERROR(Table6[[#This Row],[Breakdown Time]]*Table6[[#This Row],[Plant Equivalent Weightage]],"")</f>
        <v>3.2051282051282028E-2</v>
      </c>
      <c r="X69" s="262" t="s">
        <v>269</v>
      </c>
      <c r="Y69" s="263" t="s">
        <v>125</v>
      </c>
      <c r="Z69" s="102">
        <v>28893</v>
      </c>
      <c r="AA69" s="257">
        <f>(Table6[[#This Row],[Paired WTG Generation for loss calculation]]/24)*Table6[[#This Row],[Breakdown Time]]</f>
        <v>1003.2291666666663</v>
      </c>
      <c r="AB69" s="102"/>
      <c r="AC69" s="35"/>
      <c r="AD69" s="35"/>
    </row>
    <row r="70" spans="1:30">
      <c r="A70" s="102">
        <f t="shared" si="1"/>
        <v>69</v>
      </c>
      <c r="B70" s="257">
        <f>YEAR(Table6[[#This Row],[Date]])+IF(MONTH(Table6[[#This Row],[Date]])&gt;=4,1,0)</f>
        <v>2026</v>
      </c>
      <c r="C70" s="102">
        <f>YEAR(Table6[[#This Row],[Date]])</f>
        <v>2025</v>
      </c>
      <c r="D70" s="102" t="s">
        <v>265</v>
      </c>
      <c r="E70" s="258">
        <f>Table6[[#This Row],[Date]]-DAY(Table6[[#This Row],[Date]])+1</f>
        <v>45748</v>
      </c>
      <c r="F70" s="259">
        <v>45754</v>
      </c>
      <c r="G70" s="35" t="s">
        <v>139</v>
      </c>
      <c r="H70" s="35" t="str">
        <f>IFERROR(_xlfn.XLOOKUP(Table6[[#This Row],[Affected WTG]],'Basic Data'!$A:$A,'Basic Data'!$B:$B),"")</f>
        <v>TQGXIIPL</v>
      </c>
      <c r="I70" s="35" t="str">
        <f>IFERROR(_xlfn.XLOOKUP(Table6[[#This Row],[Affected WTG]],'Basic Data'!$A:$A,'Basic Data'!$C:$C),"")</f>
        <v>GEDA</v>
      </c>
      <c r="J70" s="260">
        <f>IFERROR(_xlfn.XLOOKUP(Table6[[#This Row],[Affected WTG]],'Basic Data'!$A:$A,'Basic Data'!$E:$E),"")</f>
        <v>3.846153846153845E-2</v>
      </c>
      <c r="K70" s="102">
        <v>55</v>
      </c>
      <c r="L70" s="35" t="str">
        <f>IFERROR(_xlfn.XLOOKUP(Table6[[#This Row],[Error Code]],'Basic Data'!$AA:$AA,'Basic Data'!$AB:$AB),"Incorrect Error Code")</f>
        <v>WTG shut down</v>
      </c>
      <c r="M70" s="35" t="s">
        <v>300</v>
      </c>
      <c r="N70" s="264"/>
      <c r="O70" s="265">
        <v>0.8569444444444444</v>
      </c>
      <c r="P70" s="265">
        <v>0.8569444444444444</v>
      </c>
      <c r="Q70" s="266">
        <v>0.87569444444444444</v>
      </c>
      <c r="R70" s="261">
        <f>IF(Table6[[#This Row],[Work Start TimeStamp]]="","",(Table6[[#This Row],[Work Start TimeStamp]]-Table6[[#This Row],[Fault Start TimeStamp]])*24)</f>
        <v>0</v>
      </c>
      <c r="S70" s="261">
        <f>(Table6[[#This Row],[Fault Clearance time]]-Table6[[#This Row],[Work Start TimeStamp]])*24</f>
        <v>0.45000000000000107</v>
      </c>
      <c r="T70" s="261">
        <f>(Table6[[#This Row],[Fault Clearance time]]-Table6[[#This Row],[Fault Start TimeStamp]])*24</f>
        <v>0.45000000000000107</v>
      </c>
      <c r="U70" s="35" t="s">
        <v>301</v>
      </c>
      <c r="V70" s="102" t="s">
        <v>268</v>
      </c>
      <c r="W70" s="267">
        <f>IFERROR(Table6[[#This Row],[Breakdown Time]]*Table6[[#This Row],[Plant Equivalent Weightage]],"")</f>
        <v>1.7307692307692343E-2</v>
      </c>
      <c r="X70" s="262" t="s">
        <v>296</v>
      </c>
      <c r="Y70" s="263" t="s">
        <v>115</v>
      </c>
      <c r="Z70" s="102">
        <v>31048</v>
      </c>
      <c r="AA70" s="257">
        <f>(Table6[[#This Row],[Paired WTG Generation for loss calculation]]/24)*Table6[[#This Row],[Breakdown Time]]</f>
        <v>582.15000000000146</v>
      </c>
      <c r="AB70" s="102"/>
      <c r="AC70" s="35"/>
      <c r="AD70" s="35"/>
    </row>
    <row r="71" spans="1:30">
      <c r="A71" s="102">
        <f t="shared" si="1"/>
        <v>70</v>
      </c>
      <c r="B71" s="257">
        <f>YEAR(Table6[[#This Row],[Date]])+IF(MONTH(Table6[[#This Row],[Date]])&gt;=4,1,0)</f>
        <v>2026</v>
      </c>
      <c r="C71" s="102">
        <f>YEAR(Table6[[#This Row],[Date]])</f>
        <v>2025</v>
      </c>
      <c r="D71" s="102" t="s">
        <v>265</v>
      </c>
      <c r="E71" s="258">
        <f>Table6[[#This Row],[Date]]-DAY(Table6[[#This Row],[Date]])+1</f>
        <v>45748</v>
      </c>
      <c r="F71" s="259">
        <v>45754</v>
      </c>
      <c r="G71" s="35" t="s">
        <v>117</v>
      </c>
      <c r="H71" s="35" t="str">
        <f>IFERROR(_xlfn.XLOOKUP(Table6[[#This Row],[Affected WTG]],'Basic Data'!$A:$A,'Basic Data'!$B:$B),"")</f>
        <v>TQGXIIPL</v>
      </c>
      <c r="I71" s="35" t="str">
        <f>IFERROR(_xlfn.XLOOKUP(Table6[[#This Row],[Affected WTG]],'Basic Data'!$A:$A,'Basic Data'!$C:$C),"")</f>
        <v>GEDA</v>
      </c>
      <c r="J71" s="260">
        <f>IFERROR(_xlfn.XLOOKUP(Table6[[#This Row],[Affected WTG]],'Basic Data'!$A:$A,'Basic Data'!$E:$E),"")</f>
        <v>3.846153846153845E-2</v>
      </c>
      <c r="K71" s="102">
        <v>551</v>
      </c>
      <c r="L71" s="35" t="str">
        <f>IFERROR(_xlfn.XLOOKUP(Table6[[#This Row],[Error Code]],'Basic Data'!$AA:$AA,'Basic Data'!$AB:$AB),"Incorrect Error Code")</f>
        <v>Pitch motor current too high</v>
      </c>
      <c r="M71" s="35" t="s">
        <v>278</v>
      </c>
      <c r="N71" s="264"/>
      <c r="O71" s="265">
        <v>0.21527777777777779</v>
      </c>
      <c r="P71" s="265">
        <v>0.21527777777777779</v>
      </c>
      <c r="Q71" s="266">
        <v>0.21736111111111112</v>
      </c>
      <c r="R71" s="261">
        <f>IF(Table6[[#This Row],[Work Start TimeStamp]]="","",(Table6[[#This Row],[Work Start TimeStamp]]-Table6[[#This Row],[Fault Start TimeStamp]])*24)</f>
        <v>0</v>
      </c>
      <c r="S71" s="261">
        <f>(Table6[[#This Row],[Fault Clearance time]]-Table6[[#This Row],[Work Start TimeStamp]])*24</f>
        <v>4.9999999999999822E-2</v>
      </c>
      <c r="T71" s="261">
        <f>(Table6[[#This Row],[Fault Clearance time]]-Table6[[#This Row],[Fault Start TimeStamp]])*24</f>
        <v>4.9999999999999822E-2</v>
      </c>
      <c r="U71" s="35" t="s">
        <v>293</v>
      </c>
      <c r="V71" s="102" t="s">
        <v>268</v>
      </c>
      <c r="W71" s="267">
        <f>IFERROR(Table6[[#This Row],[Breakdown Time]]*Table6[[#This Row],[Plant Equivalent Weightage]],"")</f>
        <v>1.9230769230769156E-3</v>
      </c>
      <c r="X71" s="262" t="s">
        <v>269</v>
      </c>
      <c r="Y71" s="263" t="s">
        <v>123</v>
      </c>
      <c r="Z71" s="102">
        <v>26172</v>
      </c>
      <c r="AA71" s="257">
        <f>(Table6[[#This Row],[Paired WTG Generation for loss calculation]]/24)*Table6[[#This Row],[Breakdown Time]]</f>
        <v>54.524999999999807</v>
      </c>
      <c r="AB71" s="102"/>
      <c r="AC71" s="35"/>
      <c r="AD71" s="35"/>
    </row>
    <row r="72" spans="1:30">
      <c r="A72" s="102">
        <f t="shared" si="1"/>
        <v>71</v>
      </c>
      <c r="B72" s="257">
        <f>YEAR(Table6[[#This Row],[Date]])+IF(MONTH(Table6[[#This Row],[Date]])&gt;=4,1,0)</f>
        <v>2026</v>
      </c>
      <c r="C72" s="102">
        <f>YEAR(Table6[[#This Row],[Date]])</f>
        <v>2025</v>
      </c>
      <c r="D72" s="102" t="s">
        <v>265</v>
      </c>
      <c r="E72" s="258">
        <f>Table6[[#This Row],[Date]]-DAY(Table6[[#This Row],[Date]])+1</f>
        <v>45748</v>
      </c>
      <c r="F72" s="259">
        <v>45754</v>
      </c>
      <c r="G72" s="35" t="s">
        <v>118</v>
      </c>
      <c r="H72" s="35" t="str">
        <f>IFERROR(_xlfn.XLOOKUP(Table6[[#This Row],[Affected WTG]],'Basic Data'!$A:$A,'Basic Data'!$B:$B),"")</f>
        <v>TQGXIIPL</v>
      </c>
      <c r="I72" s="35" t="str">
        <f>IFERROR(_xlfn.XLOOKUP(Table6[[#This Row],[Affected WTG]],'Basic Data'!$A:$A,'Basic Data'!$C:$C),"")</f>
        <v>GEDA</v>
      </c>
      <c r="J72" s="260">
        <f>IFERROR(_xlfn.XLOOKUP(Table6[[#This Row],[Affected WTG]],'Basic Data'!$A:$A,'Basic Data'!$E:$E),"")</f>
        <v>3.846153846153845E-2</v>
      </c>
      <c r="K72" s="102">
        <v>5700</v>
      </c>
      <c r="L72" s="35" t="str">
        <f>IFERROR(_xlfn.XLOOKUP(Table6[[#This Row],[Error Code]],'Basic Data'!$AA:$AA,'Basic Data'!$AB:$AB),"Incorrect Error Code")</f>
        <v>Max. operation time hydraulic</v>
      </c>
      <c r="M72" s="35" t="s">
        <v>266</v>
      </c>
      <c r="N72" s="264"/>
      <c r="O72" s="265">
        <v>0.56041666666666667</v>
      </c>
      <c r="P72" s="265">
        <v>0.56041666666666667</v>
      </c>
      <c r="Q72" s="266">
        <v>0.57708333333333328</v>
      </c>
      <c r="R72" s="261">
        <f>IF(Table6[[#This Row],[Work Start TimeStamp]]="","",(Table6[[#This Row],[Work Start TimeStamp]]-Table6[[#This Row],[Fault Start TimeStamp]])*24)</f>
        <v>0</v>
      </c>
      <c r="S72" s="261">
        <f>(Table6[[#This Row],[Fault Clearance time]]-Table6[[#This Row],[Work Start TimeStamp]])*24</f>
        <v>0.39999999999999858</v>
      </c>
      <c r="T72" s="261">
        <f>(Table6[[#This Row],[Fault Clearance time]]-Table6[[#This Row],[Fault Start TimeStamp]])*24</f>
        <v>0.39999999999999858</v>
      </c>
      <c r="U72" s="35" t="s">
        <v>302</v>
      </c>
      <c r="V72" s="102" t="s">
        <v>268</v>
      </c>
      <c r="W72" s="267">
        <f>IFERROR(Table6[[#This Row],[Breakdown Time]]*Table6[[#This Row],[Plant Equivalent Weightage]],"")</f>
        <v>1.5384615384615325E-2</v>
      </c>
      <c r="X72" s="262" t="s">
        <v>269</v>
      </c>
      <c r="Y72" s="263" t="s">
        <v>121</v>
      </c>
      <c r="Z72" s="102">
        <v>36306</v>
      </c>
      <c r="AA72" s="257">
        <f>(Table6[[#This Row],[Paired WTG Generation for loss calculation]]/24)*Table6[[#This Row],[Breakdown Time]]</f>
        <v>605.09999999999786</v>
      </c>
      <c r="AB72" s="102"/>
      <c r="AC72" s="35"/>
      <c r="AD72" s="35"/>
    </row>
    <row r="73" spans="1:30">
      <c r="A73" s="102">
        <f t="shared" si="1"/>
        <v>72</v>
      </c>
      <c r="B73" s="257">
        <f>YEAR(Table6[[#This Row],[Date]])+IF(MONTH(Table6[[#This Row],[Date]])&gt;=4,1,0)</f>
        <v>2026</v>
      </c>
      <c r="C73" s="102">
        <f>YEAR(Table6[[#This Row],[Date]])</f>
        <v>2025</v>
      </c>
      <c r="D73" s="102" t="s">
        <v>265</v>
      </c>
      <c r="E73" s="258">
        <f>Table6[[#This Row],[Date]]-DAY(Table6[[#This Row],[Date]])+1</f>
        <v>45748</v>
      </c>
      <c r="F73" s="259">
        <v>45754</v>
      </c>
      <c r="G73" s="35" t="s">
        <v>118</v>
      </c>
      <c r="H73" s="35" t="str">
        <f>IFERROR(_xlfn.XLOOKUP(Table6[[#This Row],[Affected WTG]],'Basic Data'!$A:$A,'Basic Data'!$B:$B),"")</f>
        <v>TQGXIIPL</v>
      </c>
      <c r="I73" s="35" t="str">
        <f>IFERROR(_xlfn.XLOOKUP(Table6[[#This Row],[Affected WTG]],'Basic Data'!$A:$A,'Basic Data'!$C:$C),"")</f>
        <v>GEDA</v>
      </c>
      <c r="J73" s="260">
        <f>IFERROR(_xlfn.XLOOKUP(Table6[[#This Row],[Affected WTG]],'Basic Data'!$A:$A,'Basic Data'!$E:$E),"")</f>
        <v>3.846153846153845E-2</v>
      </c>
      <c r="K73" s="102">
        <v>5700</v>
      </c>
      <c r="L73" s="35" t="str">
        <f>IFERROR(_xlfn.XLOOKUP(Table6[[#This Row],[Error Code]],'Basic Data'!$AA:$AA,'Basic Data'!$AB:$AB),"Incorrect Error Code")</f>
        <v>Max. operation time hydraulic</v>
      </c>
      <c r="M73" s="35" t="s">
        <v>278</v>
      </c>
      <c r="N73" s="264"/>
      <c r="O73" s="265">
        <v>0.68958333333333333</v>
      </c>
      <c r="P73" s="265">
        <v>0.68958333333333333</v>
      </c>
      <c r="Q73" s="266">
        <v>0.69166666666666665</v>
      </c>
      <c r="R73" s="261">
        <f>IF(Table6[[#This Row],[Work Start TimeStamp]]="","",(Table6[[#This Row],[Work Start TimeStamp]]-Table6[[#This Row],[Fault Start TimeStamp]])*24)</f>
        <v>0</v>
      </c>
      <c r="S73" s="261">
        <f>(Table6[[#This Row],[Fault Clearance time]]-Table6[[#This Row],[Work Start TimeStamp]])*24</f>
        <v>4.9999999999999822E-2</v>
      </c>
      <c r="T73" s="261">
        <f>(Table6[[#This Row],[Fault Clearance time]]-Table6[[#This Row],[Fault Start TimeStamp]])*24</f>
        <v>4.9999999999999822E-2</v>
      </c>
      <c r="U73" s="35" t="s">
        <v>293</v>
      </c>
      <c r="V73" s="102" t="s">
        <v>268</v>
      </c>
      <c r="W73" s="267">
        <f>IFERROR(Table6[[#This Row],[Breakdown Time]]*Table6[[#This Row],[Plant Equivalent Weightage]],"")</f>
        <v>1.9230769230769156E-3</v>
      </c>
      <c r="X73" s="262" t="s">
        <v>269</v>
      </c>
      <c r="Y73" s="263" t="s">
        <v>121</v>
      </c>
      <c r="Z73" s="102">
        <v>36306</v>
      </c>
      <c r="AA73" s="257">
        <f>(Table6[[#This Row],[Paired WTG Generation for loss calculation]]/24)*Table6[[#This Row],[Breakdown Time]]</f>
        <v>75.637499999999733</v>
      </c>
      <c r="AB73" s="102"/>
      <c r="AC73" s="35"/>
      <c r="AD73" s="35"/>
    </row>
    <row r="74" spans="1:30">
      <c r="A74" s="102">
        <f t="shared" si="1"/>
        <v>73</v>
      </c>
      <c r="B74" s="257">
        <f>YEAR(Table6[[#This Row],[Date]])+IF(MONTH(Table6[[#This Row],[Date]])&gt;=4,1,0)</f>
        <v>2026</v>
      </c>
      <c r="C74" s="102">
        <f>YEAR(Table6[[#This Row],[Date]])</f>
        <v>2025</v>
      </c>
      <c r="D74" s="102" t="s">
        <v>265</v>
      </c>
      <c r="E74" s="258">
        <f>Table6[[#This Row],[Date]]-DAY(Table6[[#This Row],[Date]])+1</f>
        <v>45748</v>
      </c>
      <c r="F74" s="259">
        <v>45754</v>
      </c>
      <c r="G74" s="35" t="s">
        <v>118</v>
      </c>
      <c r="H74" s="35" t="str">
        <f>IFERROR(_xlfn.XLOOKUP(Table6[[#This Row],[Affected WTG]],'Basic Data'!$A:$A,'Basic Data'!$B:$B),"")</f>
        <v>TQGXIIPL</v>
      </c>
      <c r="I74" s="35" t="str">
        <f>IFERROR(_xlfn.XLOOKUP(Table6[[#This Row],[Affected WTG]],'Basic Data'!$A:$A,'Basic Data'!$C:$C),"")</f>
        <v>GEDA</v>
      </c>
      <c r="J74" s="260">
        <f>IFERROR(_xlfn.XLOOKUP(Table6[[#This Row],[Affected WTG]],'Basic Data'!$A:$A,'Basic Data'!$E:$E),"")</f>
        <v>3.846153846153845E-2</v>
      </c>
      <c r="K74" s="102">
        <v>5700</v>
      </c>
      <c r="L74" s="35" t="str">
        <f>IFERROR(_xlfn.XLOOKUP(Table6[[#This Row],[Error Code]],'Basic Data'!$AA:$AA,'Basic Data'!$AB:$AB),"Incorrect Error Code")</f>
        <v>Max. operation time hydraulic</v>
      </c>
      <c r="M74" s="35" t="s">
        <v>266</v>
      </c>
      <c r="N74" s="264"/>
      <c r="O74" s="265">
        <v>0.78402777777777777</v>
      </c>
      <c r="P74" s="265">
        <v>0.78402777777777777</v>
      </c>
      <c r="Q74" s="266">
        <v>0.79513888888888884</v>
      </c>
      <c r="R74" s="261">
        <f>IF(Table6[[#This Row],[Work Start TimeStamp]]="","",(Table6[[#This Row],[Work Start TimeStamp]]-Table6[[#This Row],[Fault Start TimeStamp]])*24)</f>
        <v>0</v>
      </c>
      <c r="S74" s="261">
        <f>(Table6[[#This Row],[Fault Clearance time]]-Table6[[#This Row],[Work Start TimeStamp]])*24</f>
        <v>0.26666666666666572</v>
      </c>
      <c r="T74" s="261">
        <f>(Table6[[#This Row],[Fault Clearance time]]-Table6[[#This Row],[Fault Start TimeStamp]])*24</f>
        <v>0.26666666666666572</v>
      </c>
      <c r="U74" s="35" t="s">
        <v>267</v>
      </c>
      <c r="V74" s="102" t="s">
        <v>268</v>
      </c>
      <c r="W74" s="267">
        <f>IFERROR(Table6[[#This Row],[Breakdown Time]]*Table6[[#This Row],[Plant Equivalent Weightage]],"")</f>
        <v>1.0256410256410217E-2</v>
      </c>
      <c r="X74" s="262" t="s">
        <v>269</v>
      </c>
      <c r="Y74" s="263" t="s">
        <v>121</v>
      </c>
      <c r="Z74" s="102">
        <v>36306</v>
      </c>
      <c r="AA74" s="257">
        <f>(Table6[[#This Row],[Paired WTG Generation for loss calculation]]/24)*Table6[[#This Row],[Breakdown Time]]</f>
        <v>403.39999999999856</v>
      </c>
      <c r="AB74" s="102"/>
      <c r="AC74" s="35"/>
      <c r="AD74" s="35"/>
    </row>
    <row r="75" spans="1:30">
      <c r="A75" s="102">
        <f t="shared" si="1"/>
        <v>74</v>
      </c>
      <c r="B75" s="257">
        <f>YEAR(Table6[[#This Row],[Date]])+IF(MONTH(Table6[[#This Row],[Date]])&gt;=4,1,0)</f>
        <v>2026</v>
      </c>
      <c r="C75" s="102">
        <f>YEAR(Table6[[#This Row],[Date]])</f>
        <v>2025</v>
      </c>
      <c r="D75" s="102" t="s">
        <v>265</v>
      </c>
      <c r="E75" s="258">
        <f>Table6[[#This Row],[Date]]-DAY(Table6[[#This Row],[Date]])+1</f>
        <v>45748</v>
      </c>
      <c r="F75" s="259">
        <v>45754</v>
      </c>
      <c r="G75" s="35" t="s">
        <v>119</v>
      </c>
      <c r="H75" s="35" t="str">
        <f>IFERROR(_xlfn.XLOOKUP(Table6[[#This Row],[Affected WTG]],'Basic Data'!$A:$A,'Basic Data'!$B:$B),"")</f>
        <v>TQGXIIPL</v>
      </c>
      <c r="I75" s="35" t="str">
        <f>IFERROR(_xlfn.XLOOKUP(Table6[[#This Row],[Affected WTG]],'Basic Data'!$A:$A,'Basic Data'!$C:$C),"")</f>
        <v>GEDA</v>
      </c>
      <c r="J75" s="260">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266</v>
      </c>
      <c r="N75" s="264"/>
      <c r="O75" s="265">
        <v>0.32500000000000001</v>
      </c>
      <c r="P75" s="265">
        <v>0.32500000000000001</v>
      </c>
      <c r="Q75" s="266">
        <v>0.33888888888888891</v>
      </c>
      <c r="R75" s="261">
        <f>IF(Table6[[#This Row],[Work Start TimeStamp]]="","",(Table6[[#This Row],[Work Start TimeStamp]]-Table6[[#This Row],[Fault Start TimeStamp]])*24)</f>
        <v>0</v>
      </c>
      <c r="S75" s="261">
        <f>(Table6[[#This Row],[Fault Clearance time]]-Table6[[#This Row],[Work Start TimeStamp]])*24</f>
        <v>0.33333333333333348</v>
      </c>
      <c r="T75" s="261">
        <f>(Table6[[#This Row],[Fault Clearance time]]-Table6[[#This Row],[Fault Start TimeStamp]])*24</f>
        <v>0.33333333333333348</v>
      </c>
      <c r="U75" s="35" t="s">
        <v>303</v>
      </c>
      <c r="V75" s="102" t="s">
        <v>268</v>
      </c>
      <c r="W75" s="267">
        <f>IFERROR(Table6[[#This Row],[Breakdown Time]]*Table6[[#This Row],[Plant Equivalent Weightage]],"")</f>
        <v>1.2820512820512822E-2</v>
      </c>
      <c r="X75" s="262" t="s">
        <v>269</v>
      </c>
      <c r="Y75" s="263" t="s">
        <v>116</v>
      </c>
      <c r="Z75" s="102">
        <v>39935</v>
      </c>
      <c r="AA75" s="257">
        <f>(Table6[[#This Row],[Paired WTG Generation for loss calculation]]/24)*Table6[[#This Row],[Breakdown Time]]</f>
        <v>554.65277777777806</v>
      </c>
      <c r="AB75" s="102"/>
      <c r="AC75" s="35"/>
      <c r="AD75" s="35"/>
    </row>
    <row r="76" spans="1:30">
      <c r="A76" s="102">
        <f t="shared" si="1"/>
        <v>75</v>
      </c>
      <c r="B76" s="257">
        <f>YEAR(Table6[[#This Row],[Date]])+IF(MONTH(Table6[[#This Row],[Date]])&gt;=4,1,0)</f>
        <v>2026</v>
      </c>
      <c r="C76" s="102">
        <f>YEAR(Table6[[#This Row],[Date]])</f>
        <v>2025</v>
      </c>
      <c r="D76" s="102" t="s">
        <v>265</v>
      </c>
      <c r="E76" s="258">
        <f>Table6[[#This Row],[Date]]-DAY(Table6[[#This Row],[Date]])+1</f>
        <v>45748</v>
      </c>
      <c r="F76" s="259">
        <v>45754</v>
      </c>
      <c r="G76" s="35" t="s">
        <v>119</v>
      </c>
      <c r="H76" s="35" t="str">
        <f>IFERROR(_xlfn.XLOOKUP(Table6[[#This Row],[Affected WTG]],'Basic Data'!$A:$A,'Basic Data'!$B:$B),"")</f>
        <v>TQGXIIPL</v>
      </c>
      <c r="I76" s="35" t="str">
        <f>IFERROR(_xlfn.XLOOKUP(Table6[[#This Row],[Affected WTG]],'Basic Data'!$A:$A,'Basic Data'!$C:$C),"")</f>
        <v>GEDA</v>
      </c>
      <c r="J76" s="260">
        <f>IFERROR(_xlfn.XLOOKUP(Table6[[#This Row],[Affected WTG]],'Basic Data'!$A:$A,'Basic Data'!$E:$E),"")</f>
        <v>3.846153846153845E-2</v>
      </c>
      <c r="K76" s="102">
        <v>2521</v>
      </c>
      <c r="L76" s="35" t="str">
        <f>IFERROR(_xlfn.XLOOKUP(Table6[[#This Row],[Error Code]],'Basic Data'!$AA:$AA,'Basic Data'!$AB:$AB),"Incorrect Error Code")</f>
        <v>Gen.sp.analog &lt;&lt;&gt;&gt; gearb.sp.</v>
      </c>
      <c r="M76" s="35" t="s">
        <v>278</v>
      </c>
      <c r="N76" s="264"/>
      <c r="O76" s="265">
        <v>0.73888888888888893</v>
      </c>
      <c r="P76" s="265">
        <v>0.73888888888888893</v>
      </c>
      <c r="Q76" s="266">
        <v>0.74027777777777781</v>
      </c>
      <c r="R76" s="261">
        <f>IF(Table6[[#This Row],[Work Start TimeStamp]]="","",(Table6[[#This Row],[Work Start TimeStamp]]-Table6[[#This Row],[Fault Start TimeStamp]])*24)</f>
        <v>0</v>
      </c>
      <c r="S76" s="261">
        <f>(Table6[[#This Row],[Fault Clearance time]]-Table6[[#This Row],[Work Start TimeStamp]])*24</f>
        <v>3.3333333333333215E-2</v>
      </c>
      <c r="T76" s="261">
        <f>(Table6[[#This Row],[Fault Clearance time]]-Table6[[#This Row],[Fault Start TimeStamp]])*24</f>
        <v>3.3333333333333215E-2</v>
      </c>
      <c r="U76" s="35" t="s">
        <v>293</v>
      </c>
      <c r="V76" s="102" t="s">
        <v>268</v>
      </c>
      <c r="W76" s="267">
        <f>IFERROR(Table6[[#This Row],[Breakdown Time]]*Table6[[#This Row],[Plant Equivalent Weightage]],"")</f>
        <v>1.2820512820512771E-3</v>
      </c>
      <c r="X76" s="262" t="s">
        <v>269</v>
      </c>
      <c r="Y76" s="263" t="s">
        <v>116</v>
      </c>
      <c r="Z76" s="102">
        <v>39935</v>
      </c>
      <c r="AA76" s="257">
        <f>(Table6[[#This Row],[Paired WTG Generation for loss calculation]]/24)*Table6[[#This Row],[Breakdown Time]]</f>
        <v>55.46527777777758</v>
      </c>
      <c r="AB76" s="102"/>
      <c r="AC76" s="35"/>
      <c r="AD76" s="35"/>
    </row>
    <row r="77" spans="1:30">
      <c r="A77" s="102">
        <f t="shared" si="1"/>
        <v>76</v>
      </c>
      <c r="B77" s="257">
        <f>YEAR(Table6[[#This Row],[Date]])+IF(MONTH(Table6[[#This Row],[Date]])&gt;=4,1,0)</f>
        <v>2026</v>
      </c>
      <c r="C77" s="102">
        <f>YEAR(Table6[[#This Row],[Date]])</f>
        <v>2025</v>
      </c>
      <c r="D77" s="102" t="s">
        <v>265</v>
      </c>
      <c r="E77" s="258">
        <f>Table6[[#This Row],[Date]]-DAY(Table6[[#This Row],[Date]])+1</f>
        <v>45748</v>
      </c>
      <c r="F77" s="259">
        <v>45754</v>
      </c>
      <c r="G77" s="35" t="s">
        <v>123</v>
      </c>
      <c r="H77" s="35" t="str">
        <f>IFERROR(_xlfn.XLOOKUP(Table6[[#This Row],[Affected WTG]],'Basic Data'!$A:$A,'Basic Data'!$B:$B),"")</f>
        <v>TQGXIIPL</v>
      </c>
      <c r="I77" s="35" t="str">
        <f>IFERROR(_xlfn.XLOOKUP(Table6[[#This Row],[Affected WTG]],'Basic Data'!$A:$A,'Basic Data'!$C:$C),"")</f>
        <v>GEDA</v>
      </c>
      <c r="J77" s="260">
        <f>IFERROR(_xlfn.XLOOKUP(Table6[[#This Row],[Affected WTG]],'Basic Data'!$A:$A,'Basic Data'!$E:$E),"")</f>
        <v>3.846153846153845E-2</v>
      </c>
      <c r="K77" s="102">
        <v>55</v>
      </c>
      <c r="L77" s="35" t="str">
        <f>IFERROR(_xlfn.XLOOKUP(Table6[[#This Row],[Error Code]],'Basic Data'!$AA:$AA,'Basic Data'!$AB:$AB),"Incorrect Error Code")</f>
        <v>WTG shut down</v>
      </c>
      <c r="M77" s="35" t="s">
        <v>271</v>
      </c>
      <c r="N77" s="264"/>
      <c r="O77" s="265">
        <v>0.46666666666666667</v>
      </c>
      <c r="P77" s="265">
        <v>0.46666666666666667</v>
      </c>
      <c r="Q77" s="266">
        <v>0.72083333333333333</v>
      </c>
      <c r="R77" s="261">
        <f>IF(Table6[[#This Row],[Work Start TimeStamp]]="","",(Table6[[#This Row],[Work Start TimeStamp]]-Table6[[#This Row],[Fault Start TimeStamp]])*24)</f>
        <v>0</v>
      </c>
      <c r="S77" s="261">
        <f>(Table6[[#This Row],[Fault Clearance time]]-Table6[[#This Row],[Work Start TimeStamp]])*24</f>
        <v>6.1</v>
      </c>
      <c r="T77" s="261">
        <f>(Table6[[#This Row],[Fault Clearance time]]-Table6[[#This Row],[Fault Start TimeStamp]])*24</f>
        <v>6.1</v>
      </c>
      <c r="U77" s="35" t="s">
        <v>272</v>
      </c>
      <c r="V77" s="102" t="s">
        <v>268</v>
      </c>
      <c r="W77" s="267">
        <f>IFERROR(Table6[[#This Row],[Breakdown Time]]*Table6[[#This Row],[Plant Equivalent Weightage]],"")</f>
        <v>0.23461538461538453</v>
      </c>
      <c r="X77" s="262" t="s">
        <v>273</v>
      </c>
      <c r="Y77" s="263" t="s">
        <v>117</v>
      </c>
      <c r="Z77" s="102">
        <v>29201</v>
      </c>
      <c r="AA77" s="257">
        <f>(Table6[[#This Row],[Paired WTG Generation for loss calculation]]/24)*Table6[[#This Row],[Breakdown Time]]</f>
        <v>7421.9208333333327</v>
      </c>
      <c r="AB77" s="102"/>
      <c r="AC77" s="35"/>
      <c r="AD77" s="35"/>
    </row>
    <row r="78" spans="1:30">
      <c r="A78" s="102">
        <f t="shared" ref="A78:A141" si="2">A77+1</f>
        <v>77</v>
      </c>
      <c r="B78" s="257">
        <f>YEAR(Table6[[#This Row],[Date]])+IF(MONTH(Table6[[#This Row],[Date]])&gt;=4,1,0)</f>
        <v>2026</v>
      </c>
      <c r="C78" s="102">
        <f>YEAR(Table6[[#This Row],[Date]])</f>
        <v>2025</v>
      </c>
      <c r="D78" s="102" t="s">
        <v>265</v>
      </c>
      <c r="E78" s="258">
        <f>Table6[[#This Row],[Date]]-DAY(Table6[[#This Row],[Date]])+1</f>
        <v>45748</v>
      </c>
      <c r="F78" s="259">
        <v>45754</v>
      </c>
      <c r="G78" s="35" t="s">
        <v>125</v>
      </c>
      <c r="H78" s="35" t="str">
        <f>IFERROR(_xlfn.XLOOKUP(Table6[[#This Row],[Affected WTG]],'Basic Data'!$A:$A,'Basic Data'!$B:$B),"")</f>
        <v>TQGXIIPL</v>
      </c>
      <c r="I78" s="35" t="str">
        <f>IFERROR(_xlfn.XLOOKUP(Table6[[#This Row],[Affected WTG]],'Basic Data'!$A:$A,'Basic Data'!$C:$C),"")</f>
        <v>GEDA</v>
      </c>
      <c r="J78" s="260">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266</v>
      </c>
      <c r="N78" s="264"/>
      <c r="O78" s="265">
        <v>0.32500000000000001</v>
      </c>
      <c r="P78" s="265">
        <v>0.32500000000000001</v>
      </c>
      <c r="Q78" s="266">
        <v>0.32847222222222222</v>
      </c>
      <c r="R78" s="261">
        <f>IF(Table6[[#This Row],[Work Start TimeStamp]]="","",(Table6[[#This Row],[Work Start TimeStamp]]-Table6[[#This Row],[Fault Start TimeStamp]])*24)</f>
        <v>0</v>
      </c>
      <c r="S78" s="261">
        <f>(Table6[[#This Row],[Fault Clearance time]]-Table6[[#This Row],[Work Start TimeStamp]])*24</f>
        <v>8.3333333333333037E-2</v>
      </c>
      <c r="T78" s="261">
        <f>(Table6[[#This Row],[Fault Clearance time]]-Table6[[#This Row],[Fault Start TimeStamp]])*24</f>
        <v>8.3333333333333037E-2</v>
      </c>
      <c r="U78" s="35" t="s">
        <v>303</v>
      </c>
      <c r="V78" s="102" t="s">
        <v>268</v>
      </c>
      <c r="W78" s="267">
        <f>IFERROR(Table6[[#This Row],[Breakdown Time]]*Table6[[#This Row],[Plant Equivalent Weightage]],"")</f>
        <v>3.2051282051281929E-3</v>
      </c>
      <c r="X78" s="262" t="s">
        <v>269</v>
      </c>
      <c r="Y78" s="263" t="s">
        <v>126</v>
      </c>
      <c r="Z78" s="102">
        <v>29862</v>
      </c>
      <c r="AA78" s="257">
        <f>(Table6[[#This Row],[Paired WTG Generation for loss calculation]]/24)*Table6[[#This Row],[Breakdown Time]]</f>
        <v>103.68749999999963</v>
      </c>
      <c r="AB78" s="102"/>
      <c r="AC78" s="35"/>
      <c r="AD78" s="35"/>
    </row>
    <row r="79" spans="1:30">
      <c r="A79" s="102">
        <f t="shared" si="2"/>
        <v>78</v>
      </c>
      <c r="B79" s="257">
        <f>YEAR(Table6[[#This Row],[Date]])+IF(MONTH(Table6[[#This Row],[Date]])&gt;=4,1,0)</f>
        <v>2026</v>
      </c>
      <c r="C79" s="102">
        <f>YEAR(Table6[[#This Row],[Date]])</f>
        <v>2025</v>
      </c>
      <c r="D79" s="102" t="s">
        <v>265</v>
      </c>
      <c r="E79" s="258">
        <f>Table6[[#This Row],[Date]]-DAY(Table6[[#This Row],[Date]])+1</f>
        <v>45748</v>
      </c>
      <c r="F79" s="259">
        <v>45754</v>
      </c>
      <c r="G79" s="35" t="s">
        <v>129</v>
      </c>
      <c r="H79" s="35" t="str">
        <f>IFERROR(_xlfn.XLOOKUP(Table6[[#This Row],[Affected WTG]],'Basic Data'!$A:$A,'Basic Data'!$B:$B),"")</f>
        <v>TQGXIIPL</v>
      </c>
      <c r="I79" s="35" t="str">
        <f>IFERROR(_xlfn.XLOOKUP(Table6[[#This Row],[Affected WTG]],'Basic Data'!$A:$A,'Basic Data'!$C:$C),"")</f>
        <v>GEDA</v>
      </c>
      <c r="J79" s="260">
        <f>IFERROR(_xlfn.XLOOKUP(Table6[[#This Row],[Affected WTG]],'Basic Data'!$A:$A,'Basic Data'!$E:$E),"")</f>
        <v>3.846153846153845E-2</v>
      </c>
      <c r="K79" s="102">
        <v>3211</v>
      </c>
      <c r="L79" s="35" t="str">
        <f>IFERROR(_xlfn.XLOOKUP(Table6[[#This Row],[Error Code]],'Basic Data'!$AA:$AA,'Basic Data'!$AB:$AB),"Incorrect Error Code")</f>
        <v>Conv. load shedding (CAN)</v>
      </c>
      <c r="M79" s="35" t="s">
        <v>278</v>
      </c>
      <c r="N79" s="264"/>
      <c r="O79" s="265">
        <v>0.55555555555555558</v>
      </c>
      <c r="P79" s="265">
        <v>0.55555555555555558</v>
      </c>
      <c r="Q79" s="266">
        <v>0.55694444444444446</v>
      </c>
      <c r="R79" s="261">
        <f>IF(Table6[[#This Row],[Work Start TimeStamp]]="","",(Table6[[#This Row],[Work Start TimeStamp]]-Table6[[#This Row],[Fault Start TimeStamp]])*24)</f>
        <v>0</v>
      </c>
      <c r="S79" s="261">
        <f>(Table6[[#This Row],[Fault Clearance time]]-Table6[[#This Row],[Work Start TimeStamp]])*24</f>
        <v>3.3333333333333215E-2</v>
      </c>
      <c r="T79" s="261">
        <f>(Table6[[#This Row],[Fault Clearance time]]-Table6[[#This Row],[Fault Start TimeStamp]])*24</f>
        <v>3.3333333333333215E-2</v>
      </c>
      <c r="U79" s="35" t="s">
        <v>293</v>
      </c>
      <c r="V79" s="102" t="s">
        <v>268</v>
      </c>
      <c r="W79" s="267">
        <f>IFERROR(Table6[[#This Row],[Breakdown Time]]*Table6[[#This Row],[Plant Equivalent Weightage]],"")</f>
        <v>1.2820512820512771E-3</v>
      </c>
      <c r="X79" s="262" t="s">
        <v>269</v>
      </c>
      <c r="Y79" s="263" t="s">
        <v>124</v>
      </c>
      <c r="Z79" s="102">
        <v>29496</v>
      </c>
      <c r="AA79" s="257">
        <f>(Table6[[#This Row],[Paired WTG Generation for loss calculation]]/24)*Table6[[#This Row],[Breakdown Time]]</f>
        <v>40.966666666666519</v>
      </c>
      <c r="AB79" s="102"/>
      <c r="AC79" s="35"/>
      <c r="AD79" s="35"/>
    </row>
    <row r="80" spans="1:30">
      <c r="A80" s="102">
        <f t="shared" si="2"/>
        <v>79</v>
      </c>
      <c r="B80" s="257">
        <f>YEAR(Table6[[#This Row],[Date]])+IF(MONTH(Table6[[#This Row],[Date]])&gt;=4,1,0)</f>
        <v>2026</v>
      </c>
      <c r="C80" s="102">
        <f>YEAR(Table6[[#This Row],[Date]])</f>
        <v>2025</v>
      </c>
      <c r="D80" s="102" t="s">
        <v>265</v>
      </c>
      <c r="E80" s="258">
        <f>Table6[[#This Row],[Date]]-DAY(Table6[[#This Row],[Date]])+1</f>
        <v>45748</v>
      </c>
      <c r="F80" s="259">
        <v>45754</v>
      </c>
      <c r="G80" s="35" t="s">
        <v>129</v>
      </c>
      <c r="H80" s="35" t="str">
        <f>IFERROR(_xlfn.XLOOKUP(Table6[[#This Row],[Affected WTG]],'Basic Data'!$A:$A,'Basic Data'!$B:$B),"")</f>
        <v>TQGXIIPL</v>
      </c>
      <c r="I80" s="35" t="str">
        <f>IFERROR(_xlfn.XLOOKUP(Table6[[#This Row],[Affected WTG]],'Basic Data'!$A:$A,'Basic Data'!$C:$C),"")</f>
        <v>GEDA</v>
      </c>
      <c r="J80" s="260">
        <f>IFERROR(_xlfn.XLOOKUP(Table6[[#This Row],[Affected WTG]],'Basic Data'!$A:$A,'Basic Data'!$E:$E),"")</f>
        <v>3.846153846153845E-2</v>
      </c>
      <c r="K80" s="102">
        <v>3211</v>
      </c>
      <c r="L80" s="35" t="str">
        <f>IFERROR(_xlfn.XLOOKUP(Table6[[#This Row],[Error Code]],'Basic Data'!$AA:$AA,'Basic Data'!$AB:$AB),"Incorrect Error Code")</f>
        <v>Conv. load shedding (CAN)</v>
      </c>
      <c r="M80" s="35" t="s">
        <v>278</v>
      </c>
      <c r="N80" s="264"/>
      <c r="O80" s="265">
        <v>0.61111111111111116</v>
      </c>
      <c r="P80" s="265">
        <v>0.61111111111111116</v>
      </c>
      <c r="Q80" s="266">
        <v>0.61250000000000004</v>
      </c>
      <c r="R80" s="261">
        <f>IF(Table6[[#This Row],[Work Start TimeStamp]]="","",(Table6[[#This Row],[Work Start TimeStamp]]-Table6[[#This Row],[Fault Start TimeStamp]])*24)</f>
        <v>0</v>
      </c>
      <c r="S80" s="261">
        <f>(Table6[[#This Row],[Fault Clearance time]]-Table6[[#This Row],[Work Start TimeStamp]])*24</f>
        <v>3.3333333333333215E-2</v>
      </c>
      <c r="T80" s="261">
        <f>(Table6[[#This Row],[Fault Clearance time]]-Table6[[#This Row],[Fault Start TimeStamp]])*24</f>
        <v>3.3333333333333215E-2</v>
      </c>
      <c r="U80" s="35" t="s">
        <v>293</v>
      </c>
      <c r="V80" s="102" t="s">
        <v>268</v>
      </c>
      <c r="W80" s="267">
        <f>IFERROR(Table6[[#This Row],[Breakdown Time]]*Table6[[#This Row],[Plant Equivalent Weightage]],"")</f>
        <v>1.2820512820512771E-3</v>
      </c>
      <c r="X80" s="262" t="s">
        <v>269</v>
      </c>
      <c r="Y80" s="263" t="s">
        <v>124</v>
      </c>
      <c r="Z80" s="102">
        <v>29496</v>
      </c>
      <c r="AA80" s="257">
        <f>(Table6[[#This Row],[Paired WTG Generation for loss calculation]]/24)*Table6[[#This Row],[Breakdown Time]]</f>
        <v>40.966666666666519</v>
      </c>
      <c r="AB80" s="102"/>
      <c r="AC80" s="35"/>
      <c r="AD80" s="35"/>
    </row>
    <row r="81" spans="1:30">
      <c r="A81" s="102">
        <f t="shared" si="2"/>
        <v>80</v>
      </c>
      <c r="B81" s="257">
        <f>YEAR(Table6[[#This Row],[Date]])+IF(MONTH(Table6[[#This Row],[Date]])&gt;=4,1,0)</f>
        <v>2026</v>
      </c>
      <c r="C81" s="102">
        <f>YEAR(Table6[[#This Row],[Date]])</f>
        <v>2025</v>
      </c>
      <c r="D81" s="102" t="s">
        <v>265</v>
      </c>
      <c r="E81" s="258">
        <f>Table6[[#This Row],[Date]]-DAY(Table6[[#This Row],[Date]])+1</f>
        <v>45748</v>
      </c>
      <c r="F81" s="259">
        <v>45754</v>
      </c>
      <c r="G81" s="35" t="s">
        <v>130</v>
      </c>
      <c r="H81" s="35" t="str">
        <f>IFERROR(_xlfn.XLOOKUP(Table6[[#This Row],[Affected WTG]],'Basic Data'!$A:$A,'Basic Data'!$B:$B),"")</f>
        <v>TQGXIIPL</v>
      </c>
      <c r="I81" s="35" t="str">
        <f>IFERROR(_xlfn.XLOOKUP(Table6[[#This Row],[Affected WTG]],'Basic Data'!$A:$A,'Basic Data'!$C:$C),"")</f>
        <v>GEDA</v>
      </c>
      <c r="J81" s="260">
        <f>IFERROR(_xlfn.XLOOKUP(Table6[[#This Row],[Affected WTG]],'Basic Data'!$A:$A,'Basic Data'!$E:$E),"")</f>
        <v>3.846153846153845E-2</v>
      </c>
      <c r="K81" s="102">
        <v>3211</v>
      </c>
      <c r="L81" s="35" t="str">
        <f>IFERROR(_xlfn.XLOOKUP(Table6[[#This Row],[Error Code]],'Basic Data'!$AA:$AA,'Basic Data'!$AB:$AB),"Incorrect Error Code")</f>
        <v>Conv. load shedding (CAN)</v>
      </c>
      <c r="M81" s="35" t="s">
        <v>278</v>
      </c>
      <c r="N81" s="264"/>
      <c r="O81" s="265">
        <v>0.30902777777777779</v>
      </c>
      <c r="P81" s="265">
        <v>0.30902777777777779</v>
      </c>
      <c r="Q81" s="266">
        <v>0.3125</v>
      </c>
      <c r="R81" s="261">
        <f>IF(Table6[[#This Row],[Work Start TimeStamp]]="","",(Table6[[#This Row],[Work Start TimeStamp]]-Table6[[#This Row],[Fault Start TimeStamp]])*24)</f>
        <v>0</v>
      </c>
      <c r="S81" s="261">
        <f>(Table6[[#This Row],[Fault Clearance time]]-Table6[[#This Row],[Work Start TimeStamp]])*24</f>
        <v>8.3333333333333037E-2</v>
      </c>
      <c r="T81" s="261">
        <f>(Table6[[#This Row],[Fault Clearance time]]-Table6[[#This Row],[Fault Start TimeStamp]])*24</f>
        <v>8.3333333333333037E-2</v>
      </c>
      <c r="U81" s="35" t="s">
        <v>293</v>
      </c>
      <c r="V81" s="102" t="s">
        <v>268</v>
      </c>
      <c r="W81" s="267">
        <f>IFERROR(Table6[[#This Row],[Breakdown Time]]*Table6[[#This Row],[Plant Equivalent Weightage]],"")</f>
        <v>3.2051282051281929E-3</v>
      </c>
      <c r="X81" s="262" t="s">
        <v>269</v>
      </c>
      <c r="Y81" s="263" t="s">
        <v>135</v>
      </c>
      <c r="Z81" s="102">
        <v>35533</v>
      </c>
      <c r="AA81" s="257">
        <f>(Table6[[#This Row],[Paired WTG Generation for loss calculation]]/24)*Table6[[#This Row],[Breakdown Time]]</f>
        <v>123.37847222222179</v>
      </c>
      <c r="AB81" s="102"/>
      <c r="AC81" s="35"/>
      <c r="AD81" s="35"/>
    </row>
    <row r="82" spans="1:30">
      <c r="A82" s="102">
        <f t="shared" si="2"/>
        <v>81</v>
      </c>
      <c r="B82" s="257">
        <f>YEAR(Table6[[#This Row],[Date]])+IF(MONTH(Table6[[#This Row],[Date]])&gt;=4,1,0)</f>
        <v>2026</v>
      </c>
      <c r="C82" s="102">
        <f>YEAR(Table6[[#This Row],[Date]])</f>
        <v>2025</v>
      </c>
      <c r="D82" s="102" t="s">
        <v>265</v>
      </c>
      <c r="E82" s="258">
        <f>Table6[[#This Row],[Date]]-DAY(Table6[[#This Row],[Date]])+1</f>
        <v>45748</v>
      </c>
      <c r="F82" s="259">
        <v>45754</v>
      </c>
      <c r="G82" s="35" t="s">
        <v>132</v>
      </c>
      <c r="H82" s="35" t="str">
        <f>IFERROR(_xlfn.XLOOKUP(Table6[[#This Row],[Affected WTG]],'Basic Data'!$A:$A,'Basic Data'!$B:$B),"")</f>
        <v>TQGXIIPL</v>
      </c>
      <c r="I82" s="35" t="str">
        <f>IFERROR(_xlfn.XLOOKUP(Table6[[#This Row],[Affected WTG]],'Basic Data'!$A:$A,'Basic Data'!$C:$C),"")</f>
        <v>GEDA</v>
      </c>
      <c r="J82" s="260">
        <f>IFERROR(_xlfn.XLOOKUP(Table6[[#This Row],[Affected WTG]],'Basic Data'!$A:$A,'Basic Data'!$E:$E),"")</f>
        <v>3.846153846153845E-2</v>
      </c>
      <c r="K82" s="102">
        <v>3110</v>
      </c>
      <c r="L82" s="35" t="str">
        <f>IFERROR(_xlfn.XLOOKUP(Table6[[#This Row],[Error Code]],'Basic Data'!$AA:$AA,'Basic Data'!$AB:$AB),"Incorrect Error Code")</f>
        <v>Frequency converter error</v>
      </c>
      <c r="M82" s="35" t="s">
        <v>266</v>
      </c>
      <c r="N82" s="264"/>
      <c r="O82" s="265">
        <v>0.80277777777777781</v>
      </c>
      <c r="P82" s="265">
        <v>0.80277777777777781</v>
      </c>
      <c r="Q82" s="266">
        <v>0.80972222222222223</v>
      </c>
      <c r="R82" s="261">
        <f>IF(Table6[[#This Row],[Work Start TimeStamp]]="","",(Table6[[#This Row],[Work Start TimeStamp]]-Table6[[#This Row],[Fault Start TimeStamp]])*24)</f>
        <v>0</v>
      </c>
      <c r="S82" s="261">
        <f>(Table6[[#This Row],[Fault Clearance time]]-Table6[[#This Row],[Work Start TimeStamp]])*24</f>
        <v>0.16666666666666607</v>
      </c>
      <c r="T82" s="261">
        <f>(Table6[[#This Row],[Fault Clearance time]]-Table6[[#This Row],[Fault Start TimeStamp]])*24</f>
        <v>0.16666666666666607</v>
      </c>
      <c r="U82" s="35" t="s">
        <v>297</v>
      </c>
      <c r="V82" s="102" t="s">
        <v>268</v>
      </c>
      <c r="W82" s="267">
        <f>IFERROR(Table6[[#This Row],[Breakdown Time]]*Table6[[#This Row],[Plant Equivalent Weightage]],"")</f>
        <v>6.4102564102563857E-3</v>
      </c>
      <c r="X82" s="262" t="s">
        <v>269</v>
      </c>
      <c r="Y82" s="263" t="s">
        <v>120</v>
      </c>
      <c r="Z82" s="102">
        <v>33948</v>
      </c>
      <c r="AA82" s="257">
        <f>(Table6[[#This Row],[Paired WTG Generation for loss calculation]]/24)*Table6[[#This Row],[Breakdown Time]]</f>
        <v>235.74999999999918</v>
      </c>
      <c r="AB82" s="102"/>
      <c r="AC82" s="35"/>
      <c r="AD82" s="35"/>
    </row>
    <row r="83" spans="1:30">
      <c r="A83" s="102">
        <f t="shared" si="2"/>
        <v>82</v>
      </c>
      <c r="B83" s="257">
        <f>YEAR(Table6[[#This Row],[Date]])+IF(MONTH(Table6[[#This Row],[Date]])&gt;=4,1,0)</f>
        <v>2026</v>
      </c>
      <c r="C83" s="102">
        <f>YEAR(Table6[[#This Row],[Date]])</f>
        <v>2025</v>
      </c>
      <c r="D83" s="102" t="s">
        <v>265</v>
      </c>
      <c r="E83" s="258">
        <f>Table6[[#This Row],[Date]]-DAY(Table6[[#This Row],[Date]])+1</f>
        <v>45748</v>
      </c>
      <c r="F83" s="259">
        <v>45754</v>
      </c>
      <c r="G83" s="35" t="s">
        <v>134</v>
      </c>
      <c r="H83" s="35" t="str">
        <f>IFERROR(_xlfn.XLOOKUP(Table6[[#This Row],[Affected WTG]],'Basic Data'!$A:$A,'Basic Data'!$B:$B),"")</f>
        <v>TQGXIIPL</v>
      </c>
      <c r="I83" s="35" t="str">
        <f>IFERROR(_xlfn.XLOOKUP(Table6[[#This Row],[Affected WTG]],'Basic Data'!$A:$A,'Basic Data'!$C:$C),"")</f>
        <v>GEDA</v>
      </c>
      <c r="J83" s="260">
        <f>IFERROR(_xlfn.XLOOKUP(Table6[[#This Row],[Affected WTG]],'Basic Data'!$A:$A,'Basic Data'!$E:$E),"")</f>
        <v>3.846153846153845E-2</v>
      </c>
      <c r="K83" s="102">
        <v>3211</v>
      </c>
      <c r="L83" s="35" t="str">
        <f>IFERROR(_xlfn.XLOOKUP(Table6[[#This Row],[Error Code]],'Basic Data'!$AA:$AA,'Basic Data'!$AB:$AB),"Incorrect Error Code")</f>
        <v>Conv. load shedding (CAN)</v>
      </c>
      <c r="M83" s="35" t="s">
        <v>278</v>
      </c>
      <c r="N83" s="264"/>
      <c r="O83" s="265">
        <v>0.14652777777777778</v>
      </c>
      <c r="P83" s="265">
        <v>0.14652777777777778</v>
      </c>
      <c r="Q83" s="266">
        <v>0.15138888888888888</v>
      </c>
      <c r="R83" s="261">
        <f>IF(Table6[[#This Row],[Work Start TimeStamp]]="","",(Table6[[#This Row],[Work Start TimeStamp]]-Table6[[#This Row],[Fault Start TimeStamp]])*24)</f>
        <v>0</v>
      </c>
      <c r="S83" s="261">
        <f>(Table6[[#This Row],[Fault Clearance time]]-Table6[[#This Row],[Work Start TimeStamp]])*24</f>
        <v>0.11666666666666625</v>
      </c>
      <c r="T83" s="261">
        <f>(Table6[[#This Row],[Fault Clearance time]]-Table6[[#This Row],[Fault Start TimeStamp]])*24</f>
        <v>0.11666666666666625</v>
      </c>
      <c r="U83" s="35" t="s">
        <v>293</v>
      </c>
      <c r="V83" s="102" t="s">
        <v>268</v>
      </c>
      <c r="W83" s="267">
        <f>IFERROR(Table6[[#This Row],[Breakdown Time]]*Table6[[#This Row],[Plant Equivalent Weightage]],"")</f>
        <v>4.4871794871794695E-3</v>
      </c>
      <c r="X83" s="262" t="s">
        <v>269</v>
      </c>
      <c r="Y83" s="263" t="s">
        <v>138</v>
      </c>
      <c r="Z83" s="102">
        <v>35825</v>
      </c>
      <c r="AA83" s="257">
        <f>(Table6[[#This Row],[Paired WTG Generation for loss calculation]]/24)*Table6[[#This Row],[Breakdown Time]]</f>
        <v>174.14930555555492</v>
      </c>
      <c r="AB83" s="102"/>
      <c r="AC83" s="35"/>
      <c r="AD83" s="35"/>
    </row>
    <row r="84" spans="1:30">
      <c r="A84" s="102">
        <f t="shared" si="2"/>
        <v>83</v>
      </c>
      <c r="B84" s="257">
        <f>YEAR(Table6[[#This Row],[Date]])+IF(MONTH(Table6[[#This Row],[Date]])&gt;=4,1,0)</f>
        <v>2026</v>
      </c>
      <c r="C84" s="102">
        <f>YEAR(Table6[[#This Row],[Date]])</f>
        <v>2025</v>
      </c>
      <c r="D84" s="102" t="s">
        <v>265</v>
      </c>
      <c r="E84" s="258">
        <f>Table6[[#This Row],[Date]]-DAY(Table6[[#This Row],[Date]])+1</f>
        <v>45748</v>
      </c>
      <c r="F84" s="259">
        <v>45754</v>
      </c>
      <c r="G84" s="35" t="s">
        <v>134</v>
      </c>
      <c r="H84" s="35" t="str">
        <f>IFERROR(_xlfn.XLOOKUP(Table6[[#This Row],[Affected WTG]],'Basic Data'!$A:$A,'Basic Data'!$B:$B),"")</f>
        <v>TQGXIIPL</v>
      </c>
      <c r="I84" s="35" t="str">
        <f>IFERROR(_xlfn.XLOOKUP(Table6[[#This Row],[Affected WTG]],'Basic Data'!$A:$A,'Basic Data'!$C:$C),"")</f>
        <v>GEDA</v>
      </c>
      <c r="J84" s="260">
        <f>IFERROR(_xlfn.XLOOKUP(Table6[[#This Row],[Affected WTG]],'Basic Data'!$A:$A,'Basic Data'!$E:$E),"")</f>
        <v>3.846153846153845E-2</v>
      </c>
      <c r="K84" s="102">
        <v>3211</v>
      </c>
      <c r="L84" s="35" t="str">
        <f>IFERROR(_xlfn.XLOOKUP(Table6[[#This Row],[Error Code]],'Basic Data'!$AA:$AA,'Basic Data'!$AB:$AB),"Incorrect Error Code")</f>
        <v>Conv. load shedding (CAN)</v>
      </c>
      <c r="M84" s="35" t="s">
        <v>266</v>
      </c>
      <c r="N84" s="264"/>
      <c r="O84" s="265">
        <v>0.2673611111111111</v>
      </c>
      <c r="P84" s="265">
        <v>0.2673611111111111</v>
      </c>
      <c r="Q84" s="266">
        <v>0.27152777777777776</v>
      </c>
      <c r="R84" s="261">
        <f>IF(Table6[[#This Row],[Work Start TimeStamp]]="","",(Table6[[#This Row],[Work Start TimeStamp]]-Table6[[#This Row],[Fault Start TimeStamp]])*24)</f>
        <v>0</v>
      </c>
      <c r="S84" s="261">
        <f>(Table6[[#This Row],[Fault Clearance time]]-Table6[[#This Row],[Work Start TimeStamp]])*24</f>
        <v>9.9999999999999645E-2</v>
      </c>
      <c r="T84" s="261">
        <f>(Table6[[#This Row],[Fault Clearance time]]-Table6[[#This Row],[Fault Start TimeStamp]])*24</f>
        <v>9.9999999999999645E-2</v>
      </c>
      <c r="U84" s="35" t="s">
        <v>267</v>
      </c>
      <c r="V84" s="102" t="s">
        <v>268</v>
      </c>
      <c r="W84" s="267">
        <f>IFERROR(Table6[[#This Row],[Breakdown Time]]*Table6[[#This Row],[Plant Equivalent Weightage]],"")</f>
        <v>3.8461538461538312E-3</v>
      </c>
      <c r="X84" s="262" t="s">
        <v>269</v>
      </c>
      <c r="Y84" s="263" t="s">
        <v>138</v>
      </c>
      <c r="Z84" s="102">
        <v>35825</v>
      </c>
      <c r="AA84" s="257">
        <f>(Table6[[#This Row],[Paired WTG Generation for loss calculation]]/24)*Table6[[#This Row],[Breakdown Time]]</f>
        <v>149.2708333333328</v>
      </c>
      <c r="AB84" s="102"/>
      <c r="AC84" s="35"/>
      <c r="AD84" s="35"/>
    </row>
    <row r="85" spans="1:30">
      <c r="A85" s="102">
        <f t="shared" si="2"/>
        <v>84</v>
      </c>
      <c r="B85" s="257">
        <f>YEAR(Table6[[#This Row],[Date]])+IF(MONTH(Table6[[#This Row],[Date]])&gt;=4,1,0)</f>
        <v>2026</v>
      </c>
      <c r="C85" s="102">
        <f>YEAR(Table6[[#This Row],[Date]])</f>
        <v>2025</v>
      </c>
      <c r="D85" s="102" t="s">
        <v>265</v>
      </c>
      <c r="E85" s="258">
        <f>Table6[[#This Row],[Date]]-DAY(Table6[[#This Row],[Date]])+1</f>
        <v>45748</v>
      </c>
      <c r="F85" s="259">
        <v>45754</v>
      </c>
      <c r="G85" s="35" t="s">
        <v>134</v>
      </c>
      <c r="H85" s="35" t="str">
        <f>IFERROR(_xlfn.XLOOKUP(Table6[[#This Row],[Affected WTG]],'Basic Data'!$A:$A,'Basic Data'!$B:$B),"")</f>
        <v>TQGXIIPL</v>
      </c>
      <c r="I85" s="35" t="str">
        <f>IFERROR(_xlfn.XLOOKUP(Table6[[#This Row],[Affected WTG]],'Basic Data'!$A:$A,'Basic Data'!$C:$C),"")</f>
        <v>GEDA</v>
      </c>
      <c r="J85" s="260">
        <f>IFERROR(_xlfn.XLOOKUP(Table6[[#This Row],[Affected WTG]],'Basic Data'!$A:$A,'Basic Data'!$E:$E),"")</f>
        <v>3.846153846153845E-2</v>
      </c>
      <c r="K85" s="102">
        <v>55</v>
      </c>
      <c r="L85" s="35" t="str">
        <f>IFERROR(_xlfn.XLOOKUP(Table6[[#This Row],[Error Code]],'Basic Data'!$AA:$AA,'Basic Data'!$AB:$AB),"Incorrect Error Code")</f>
        <v>WTG shut down</v>
      </c>
      <c r="M85" s="35" t="s">
        <v>266</v>
      </c>
      <c r="N85" s="264"/>
      <c r="O85" s="265">
        <v>0.5</v>
      </c>
      <c r="P85" s="265">
        <v>0.5</v>
      </c>
      <c r="Q85" s="266">
        <v>0.52430555555555558</v>
      </c>
      <c r="R85" s="261">
        <f>IF(Table6[[#This Row],[Work Start TimeStamp]]="","",(Table6[[#This Row],[Work Start TimeStamp]]-Table6[[#This Row],[Fault Start TimeStamp]])*24)</f>
        <v>0</v>
      </c>
      <c r="S85" s="261">
        <f>(Table6[[#This Row],[Fault Clearance time]]-Table6[[#This Row],[Work Start TimeStamp]])*24</f>
        <v>0.58333333333333393</v>
      </c>
      <c r="T85" s="261">
        <f>(Table6[[#This Row],[Fault Clearance time]]-Table6[[#This Row],[Fault Start TimeStamp]])*24</f>
        <v>0.58333333333333393</v>
      </c>
      <c r="U85" s="35" t="s">
        <v>304</v>
      </c>
      <c r="V85" s="102" t="s">
        <v>268</v>
      </c>
      <c r="W85" s="267">
        <f>IFERROR(Table6[[#This Row],[Breakdown Time]]*Table6[[#This Row],[Plant Equivalent Weightage]],"")</f>
        <v>2.2435897435897453E-2</v>
      </c>
      <c r="X85" s="262" t="s">
        <v>296</v>
      </c>
      <c r="Y85" s="263" t="s">
        <v>138</v>
      </c>
      <c r="Z85" s="102">
        <v>35825</v>
      </c>
      <c r="AA85" s="257">
        <f>(Table6[[#This Row],[Paired WTG Generation for loss calculation]]/24)*Table6[[#This Row],[Breakdown Time]]</f>
        <v>870.74652777777862</v>
      </c>
      <c r="AB85" s="102"/>
      <c r="AC85" s="35"/>
      <c r="AD85" s="35"/>
    </row>
    <row r="86" spans="1:30">
      <c r="A86" s="102">
        <f t="shared" si="2"/>
        <v>85</v>
      </c>
      <c r="B86" s="257">
        <f>YEAR(Table6[[#This Row],[Date]])+IF(MONTH(Table6[[#This Row],[Date]])&gt;=4,1,0)</f>
        <v>2026</v>
      </c>
      <c r="C86" s="102">
        <f>YEAR(Table6[[#This Row],[Date]])</f>
        <v>2025</v>
      </c>
      <c r="D86" s="102" t="s">
        <v>265</v>
      </c>
      <c r="E86" s="258">
        <f>Table6[[#This Row],[Date]]-DAY(Table6[[#This Row],[Date]])+1</f>
        <v>45748</v>
      </c>
      <c r="F86" s="259">
        <v>45754</v>
      </c>
      <c r="G86" s="35" t="s">
        <v>136</v>
      </c>
      <c r="H86" s="35" t="str">
        <f>IFERROR(_xlfn.XLOOKUP(Table6[[#This Row],[Affected WTG]],'Basic Data'!$A:$A,'Basic Data'!$B:$B),"")</f>
        <v>TQGXIIPL</v>
      </c>
      <c r="I86" s="35" t="str">
        <f>IFERROR(_xlfn.XLOOKUP(Table6[[#This Row],[Affected WTG]],'Basic Data'!$A:$A,'Basic Data'!$C:$C),"")</f>
        <v>GEDA</v>
      </c>
      <c r="J86" s="260">
        <f>IFERROR(_xlfn.XLOOKUP(Table6[[#This Row],[Affected WTG]],'Basic Data'!$A:$A,'Basic Data'!$E:$E),"")</f>
        <v>3.846153846153845E-2</v>
      </c>
      <c r="K86" s="102">
        <v>6130</v>
      </c>
      <c r="L86" s="35" t="str">
        <f>IFERROR(_xlfn.XLOOKUP(Table6[[#This Row],[Error Code]],'Basic Data'!$AA:$AA,'Basic Data'!$AB:$AB),"Incorrect Error Code")</f>
        <v>Yaw speed high</v>
      </c>
      <c r="M86" s="35" t="s">
        <v>278</v>
      </c>
      <c r="N86" s="264"/>
      <c r="O86" s="265">
        <v>0.47638888888888886</v>
      </c>
      <c r="P86" s="265">
        <v>0.47638888888888886</v>
      </c>
      <c r="Q86" s="266">
        <v>0.48055555555555557</v>
      </c>
      <c r="R86" s="261">
        <f>IF(Table6[[#This Row],[Work Start TimeStamp]]="","",(Table6[[#This Row],[Work Start TimeStamp]]-Table6[[#This Row],[Fault Start TimeStamp]])*24)</f>
        <v>0</v>
      </c>
      <c r="S86" s="261">
        <f>(Table6[[#This Row],[Fault Clearance time]]-Table6[[#This Row],[Work Start TimeStamp]])*24</f>
        <v>0.10000000000000098</v>
      </c>
      <c r="T86" s="261">
        <f>(Table6[[#This Row],[Fault Clearance time]]-Table6[[#This Row],[Fault Start TimeStamp]])*24</f>
        <v>0.10000000000000098</v>
      </c>
      <c r="U86" s="35" t="s">
        <v>293</v>
      </c>
      <c r="V86" s="102" t="s">
        <v>268</v>
      </c>
      <c r="W86" s="267">
        <f>IFERROR(Table6[[#This Row],[Breakdown Time]]*Table6[[#This Row],[Plant Equivalent Weightage]],"")</f>
        <v>3.8461538461538824E-3</v>
      </c>
      <c r="X86" s="262" t="s">
        <v>269</v>
      </c>
      <c r="Y86" s="263" t="s">
        <v>120</v>
      </c>
      <c r="Z86" s="102">
        <v>33948</v>
      </c>
      <c r="AA86" s="257">
        <f>(Table6[[#This Row],[Paired WTG Generation for loss calculation]]/24)*Table6[[#This Row],[Breakdown Time]]</f>
        <v>141.45000000000138</v>
      </c>
      <c r="AB86" s="102"/>
      <c r="AC86" s="35"/>
      <c r="AD86" s="35"/>
    </row>
    <row r="87" spans="1:30">
      <c r="A87" s="102">
        <f t="shared" si="2"/>
        <v>86</v>
      </c>
      <c r="B87" s="257">
        <f>YEAR(Table6[[#This Row],[Date]])+IF(MONTH(Table6[[#This Row],[Date]])&gt;=4,1,0)</f>
        <v>2026</v>
      </c>
      <c r="C87" s="102">
        <f>YEAR(Table6[[#This Row],[Date]])</f>
        <v>2025</v>
      </c>
      <c r="D87" s="102" t="s">
        <v>265</v>
      </c>
      <c r="E87" s="258">
        <f>Table6[[#This Row],[Date]]-DAY(Table6[[#This Row],[Date]])+1</f>
        <v>45748</v>
      </c>
      <c r="F87" s="259">
        <v>45754</v>
      </c>
      <c r="G87" s="35" t="s">
        <v>139</v>
      </c>
      <c r="H87" s="35" t="str">
        <f>IFERROR(_xlfn.XLOOKUP(Table6[[#This Row],[Affected WTG]],'Basic Data'!$A:$A,'Basic Data'!$B:$B),"")</f>
        <v>TQGXIIPL</v>
      </c>
      <c r="I87" s="35" t="str">
        <f>IFERROR(_xlfn.XLOOKUP(Table6[[#This Row],[Affected WTG]],'Basic Data'!$A:$A,'Basic Data'!$C:$C),"")</f>
        <v>GEDA</v>
      </c>
      <c r="J87" s="260">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266</v>
      </c>
      <c r="N87" s="264"/>
      <c r="O87" s="265">
        <v>0.82361111111111107</v>
      </c>
      <c r="P87" s="265">
        <v>0.82361111111111107</v>
      </c>
      <c r="Q87" s="266">
        <v>0.83888888888888891</v>
      </c>
      <c r="R87" s="261">
        <f>IF(Table6[[#This Row],[Work Start TimeStamp]]="","",(Table6[[#This Row],[Work Start TimeStamp]]-Table6[[#This Row],[Fault Start TimeStamp]])*24)</f>
        <v>0</v>
      </c>
      <c r="S87" s="261">
        <f>(Table6[[#This Row],[Fault Clearance time]]-Table6[[#This Row],[Work Start TimeStamp]])*24</f>
        <v>0.36666666666666803</v>
      </c>
      <c r="T87" s="261">
        <f>(Table6[[#This Row],[Fault Clearance time]]-Table6[[#This Row],[Fault Start TimeStamp]])*24</f>
        <v>0.36666666666666803</v>
      </c>
      <c r="U87" s="35" t="s">
        <v>267</v>
      </c>
      <c r="V87" s="102" t="s">
        <v>268</v>
      </c>
      <c r="W87" s="267">
        <f>IFERROR(Table6[[#This Row],[Breakdown Time]]*Table6[[#This Row],[Plant Equivalent Weightage]],"")</f>
        <v>1.4102564102564151E-2</v>
      </c>
      <c r="X87" s="262" t="s">
        <v>269</v>
      </c>
      <c r="Y87" s="263" t="s">
        <v>115</v>
      </c>
      <c r="Z87" s="102">
        <v>31048</v>
      </c>
      <c r="AA87" s="257">
        <f>(Table6[[#This Row],[Paired WTG Generation for loss calculation]]/24)*Table6[[#This Row],[Breakdown Time]]</f>
        <v>474.34444444444625</v>
      </c>
      <c r="AB87" s="102"/>
      <c r="AC87" s="35"/>
      <c r="AD87" s="35"/>
    </row>
    <row r="88" spans="1:30">
      <c r="A88" s="102">
        <f t="shared" si="2"/>
        <v>87</v>
      </c>
      <c r="B88" s="257">
        <f>YEAR(Table6[[#This Row],[Date]])+IF(MONTH(Table6[[#This Row],[Date]])&gt;=4,1,0)</f>
        <v>2026</v>
      </c>
      <c r="C88" s="102">
        <f>YEAR(Table6[[#This Row],[Date]])</f>
        <v>2025</v>
      </c>
      <c r="D88" s="102" t="s">
        <v>265</v>
      </c>
      <c r="E88" s="258">
        <f>Table6[[#This Row],[Date]]-DAY(Table6[[#This Row],[Date]])+1</f>
        <v>45748</v>
      </c>
      <c r="F88" s="259">
        <v>45755</v>
      </c>
      <c r="G88" s="35" t="s">
        <v>116</v>
      </c>
      <c r="H88" s="35" t="str">
        <f>IFERROR(_xlfn.XLOOKUP(Table6[[#This Row],[Affected WTG]],'Basic Data'!$A:$A,'Basic Data'!$B:$B),"")</f>
        <v>TQGXIIPL</v>
      </c>
      <c r="I88" s="35" t="str">
        <f>IFERROR(_xlfn.XLOOKUP(Table6[[#This Row],[Affected WTG]],'Basic Data'!$A:$A,'Basic Data'!$C:$C),"")</f>
        <v>GEDA</v>
      </c>
      <c r="J88" s="260">
        <f>IFERROR(_xlfn.XLOOKUP(Table6[[#This Row],[Affected WTG]],'Basic Data'!$A:$A,'Basic Data'!$E:$E),"")</f>
        <v>3.846153846153845E-2</v>
      </c>
      <c r="K88" s="102">
        <v>3211</v>
      </c>
      <c r="L88" s="35" t="str">
        <f>IFERROR(_xlfn.XLOOKUP(Table6[[#This Row],[Error Code]],'Basic Data'!$AA:$AA,'Basic Data'!$AB:$AB),"Incorrect Error Code")</f>
        <v>Conv. load shedding (CAN)</v>
      </c>
      <c r="M88" s="35" t="s">
        <v>266</v>
      </c>
      <c r="N88" s="264"/>
      <c r="O88" s="265">
        <v>0.37569444444444444</v>
      </c>
      <c r="P88" s="265">
        <v>0.37569444444444444</v>
      </c>
      <c r="Q88" s="266">
        <v>0.37916666666666665</v>
      </c>
      <c r="R88" s="261">
        <f>IF(Table6[[#This Row],[Work Start TimeStamp]]="","",(Table6[[#This Row],[Work Start TimeStamp]]-Table6[[#This Row],[Fault Start TimeStamp]])*24)</f>
        <v>0</v>
      </c>
      <c r="S88" s="261">
        <f>(Table6[[#This Row],[Fault Clearance time]]-Table6[[#This Row],[Work Start TimeStamp]])*24</f>
        <v>8.3333333333333037E-2</v>
      </c>
      <c r="T88" s="261">
        <f>(Table6[[#This Row],[Fault Clearance time]]-Table6[[#This Row],[Fault Start TimeStamp]])*24</f>
        <v>8.3333333333333037E-2</v>
      </c>
      <c r="U88" s="35" t="s">
        <v>297</v>
      </c>
      <c r="V88" s="102" t="s">
        <v>268</v>
      </c>
      <c r="W88" s="267">
        <f>IFERROR(Table6[[#This Row],[Breakdown Time]]*Table6[[#This Row],[Plant Equivalent Weightage]],"")</f>
        <v>3.2051282051281929E-3</v>
      </c>
      <c r="X88" s="262" t="s">
        <v>269</v>
      </c>
      <c r="Y88" s="263" t="s">
        <v>119</v>
      </c>
      <c r="Z88" s="102">
        <v>29686</v>
      </c>
      <c r="AA88" s="257">
        <f>(Table6[[#This Row],[Paired WTG Generation for loss calculation]]/24)*Table6[[#This Row],[Breakdown Time]]</f>
        <v>103.07638888888853</v>
      </c>
      <c r="AB88" s="102"/>
      <c r="AC88" s="35"/>
      <c r="AD88" s="35"/>
    </row>
    <row r="89" spans="1:30">
      <c r="A89" s="102">
        <f t="shared" si="2"/>
        <v>88</v>
      </c>
      <c r="B89" s="257">
        <f>YEAR(Table6[[#This Row],[Date]])+IF(MONTH(Table6[[#This Row],[Date]])&gt;=4,1,0)</f>
        <v>2026</v>
      </c>
      <c r="C89" s="102">
        <f>YEAR(Table6[[#This Row],[Date]])</f>
        <v>2025</v>
      </c>
      <c r="D89" s="102" t="s">
        <v>265</v>
      </c>
      <c r="E89" s="258">
        <f>Table6[[#This Row],[Date]]-DAY(Table6[[#This Row],[Date]])+1</f>
        <v>45748</v>
      </c>
      <c r="F89" s="259">
        <v>45755</v>
      </c>
      <c r="G89" s="35" t="s">
        <v>117</v>
      </c>
      <c r="H89" s="35" t="str">
        <f>IFERROR(_xlfn.XLOOKUP(Table6[[#This Row],[Affected WTG]],'Basic Data'!$A:$A,'Basic Data'!$B:$B),"")</f>
        <v>TQGXIIPL</v>
      </c>
      <c r="I89" s="35" t="str">
        <f>IFERROR(_xlfn.XLOOKUP(Table6[[#This Row],[Affected WTG]],'Basic Data'!$A:$A,'Basic Data'!$C:$C),"")</f>
        <v>GEDA</v>
      </c>
      <c r="J89" s="260">
        <f>IFERROR(_xlfn.XLOOKUP(Table6[[#This Row],[Affected WTG]],'Basic Data'!$A:$A,'Basic Data'!$E:$E),"")</f>
        <v>3.846153846153845E-2</v>
      </c>
      <c r="K89" s="102">
        <v>551</v>
      </c>
      <c r="L89" s="35" t="str">
        <f>IFERROR(_xlfn.XLOOKUP(Table6[[#This Row],[Error Code]],'Basic Data'!$AA:$AA,'Basic Data'!$AB:$AB),"Incorrect Error Code")</f>
        <v>Pitch motor current too high</v>
      </c>
      <c r="M89" s="35" t="s">
        <v>266</v>
      </c>
      <c r="N89" s="264"/>
      <c r="O89" s="265">
        <v>0.2951388888888889</v>
      </c>
      <c r="P89" s="265">
        <v>0.2951388888888889</v>
      </c>
      <c r="Q89" s="266">
        <v>0.30555555555555558</v>
      </c>
      <c r="R89" s="261">
        <f>IF(Table6[[#This Row],[Work Start TimeStamp]]="","",(Table6[[#This Row],[Work Start TimeStamp]]-Table6[[#This Row],[Fault Start TimeStamp]])*24)</f>
        <v>0</v>
      </c>
      <c r="S89" s="261">
        <f>(Table6[[#This Row],[Fault Clearance time]]-Table6[[#This Row],[Work Start TimeStamp]])*24</f>
        <v>0.25000000000000044</v>
      </c>
      <c r="T89" s="261">
        <f>(Table6[[#This Row],[Fault Clearance time]]-Table6[[#This Row],[Fault Start TimeStamp]])*24</f>
        <v>0.25000000000000044</v>
      </c>
      <c r="U89" s="35" t="s">
        <v>305</v>
      </c>
      <c r="V89" s="102" t="s">
        <v>268</v>
      </c>
      <c r="W89" s="267">
        <f>IFERROR(Table6[[#This Row],[Breakdown Time]]*Table6[[#This Row],[Plant Equivalent Weightage]],"")</f>
        <v>9.6153846153846298E-3</v>
      </c>
      <c r="X89" s="262" t="s">
        <v>269</v>
      </c>
      <c r="Y89" s="263" t="s">
        <v>123</v>
      </c>
      <c r="Z89" s="102">
        <v>23145</v>
      </c>
      <c r="AA89" s="257">
        <f>(Table6[[#This Row],[Paired WTG Generation for loss calculation]]/24)*Table6[[#This Row],[Breakdown Time]]</f>
        <v>241.09375000000043</v>
      </c>
      <c r="AB89" s="102"/>
      <c r="AC89" s="35"/>
      <c r="AD89" s="35"/>
    </row>
    <row r="90" spans="1:30">
      <c r="A90" s="102">
        <f t="shared" si="2"/>
        <v>89</v>
      </c>
      <c r="B90" s="257">
        <f>YEAR(Table6[[#This Row],[Date]])+IF(MONTH(Table6[[#This Row],[Date]])&gt;=4,1,0)</f>
        <v>2026</v>
      </c>
      <c r="C90" s="102">
        <f>YEAR(Table6[[#This Row],[Date]])</f>
        <v>2025</v>
      </c>
      <c r="D90" s="102" t="s">
        <v>265</v>
      </c>
      <c r="E90" s="258">
        <f>Table6[[#This Row],[Date]]-DAY(Table6[[#This Row],[Date]])+1</f>
        <v>45748</v>
      </c>
      <c r="F90" s="259">
        <v>45755</v>
      </c>
      <c r="G90" s="35" t="s">
        <v>118</v>
      </c>
      <c r="H90" s="35" t="str">
        <f>IFERROR(_xlfn.XLOOKUP(Table6[[#This Row],[Affected WTG]],'Basic Data'!$A:$A,'Basic Data'!$B:$B),"")</f>
        <v>TQGXIIPL</v>
      </c>
      <c r="I90" s="35" t="str">
        <f>IFERROR(_xlfn.XLOOKUP(Table6[[#This Row],[Affected WTG]],'Basic Data'!$A:$A,'Basic Data'!$C:$C),"")</f>
        <v>GEDA</v>
      </c>
      <c r="J90" s="260">
        <f>IFERROR(_xlfn.XLOOKUP(Table6[[#This Row],[Affected WTG]],'Basic Data'!$A:$A,'Basic Data'!$E:$E),"")</f>
        <v>3.846153846153845E-2</v>
      </c>
      <c r="K90" s="102">
        <v>5700</v>
      </c>
      <c r="L90" s="35" t="str">
        <f>IFERROR(_xlfn.XLOOKUP(Table6[[#This Row],[Error Code]],'Basic Data'!$AA:$AA,'Basic Data'!$AB:$AB),"Incorrect Error Code")</f>
        <v>Max. operation time hydraulic</v>
      </c>
      <c r="M90" s="35" t="s">
        <v>266</v>
      </c>
      <c r="N90" s="264"/>
      <c r="O90" s="265">
        <v>0.54861111111111116</v>
      </c>
      <c r="P90" s="265">
        <v>0.54861111111111116</v>
      </c>
      <c r="Q90" s="266">
        <v>0.55555555555555558</v>
      </c>
      <c r="R90" s="261">
        <f>IF(Table6[[#This Row],[Work Start TimeStamp]]="","",(Table6[[#This Row],[Work Start TimeStamp]]-Table6[[#This Row],[Fault Start TimeStamp]])*24)</f>
        <v>0</v>
      </c>
      <c r="S90" s="261">
        <f>(Table6[[#This Row],[Fault Clearance time]]-Table6[[#This Row],[Work Start TimeStamp]])*24</f>
        <v>0.16666666666666607</v>
      </c>
      <c r="T90" s="261">
        <f>(Table6[[#This Row],[Fault Clearance time]]-Table6[[#This Row],[Fault Start TimeStamp]])*24</f>
        <v>0.16666666666666607</v>
      </c>
      <c r="U90" s="35" t="s">
        <v>267</v>
      </c>
      <c r="V90" s="102" t="s">
        <v>268</v>
      </c>
      <c r="W90" s="267">
        <f>IFERROR(Table6[[#This Row],[Breakdown Time]]*Table6[[#This Row],[Plant Equivalent Weightage]],"")</f>
        <v>6.4102564102563857E-3</v>
      </c>
      <c r="X90" s="262" t="s">
        <v>269</v>
      </c>
      <c r="Y90" s="263" t="s">
        <v>121</v>
      </c>
      <c r="Z90" s="102">
        <v>31884</v>
      </c>
      <c r="AA90" s="257">
        <f>(Table6[[#This Row],[Paired WTG Generation for loss calculation]]/24)*Table6[[#This Row],[Breakdown Time]]</f>
        <v>221.41666666666589</v>
      </c>
      <c r="AB90" s="102"/>
      <c r="AC90" s="35"/>
      <c r="AD90" s="35"/>
    </row>
    <row r="91" spans="1:30">
      <c r="A91" s="102">
        <f t="shared" si="2"/>
        <v>90</v>
      </c>
      <c r="B91" s="257">
        <f>YEAR(Table6[[#This Row],[Date]])+IF(MONTH(Table6[[#This Row],[Date]])&gt;=4,1,0)</f>
        <v>2026</v>
      </c>
      <c r="C91" s="102">
        <f>YEAR(Table6[[#This Row],[Date]])</f>
        <v>2025</v>
      </c>
      <c r="D91" s="102" t="s">
        <v>265</v>
      </c>
      <c r="E91" s="258">
        <f>Table6[[#This Row],[Date]]-DAY(Table6[[#This Row],[Date]])+1</f>
        <v>45748</v>
      </c>
      <c r="F91" s="259">
        <v>45755</v>
      </c>
      <c r="G91" s="35" t="s">
        <v>118</v>
      </c>
      <c r="H91" s="35" t="str">
        <f>IFERROR(_xlfn.XLOOKUP(Table6[[#This Row],[Affected WTG]],'Basic Data'!$A:$A,'Basic Data'!$B:$B),"")</f>
        <v>TQGXIIPL</v>
      </c>
      <c r="I91" s="35" t="str">
        <f>IFERROR(_xlfn.XLOOKUP(Table6[[#This Row],[Affected WTG]],'Basic Data'!$A:$A,'Basic Data'!$C:$C),"")</f>
        <v>GEDA</v>
      </c>
      <c r="J91" s="260">
        <f>IFERROR(_xlfn.XLOOKUP(Table6[[#This Row],[Affected WTG]],'Basic Data'!$A:$A,'Basic Data'!$E:$E),"")</f>
        <v>3.846153846153845E-2</v>
      </c>
      <c r="K91" s="102">
        <v>6300</v>
      </c>
      <c r="L91" s="35" t="str">
        <f>IFERROR(_xlfn.XLOOKUP(Table6[[#This Row],[Error Code]],'Basic Data'!$AA:$AA,'Basic Data'!$AB:$AB),"Incorrect Error Code")</f>
        <v>Yaw error</v>
      </c>
      <c r="M91" s="35" t="s">
        <v>278</v>
      </c>
      <c r="N91" s="264"/>
      <c r="O91" s="265">
        <v>0.65</v>
      </c>
      <c r="P91" s="265">
        <v>0.65</v>
      </c>
      <c r="Q91" s="266">
        <v>0.65069444444444446</v>
      </c>
      <c r="R91" s="261">
        <f>IF(Table6[[#This Row],[Work Start TimeStamp]]="","",(Table6[[#This Row],[Work Start TimeStamp]]-Table6[[#This Row],[Fault Start TimeStamp]])*24)</f>
        <v>0</v>
      </c>
      <c r="S91" s="261">
        <f>(Table6[[#This Row],[Fault Clearance time]]-Table6[[#This Row],[Work Start TimeStamp]])*24</f>
        <v>1.6666666666666607E-2</v>
      </c>
      <c r="T91" s="261">
        <f>(Table6[[#This Row],[Fault Clearance time]]-Table6[[#This Row],[Fault Start TimeStamp]])*24</f>
        <v>1.6666666666666607E-2</v>
      </c>
      <c r="U91" s="35" t="s">
        <v>277</v>
      </c>
      <c r="V91" s="102" t="s">
        <v>268</v>
      </c>
      <c r="W91" s="267">
        <f>IFERROR(Table6[[#This Row],[Breakdown Time]]*Table6[[#This Row],[Plant Equivalent Weightage]],"")</f>
        <v>6.4102564102563853E-4</v>
      </c>
      <c r="X91" s="262" t="s">
        <v>269</v>
      </c>
      <c r="Y91" s="263" t="s">
        <v>121</v>
      </c>
      <c r="Z91" s="102">
        <v>31884</v>
      </c>
      <c r="AA91" s="257">
        <f>(Table6[[#This Row],[Paired WTG Generation for loss calculation]]/24)*Table6[[#This Row],[Breakdown Time]]</f>
        <v>22.141666666666588</v>
      </c>
      <c r="AB91" s="102"/>
      <c r="AC91" s="35"/>
      <c r="AD91" s="35"/>
    </row>
    <row r="92" spans="1:30">
      <c r="A92" s="102">
        <f t="shared" si="2"/>
        <v>91</v>
      </c>
      <c r="B92" s="257">
        <f>YEAR(Table6[[#This Row],[Date]])+IF(MONTH(Table6[[#This Row],[Date]])&gt;=4,1,0)</f>
        <v>2026</v>
      </c>
      <c r="C92" s="102">
        <f>YEAR(Table6[[#This Row],[Date]])</f>
        <v>2025</v>
      </c>
      <c r="D92" s="102" t="s">
        <v>265</v>
      </c>
      <c r="E92" s="258">
        <f>Table6[[#This Row],[Date]]-DAY(Table6[[#This Row],[Date]])+1</f>
        <v>45748</v>
      </c>
      <c r="F92" s="259">
        <v>45755</v>
      </c>
      <c r="G92" s="35" t="s">
        <v>118</v>
      </c>
      <c r="H92" s="35" t="str">
        <f>IFERROR(_xlfn.XLOOKUP(Table6[[#This Row],[Affected WTG]],'Basic Data'!$A:$A,'Basic Data'!$B:$B),"")</f>
        <v>TQGXIIPL</v>
      </c>
      <c r="I92" s="35" t="str">
        <f>IFERROR(_xlfn.XLOOKUP(Table6[[#This Row],[Affected WTG]],'Basic Data'!$A:$A,'Basic Data'!$C:$C),"")</f>
        <v>GEDA</v>
      </c>
      <c r="J92" s="260">
        <f>IFERROR(_xlfn.XLOOKUP(Table6[[#This Row],[Affected WTG]],'Basic Data'!$A:$A,'Basic Data'!$E:$E),"")</f>
        <v>3.846153846153845E-2</v>
      </c>
      <c r="K92" s="102">
        <v>5700</v>
      </c>
      <c r="L92" s="35" t="str">
        <f>IFERROR(_xlfn.XLOOKUP(Table6[[#This Row],[Error Code]],'Basic Data'!$AA:$AA,'Basic Data'!$AB:$AB),"Incorrect Error Code")</f>
        <v>Max. operation time hydraulic</v>
      </c>
      <c r="M92" s="35" t="s">
        <v>266</v>
      </c>
      <c r="N92" s="264"/>
      <c r="O92" s="265">
        <v>0.73958333333333337</v>
      </c>
      <c r="P92" s="265">
        <v>0.74097222222222225</v>
      </c>
      <c r="Q92" s="266">
        <v>0.77430555555555558</v>
      </c>
      <c r="R92" s="261">
        <f>IF(Table6[[#This Row],[Work Start TimeStamp]]="","",(Table6[[#This Row],[Work Start TimeStamp]]-Table6[[#This Row],[Fault Start TimeStamp]])*24)</f>
        <v>3.3333333333333215E-2</v>
      </c>
      <c r="S92" s="261">
        <f>(Table6[[#This Row],[Fault Clearance time]]-Table6[[#This Row],[Work Start TimeStamp]])*24</f>
        <v>0.79999999999999982</v>
      </c>
      <c r="T92" s="261">
        <f>(Table6[[#This Row],[Fault Clearance time]]-Table6[[#This Row],[Fault Start TimeStamp]])*24</f>
        <v>0.83333333333333304</v>
      </c>
      <c r="U92" s="35" t="s">
        <v>306</v>
      </c>
      <c r="V92" s="102" t="s">
        <v>268</v>
      </c>
      <c r="W92" s="267">
        <f>IFERROR(Table6[[#This Row],[Breakdown Time]]*Table6[[#This Row],[Plant Equivalent Weightage]],"")</f>
        <v>3.2051282051282028E-2</v>
      </c>
      <c r="X92" s="262" t="s">
        <v>269</v>
      </c>
      <c r="Y92" s="263" t="s">
        <v>121</v>
      </c>
      <c r="Z92" s="102">
        <v>31884</v>
      </c>
      <c r="AA92" s="257">
        <f>(Table6[[#This Row],[Paired WTG Generation for loss calculation]]/24)*Table6[[#This Row],[Breakdown Time]]</f>
        <v>1107.083333333333</v>
      </c>
      <c r="AB92" s="102"/>
      <c r="AC92" s="35"/>
      <c r="AD92" s="35"/>
    </row>
    <row r="93" spans="1:30">
      <c r="A93" s="102">
        <f t="shared" si="2"/>
        <v>92</v>
      </c>
      <c r="B93" s="257">
        <f>YEAR(Table6[[#This Row],[Date]])+IF(MONTH(Table6[[#This Row],[Date]])&gt;=4,1,0)</f>
        <v>2026</v>
      </c>
      <c r="C93" s="102">
        <f>YEAR(Table6[[#This Row],[Date]])</f>
        <v>2025</v>
      </c>
      <c r="D93" s="102" t="s">
        <v>265</v>
      </c>
      <c r="E93" s="258">
        <f>Table6[[#This Row],[Date]]-DAY(Table6[[#This Row],[Date]])+1</f>
        <v>45748</v>
      </c>
      <c r="F93" s="259">
        <v>45755</v>
      </c>
      <c r="G93" s="35" t="s">
        <v>119</v>
      </c>
      <c r="H93" s="35" t="str">
        <f>IFERROR(_xlfn.XLOOKUP(Table6[[#This Row],[Affected WTG]],'Basic Data'!$A:$A,'Basic Data'!$B:$B),"")</f>
        <v>TQGXIIPL</v>
      </c>
      <c r="I93" s="35" t="str">
        <f>IFERROR(_xlfn.XLOOKUP(Table6[[#This Row],[Affected WTG]],'Basic Data'!$A:$A,'Basic Data'!$C:$C),"")</f>
        <v>GEDA</v>
      </c>
      <c r="J93" s="260">
        <f>IFERROR(_xlfn.XLOOKUP(Table6[[#This Row],[Affected WTG]],'Basic Data'!$A:$A,'Basic Data'!$E:$E),"")</f>
        <v>3.846153846153845E-2</v>
      </c>
      <c r="K93" s="102">
        <v>3211</v>
      </c>
      <c r="L93" s="35" t="str">
        <f>IFERROR(_xlfn.XLOOKUP(Table6[[#This Row],[Error Code]],'Basic Data'!$AA:$AA,'Basic Data'!$AB:$AB),"Incorrect Error Code")</f>
        <v>Conv. load shedding (CAN)</v>
      </c>
      <c r="M93" s="35" t="s">
        <v>278</v>
      </c>
      <c r="N93" s="264"/>
      <c r="O93" s="265">
        <v>0.1361111111111111</v>
      </c>
      <c r="P93" s="265">
        <v>0.1361111111111111</v>
      </c>
      <c r="Q93" s="266">
        <v>0.13819444444444445</v>
      </c>
      <c r="R93" s="261">
        <f>IF(Table6[[#This Row],[Work Start TimeStamp]]="","",(Table6[[#This Row],[Work Start TimeStamp]]-Table6[[#This Row],[Fault Start TimeStamp]])*24)</f>
        <v>0</v>
      </c>
      <c r="S93" s="261">
        <f>(Table6[[#This Row],[Fault Clearance time]]-Table6[[#This Row],[Work Start TimeStamp]])*24</f>
        <v>5.0000000000000488E-2</v>
      </c>
      <c r="T93" s="261">
        <f>(Table6[[#This Row],[Fault Clearance time]]-Table6[[#This Row],[Fault Start TimeStamp]])*24</f>
        <v>5.0000000000000488E-2</v>
      </c>
      <c r="U93" s="35" t="s">
        <v>277</v>
      </c>
      <c r="V93" s="102" t="s">
        <v>268</v>
      </c>
      <c r="W93" s="267">
        <f>IFERROR(Table6[[#This Row],[Breakdown Time]]*Table6[[#This Row],[Plant Equivalent Weightage]],"")</f>
        <v>1.9230769230769412E-3</v>
      </c>
      <c r="X93" s="262" t="s">
        <v>269</v>
      </c>
      <c r="Y93" s="263" t="s">
        <v>116</v>
      </c>
      <c r="Z93" s="102">
        <v>38913</v>
      </c>
      <c r="AA93" s="257">
        <f>(Table6[[#This Row],[Paired WTG Generation for loss calculation]]/24)*Table6[[#This Row],[Breakdown Time]]</f>
        <v>81.06875000000079</v>
      </c>
      <c r="AB93" s="102"/>
      <c r="AC93" s="35"/>
      <c r="AD93" s="35"/>
    </row>
    <row r="94" spans="1:30">
      <c r="A94" s="102">
        <f t="shared" si="2"/>
        <v>93</v>
      </c>
      <c r="B94" s="257">
        <f>YEAR(Table6[[#This Row],[Date]])+IF(MONTH(Table6[[#This Row],[Date]])&gt;=4,1,0)</f>
        <v>2026</v>
      </c>
      <c r="C94" s="102">
        <f>YEAR(Table6[[#This Row],[Date]])</f>
        <v>2025</v>
      </c>
      <c r="D94" s="102" t="s">
        <v>265</v>
      </c>
      <c r="E94" s="258">
        <f>Table6[[#This Row],[Date]]-DAY(Table6[[#This Row],[Date]])+1</f>
        <v>45748</v>
      </c>
      <c r="F94" s="259">
        <v>45755</v>
      </c>
      <c r="G94" s="35" t="s">
        <v>119</v>
      </c>
      <c r="H94" s="35" t="str">
        <f>IFERROR(_xlfn.XLOOKUP(Table6[[#This Row],[Affected WTG]],'Basic Data'!$A:$A,'Basic Data'!$B:$B),"")</f>
        <v>TQGXIIPL</v>
      </c>
      <c r="I94" s="35" t="str">
        <f>IFERROR(_xlfn.XLOOKUP(Table6[[#This Row],[Affected WTG]],'Basic Data'!$A:$A,'Basic Data'!$C:$C),"")</f>
        <v>GEDA</v>
      </c>
      <c r="J94" s="260">
        <f>IFERROR(_xlfn.XLOOKUP(Table6[[#This Row],[Affected WTG]],'Basic Data'!$A:$A,'Basic Data'!$E:$E),"")</f>
        <v>3.846153846153845E-2</v>
      </c>
      <c r="K94" s="102">
        <v>3211</v>
      </c>
      <c r="L94" s="35" t="str">
        <f>IFERROR(_xlfn.XLOOKUP(Table6[[#This Row],[Error Code]],'Basic Data'!$AA:$AA,'Basic Data'!$AB:$AB),"Incorrect Error Code")</f>
        <v>Conv. load shedding (CAN)</v>
      </c>
      <c r="M94" s="35" t="s">
        <v>266</v>
      </c>
      <c r="N94" s="264"/>
      <c r="O94" s="265">
        <v>0.17708333333333334</v>
      </c>
      <c r="P94" s="265">
        <v>0.17708333333333334</v>
      </c>
      <c r="Q94" s="266">
        <v>0.23958333333333334</v>
      </c>
      <c r="R94" s="261">
        <f>IF(Table6[[#This Row],[Work Start TimeStamp]]="","",(Table6[[#This Row],[Work Start TimeStamp]]-Table6[[#This Row],[Fault Start TimeStamp]])*24)</f>
        <v>0</v>
      </c>
      <c r="S94" s="261">
        <f>(Table6[[#This Row],[Fault Clearance time]]-Table6[[#This Row],[Work Start TimeStamp]])*24</f>
        <v>1.5</v>
      </c>
      <c r="T94" s="261">
        <f>(Table6[[#This Row],[Fault Clearance time]]-Table6[[#This Row],[Fault Start TimeStamp]])*24</f>
        <v>1.5</v>
      </c>
      <c r="U94" s="35" t="s">
        <v>307</v>
      </c>
      <c r="V94" s="102" t="s">
        <v>268</v>
      </c>
      <c r="W94" s="267">
        <f>IFERROR(Table6[[#This Row],[Breakdown Time]]*Table6[[#This Row],[Plant Equivalent Weightage]],"")</f>
        <v>5.7692307692307675E-2</v>
      </c>
      <c r="X94" s="262" t="s">
        <v>269</v>
      </c>
      <c r="Y94" s="263" t="s">
        <v>116</v>
      </c>
      <c r="Z94" s="102">
        <v>38913</v>
      </c>
      <c r="AA94" s="257">
        <f>(Table6[[#This Row],[Paired WTG Generation for loss calculation]]/24)*Table6[[#This Row],[Breakdown Time]]</f>
        <v>2432.0625</v>
      </c>
      <c r="AB94" s="102"/>
      <c r="AC94" s="35"/>
      <c r="AD94" s="35"/>
    </row>
    <row r="95" spans="1:30">
      <c r="A95" s="102">
        <f t="shared" si="2"/>
        <v>94</v>
      </c>
      <c r="B95" s="257">
        <f>YEAR(Table6[[#This Row],[Date]])+IF(MONTH(Table6[[#This Row],[Date]])&gt;=4,1,0)</f>
        <v>2026</v>
      </c>
      <c r="C95" s="102">
        <f>YEAR(Table6[[#This Row],[Date]])</f>
        <v>2025</v>
      </c>
      <c r="D95" s="102" t="s">
        <v>265</v>
      </c>
      <c r="E95" s="258">
        <f>Table6[[#This Row],[Date]]-DAY(Table6[[#This Row],[Date]])+1</f>
        <v>45748</v>
      </c>
      <c r="F95" s="259">
        <v>45755</v>
      </c>
      <c r="G95" s="35" t="s">
        <v>119</v>
      </c>
      <c r="H95" s="35" t="str">
        <f>IFERROR(_xlfn.XLOOKUP(Table6[[#This Row],[Affected WTG]],'Basic Data'!$A:$A,'Basic Data'!$B:$B),"")</f>
        <v>TQGXIIPL</v>
      </c>
      <c r="I95" s="35" t="str">
        <f>IFERROR(_xlfn.XLOOKUP(Table6[[#This Row],[Affected WTG]],'Basic Data'!$A:$A,'Basic Data'!$C:$C),"")</f>
        <v>GEDA</v>
      </c>
      <c r="J95" s="260">
        <f>IFERROR(_xlfn.XLOOKUP(Table6[[#This Row],[Affected WTG]],'Basic Data'!$A:$A,'Basic Data'!$E:$E),"")</f>
        <v>3.846153846153845E-2</v>
      </c>
      <c r="K95" s="102">
        <v>3211</v>
      </c>
      <c r="L95" s="35" t="str">
        <f>IFERROR(_xlfn.XLOOKUP(Table6[[#This Row],[Error Code]],'Basic Data'!$AA:$AA,'Basic Data'!$AB:$AB),"Incorrect Error Code")</f>
        <v>Conv. load shedding (CAN)</v>
      </c>
      <c r="M95" s="35" t="s">
        <v>266</v>
      </c>
      <c r="N95" s="264"/>
      <c r="O95" s="265">
        <v>0.47916666666666669</v>
      </c>
      <c r="P95" s="265">
        <v>0.47916666666666669</v>
      </c>
      <c r="Q95" s="266">
        <v>0.55555555555555558</v>
      </c>
      <c r="R95" s="261">
        <f>IF(Table6[[#This Row],[Work Start TimeStamp]]="","",(Table6[[#This Row],[Work Start TimeStamp]]-Table6[[#This Row],[Fault Start TimeStamp]])*24)</f>
        <v>0</v>
      </c>
      <c r="S95" s="261">
        <f>(Table6[[#This Row],[Fault Clearance time]]-Table6[[#This Row],[Work Start TimeStamp]])*24</f>
        <v>1.8333333333333335</v>
      </c>
      <c r="T95" s="261">
        <f>(Table6[[#This Row],[Fault Clearance time]]-Table6[[#This Row],[Fault Start TimeStamp]])*24</f>
        <v>1.8333333333333335</v>
      </c>
      <c r="U95" s="35" t="s">
        <v>308</v>
      </c>
      <c r="V95" s="102" t="s">
        <v>268</v>
      </c>
      <c r="W95" s="267">
        <f>IFERROR(Table6[[#This Row],[Breakdown Time]]*Table6[[#This Row],[Plant Equivalent Weightage]],"")</f>
        <v>7.0512820512820498E-2</v>
      </c>
      <c r="X95" s="262" t="s">
        <v>269</v>
      </c>
      <c r="Y95" s="263" t="s">
        <v>116</v>
      </c>
      <c r="Z95" s="102">
        <v>38913</v>
      </c>
      <c r="AA95" s="257">
        <f>(Table6[[#This Row],[Paired WTG Generation for loss calculation]]/24)*Table6[[#This Row],[Breakdown Time]]</f>
        <v>2972.5208333333335</v>
      </c>
      <c r="AB95" s="102"/>
      <c r="AC95" s="35"/>
      <c r="AD95" s="35"/>
    </row>
    <row r="96" spans="1:30">
      <c r="A96" s="102">
        <f t="shared" si="2"/>
        <v>95</v>
      </c>
      <c r="B96" s="257">
        <f>YEAR(Table6[[#This Row],[Date]])+IF(MONTH(Table6[[#This Row],[Date]])&gt;=4,1,0)</f>
        <v>2026</v>
      </c>
      <c r="C96" s="102">
        <f>YEAR(Table6[[#This Row],[Date]])</f>
        <v>2025</v>
      </c>
      <c r="D96" s="102" t="s">
        <v>265</v>
      </c>
      <c r="E96" s="258">
        <f>Table6[[#This Row],[Date]]-DAY(Table6[[#This Row],[Date]])+1</f>
        <v>45748</v>
      </c>
      <c r="F96" s="259">
        <v>45755</v>
      </c>
      <c r="G96" s="35" t="s">
        <v>122</v>
      </c>
      <c r="H96" s="35" t="str">
        <f>IFERROR(_xlfn.XLOOKUP(Table6[[#This Row],[Affected WTG]],'Basic Data'!$A:$A,'Basic Data'!$B:$B),"")</f>
        <v>TQGXIIPL</v>
      </c>
      <c r="I96" s="35" t="str">
        <f>IFERROR(_xlfn.XLOOKUP(Table6[[#This Row],[Affected WTG]],'Basic Data'!$A:$A,'Basic Data'!$C:$C),"")</f>
        <v>GEDA</v>
      </c>
      <c r="J96" s="260">
        <f>IFERROR(_xlfn.XLOOKUP(Table6[[#This Row],[Affected WTG]],'Basic Data'!$A:$A,'Basic Data'!$E:$E),"")</f>
        <v>3.846153846153845E-2</v>
      </c>
      <c r="K96" s="102">
        <v>4520</v>
      </c>
      <c r="L96" s="35" t="str">
        <f>IFERROR(_xlfn.XLOOKUP(Table6[[#This Row],[Error Code]],'Basic Data'!$AA:$AA,'Basic Data'!$AB:$AB),"Incorrect Error Code")</f>
        <v>Tower oscillation X level 1</v>
      </c>
      <c r="M96" s="35" t="s">
        <v>278</v>
      </c>
      <c r="N96" s="264"/>
      <c r="O96" s="265">
        <v>0.27986111111111112</v>
      </c>
      <c r="P96" s="265">
        <v>0.27986111111111112</v>
      </c>
      <c r="Q96" s="266">
        <v>0.28749999999999998</v>
      </c>
      <c r="R96" s="261">
        <f>IF(Table6[[#This Row],[Work Start TimeStamp]]="","",(Table6[[#This Row],[Work Start TimeStamp]]-Table6[[#This Row],[Fault Start TimeStamp]])*24)</f>
        <v>0</v>
      </c>
      <c r="S96" s="261">
        <f>(Table6[[#This Row],[Fault Clearance time]]-Table6[[#This Row],[Work Start TimeStamp]])*24</f>
        <v>0.18333333333333268</v>
      </c>
      <c r="T96" s="261">
        <f>(Table6[[#This Row],[Fault Clearance time]]-Table6[[#This Row],[Fault Start TimeStamp]])*24</f>
        <v>0.18333333333333268</v>
      </c>
      <c r="U96" s="35" t="s">
        <v>277</v>
      </c>
      <c r="V96" s="102" t="s">
        <v>268</v>
      </c>
      <c r="W96" s="267">
        <f>IFERROR(Table6[[#This Row],[Breakdown Time]]*Table6[[#This Row],[Plant Equivalent Weightage]],"")</f>
        <v>7.0512820512820245E-3</v>
      </c>
      <c r="X96" s="262" t="s">
        <v>269</v>
      </c>
      <c r="Y96" s="263" t="s">
        <v>140</v>
      </c>
      <c r="Z96" s="102">
        <v>23956</v>
      </c>
      <c r="AA96" s="257">
        <f>(Table6[[#This Row],[Paired WTG Generation for loss calculation]]/24)*Table6[[#This Row],[Breakdown Time]]</f>
        <v>182.99722222222155</v>
      </c>
      <c r="AB96" s="102"/>
      <c r="AC96" s="35"/>
      <c r="AD96" s="35"/>
    </row>
    <row r="97" spans="1:30">
      <c r="A97" s="102">
        <f t="shared" si="2"/>
        <v>96</v>
      </c>
      <c r="B97" s="257">
        <f>YEAR(Table6[[#This Row],[Date]])+IF(MONTH(Table6[[#This Row],[Date]])&gt;=4,1,0)</f>
        <v>2026</v>
      </c>
      <c r="C97" s="102">
        <f>YEAR(Table6[[#This Row],[Date]])</f>
        <v>2025</v>
      </c>
      <c r="D97" s="102" t="s">
        <v>265</v>
      </c>
      <c r="E97" s="258">
        <f>Table6[[#This Row],[Date]]-DAY(Table6[[#This Row],[Date]])+1</f>
        <v>45748</v>
      </c>
      <c r="F97" s="259">
        <v>45755</v>
      </c>
      <c r="G97" s="35" t="s">
        <v>122</v>
      </c>
      <c r="H97" s="35" t="str">
        <f>IFERROR(_xlfn.XLOOKUP(Table6[[#This Row],[Affected WTG]],'Basic Data'!$A:$A,'Basic Data'!$B:$B),"")</f>
        <v>TQGXIIPL</v>
      </c>
      <c r="I97" s="35" t="str">
        <f>IFERROR(_xlfn.XLOOKUP(Table6[[#This Row],[Affected WTG]],'Basic Data'!$A:$A,'Basic Data'!$C:$C),"")</f>
        <v>GEDA</v>
      </c>
      <c r="J97" s="260">
        <f>IFERROR(_xlfn.XLOOKUP(Table6[[#This Row],[Affected WTG]],'Basic Data'!$A:$A,'Basic Data'!$E:$E),"")</f>
        <v>3.846153846153845E-2</v>
      </c>
      <c r="K97" s="102">
        <v>6130</v>
      </c>
      <c r="L97" s="35" t="str">
        <f>IFERROR(_xlfn.XLOOKUP(Table6[[#This Row],[Error Code]],'Basic Data'!$AA:$AA,'Basic Data'!$AB:$AB),"Incorrect Error Code")</f>
        <v>Yaw speed high</v>
      </c>
      <c r="M97" s="35" t="s">
        <v>278</v>
      </c>
      <c r="N97" s="264"/>
      <c r="O97" s="265">
        <v>0.87013888888888891</v>
      </c>
      <c r="P97" s="265">
        <v>0.87013888888888891</v>
      </c>
      <c r="Q97" s="266">
        <v>0.87222222222222223</v>
      </c>
      <c r="R97" s="261">
        <f>IF(Table6[[#This Row],[Work Start TimeStamp]]="","",(Table6[[#This Row],[Work Start TimeStamp]]-Table6[[#This Row],[Fault Start TimeStamp]])*24)</f>
        <v>0</v>
      </c>
      <c r="S97" s="261">
        <f>(Table6[[#This Row],[Fault Clearance time]]-Table6[[#This Row],[Work Start TimeStamp]])*24</f>
        <v>4.9999999999999822E-2</v>
      </c>
      <c r="T97" s="261">
        <f>(Table6[[#This Row],[Fault Clearance time]]-Table6[[#This Row],[Fault Start TimeStamp]])*24</f>
        <v>4.9999999999999822E-2</v>
      </c>
      <c r="U97" s="35" t="s">
        <v>277</v>
      </c>
      <c r="V97" s="102" t="s">
        <v>268</v>
      </c>
      <c r="W97" s="267">
        <f>IFERROR(Table6[[#This Row],[Breakdown Time]]*Table6[[#This Row],[Plant Equivalent Weightage]],"")</f>
        <v>1.9230769230769156E-3</v>
      </c>
      <c r="X97" s="262" t="s">
        <v>269</v>
      </c>
      <c r="Y97" s="263" t="s">
        <v>140</v>
      </c>
      <c r="Z97" s="102">
        <v>23956</v>
      </c>
      <c r="AA97" s="257">
        <f>(Table6[[#This Row],[Paired WTG Generation for loss calculation]]/24)*Table6[[#This Row],[Breakdown Time]]</f>
        <v>49.908333333333154</v>
      </c>
      <c r="AB97" s="102"/>
      <c r="AC97" s="35"/>
      <c r="AD97" s="35"/>
    </row>
    <row r="98" spans="1:30">
      <c r="A98" s="102">
        <f t="shared" si="2"/>
        <v>97</v>
      </c>
      <c r="B98" s="257">
        <f>YEAR(Table6[[#This Row],[Date]])+IF(MONTH(Table6[[#This Row],[Date]])&gt;=4,1,0)</f>
        <v>2026</v>
      </c>
      <c r="C98" s="102">
        <f>YEAR(Table6[[#This Row],[Date]])</f>
        <v>2025</v>
      </c>
      <c r="D98" s="102" t="s">
        <v>265</v>
      </c>
      <c r="E98" s="258">
        <f>Table6[[#This Row],[Date]]-DAY(Table6[[#This Row],[Date]])+1</f>
        <v>45748</v>
      </c>
      <c r="F98" s="259">
        <v>45755</v>
      </c>
      <c r="G98" s="35" t="s">
        <v>125</v>
      </c>
      <c r="H98" s="35" t="str">
        <f>IFERROR(_xlfn.XLOOKUP(Table6[[#This Row],[Affected WTG]],'Basic Data'!$A:$A,'Basic Data'!$B:$B),"")</f>
        <v>TQGXIIPL</v>
      </c>
      <c r="I98" s="35" t="str">
        <f>IFERROR(_xlfn.XLOOKUP(Table6[[#This Row],[Affected WTG]],'Basic Data'!$A:$A,'Basic Data'!$C:$C),"")</f>
        <v>GEDA</v>
      </c>
      <c r="J98" s="260">
        <f>IFERROR(_xlfn.XLOOKUP(Table6[[#This Row],[Affected WTG]],'Basic Data'!$A:$A,'Basic Data'!$E:$E),"")</f>
        <v>3.846153846153845E-2</v>
      </c>
      <c r="K98" s="102">
        <v>665</v>
      </c>
      <c r="L98" s="35" t="str">
        <f>IFERROR(_xlfn.XLOOKUP(Table6[[#This Row],[Error Code]],'Basic Data'!$AA:$AA,'Basic Data'!$AB:$AB),"Incorrect Error Code")</f>
        <v>Pitch error</v>
      </c>
      <c r="M98" s="35" t="s">
        <v>266</v>
      </c>
      <c r="N98" s="264"/>
      <c r="O98" s="265">
        <v>0.90972222222222221</v>
      </c>
      <c r="P98" s="265">
        <v>0.94097222222222221</v>
      </c>
      <c r="Q98" s="266">
        <v>0.99305555555555558</v>
      </c>
      <c r="R98" s="261">
        <f>IF(Table6[[#This Row],[Work Start TimeStamp]]="","",(Table6[[#This Row],[Work Start TimeStamp]]-Table6[[#This Row],[Fault Start TimeStamp]])*24)</f>
        <v>0.75</v>
      </c>
      <c r="S98" s="261">
        <f>(Table6[[#This Row],[Fault Clearance time]]-Table6[[#This Row],[Work Start TimeStamp]])*24</f>
        <v>1.2500000000000009</v>
      </c>
      <c r="T98" s="261">
        <f>(Table6[[#This Row],[Fault Clearance time]]-Table6[[#This Row],[Fault Start TimeStamp]])*24</f>
        <v>2.0000000000000009</v>
      </c>
      <c r="U98" s="35" t="s">
        <v>309</v>
      </c>
      <c r="V98" s="102" t="s">
        <v>268</v>
      </c>
      <c r="W98" s="267">
        <f>IFERROR(Table6[[#This Row],[Breakdown Time]]*Table6[[#This Row],[Plant Equivalent Weightage]],"")</f>
        <v>7.6923076923076927E-2</v>
      </c>
      <c r="X98" s="262" t="s">
        <v>269</v>
      </c>
      <c r="Y98" s="263" t="s">
        <v>126</v>
      </c>
      <c r="Z98" s="102">
        <v>32730</v>
      </c>
      <c r="AA98" s="257">
        <f>(Table6[[#This Row],[Paired WTG Generation for loss calculation]]/24)*Table6[[#This Row],[Breakdown Time]]</f>
        <v>2727.5000000000014</v>
      </c>
      <c r="AB98" s="102"/>
      <c r="AC98" s="35"/>
      <c r="AD98" s="35"/>
    </row>
    <row r="99" spans="1:30">
      <c r="A99" s="102">
        <f t="shared" si="2"/>
        <v>98</v>
      </c>
      <c r="B99" s="257">
        <f>YEAR(Table6[[#This Row],[Date]])+IF(MONTH(Table6[[#This Row],[Date]])&gt;=4,1,0)</f>
        <v>2026</v>
      </c>
      <c r="C99" s="102">
        <f>YEAR(Table6[[#This Row],[Date]])</f>
        <v>2025</v>
      </c>
      <c r="D99" s="102" t="s">
        <v>265</v>
      </c>
      <c r="E99" s="258">
        <f>Table6[[#This Row],[Date]]-DAY(Table6[[#This Row],[Date]])+1</f>
        <v>45748</v>
      </c>
      <c r="F99" s="259">
        <v>45755</v>
      </c>
      <c r="G99" s="35" t="s">
        <v>130</v>
      </c>
      <c r="H99" s="35" t="str">
        <f>IFERROR(_xlfn.XLOOKUP(Table6[[#This Row],[Affected WTG]],'Basic Data'!$A:$A,'Basic Data'!$B:$B),"")</f>
        <v>TQGXIIPL</v>
      </c>
      <c r="I99" s="35" t="str">
        <f>IFERROR(_xlfn.XLOOKUP(Table6[[#This Row],[Affected WTG]],'Basic Data'!$A:$A,'Basic Data'!$C:$C),"")</f>
        <v>GEDA</v>
      </c>
      <c r="J99" s="260">
        <f>IFERROR(_xlfn.XLOOKUP(Table6[[#This Row],[Affected WTG]],'Basic Data'!$A:$A,'Basic Data'!$E:$E),"")</f>
        <v>3.846153846153845E-2</v>
      </c>
      <c r="K99" s="102">
        <v>3211</v>
      </c>
      <c r="L99" s="35" t="str">
        <f>IFERROR(_xlfn.XLOOKUP(Table6[[#This Row],[Error Code]],'Basic Data'!$AA:$AA,'Basic Data'!$AB:$AB),"Incorrect Error Code")</f>
        <v>Conv. load shedding (CAN)</v>
      </c>
      <c r="M99" s="35" t="s">
        <v>266</v>
      </c>
      <c r="N99" s="264"/>
      <c r="O99" s="265">
        <v>0.84097222222222223</v>
      </c>
      <c r="P99" s="265">
        <v>0.84097222222222223</v>
      </c>
      <c r="Q99" s="266">
        <v>0.84513888888888888</v>
      </c>
      <c r="R99" s="261">
        <f>IF(Table6[[#This Row],[Work Start TimeStamp]]="","",(Table6[[#This Row],[Work Start TimeStamp]]-Table6[[#This Row],[Fault Start TimeStamp]])*24)</f>
        <v>0</v>
      </c>
      <c r="S99" s="261">
        <f>(Table6[[#This Row],[Fault Clearance time]]-Table6[[#This Row],[Work Start TimeStamp]])*24</f>
        <v>9.9999999999999645E-2</v>
      </c>
      <c r="T99" s="261">
        <f>(Table6[[#This Row],[Fault Clearance time]]-Table6[[#This Row],[Fault Start TimeStamp]])*24</f>
        <v>9.9999999999999645E-2</v>
      </c>
      <c r="U99" s="35" t="s">
        <v>267</v>
      </c>
      <c r="V99" s="102" t="s">
        <v>268</v>
      </c>
      <c r="W99" s="267">
        <f>IFERROR(Table6[[#This Row],[Breakdown Time]]*Table6[[#This Row],[Plant Equivalent Weightage]],"")</f>
        <v>3.8461538461538312E-3</v>
      </c>
      <c r="X99" s="262" t="s">
        <v>269</v>
      </c>
      <c r="Y99" s="263" t="s">
        <v>135</v>
      </c>
      <c r="Z99" s="102">
        <v>32199</v>
      </c>
      <c r="AA99" s="257">
        <f>(Table6[[#This Row],[Paired WTG Generation for loss calculation]]/24)*Table6[[#This Row],[Breakdown Time]]</f>
        <v>134.16249999999951</v>
      </c>
      <c r="AB99" s="102"/>
      <c r="AC99" s="35"/>
      <c r="AD99" s="35"/>
    </row>
    <row r="100" spans="1:30">
      <c r="A100" s="102">
        <f t="shared" si="2"/>
        <v>99</v>
      </c>
      <c r="B100" s="257">
        <f>YEAR(Table6[[#This Row],[Date]])+IF(MONTH(Table6[[#This Row],[Date]])&gt;=4,1,0)</f>
        <v>2026</v>
      </c>
      <c r="C100" s="102">
        <f>YEAR(Table6[[#This Row],[Date]])</f>
        <v>2025</v>
      </c>
      <c r="D100" s="102" t="s">
        <v>265</v>
      </c>
      <c r="E100" s="258">
        <f>Table6[[#This Row],[Date]]-DAY(Table6[[#This Row],[Date]])+1</f>
        <v>45748</v>
      </c>
      <c r="F100" s="259">
        <v>45755</v>
      </c>
      <c r="G100" s="35" t="s">
        <v>132</v>
      </c>
      <c r="H100" s="35" t="str">
        <f>IFERROR(_xlfn.XLOOKUP(Table6[[#This Row],[Affected WTG]],'Basic Data'!$A:$A,'Basic Data'!$B:$B),"")</f>
        <v>TQGXIIPL</v>
      </c>
      <c r="I100" s="35" t="str">
        <f>IFERROR(_xlfn.XLOOKUP(Table6[[#This Row],[Affected WTG]],'Basic Data'!$A:$A,'Basic Data'!$C:$C),"")</f>
        <v>GEDA</v>
      </c>
      <c r="J100" s="260">
        <f>IFERROR(_xlfn.XLOOKUP(Table6[[#This Row],[Affected WTG]],'Basic Data'!$A:$A,'Basic Data'!$E:$E),"")</f>
        <v>3.846153846153845E-2</v>
      </c>
      <c r="K100" s="102">
        <v>2521</v>
      </c>
      <c r="L100" s="35" t="str">
        <f>IFERROR(_xlfn.XLOOKUP(Table6[[#This Row],[Error Code]],'Basic Data'!$AA:$AA,'Basic Data'!$AB:$AB),"Incorrect Error Code")</f>
        <v>Gen.sp.analog &lt;&lt;&gt;&gt; gearb.sp.</v>
      </c>
      <c r="M100" s="35" t="s">
        <v>266</v>
      </c>
      <c r="N100" s="264"/>
      <c r="O100" s="265">
        <v>0.81666666666666665</v>
      </c>
      <c r="P100" s="265">
        <v>0.81666666666666665</v>
      </c>
      <c r="Q100" s="266">
        <v>0.82499999999999996</v>
      </c>
      <c r="R100" s="261">
        <f>IF(Table6[[#This Row],[Work Start TimeStamp]]="","",(Table6[[#This Row],[Work Start TimeStamp]]-Table6[[#This Row],[Fault Start TimeStamp]])*24)</f>
        <v>0</v>
      </c>
      <c r="S100" s="261">
        <f>(Table6[[#This Row],[Fault Clearance time]]-Table6[[#This Row],[Work Start TimeStamp]])*24</f>
        <v>0.19999999999999929</v>
      </c>
      <c r="T100" s="261">
        <f>(Table6[[#This Row],[Fault Clearance time]]-Table6[[#This Row],[Fault Start TimeStamp]])*24</f>
        <v>0.19999999999999929</v>
      </c>
      <c r="U100" s="35" t="s">
        <v>310</v>
      </c>
      <c r="V100" s="102" t="s">
        <v>268</v>
      </c>
      <c r="W100" s="267">
        <f>IFERROR(Table6[[#This Row],[Breakdown Time]]*Table6[[#This Row],[Plant Equivalent Weightage]],"")</f>
        <v>7.6923076923076624E-3</v>
      </c>
      <c r="X100" s="262" t="s">
        <v>269</v>
      </c>
      <c r="Y100" s="263" t="s">
        <v>120</v>
      </c>
      <c r="Z100" s="102">
        <v>31629</v>
      </c>
      <c r="AA100" s="257">
        <f>(Table6[[#This Row],[Paired WTG Generation for loss calculation]]/24)*Table6[[#This Row],[Breakdown Time]]</f>
        <v>263.57499999999908</v>
      </c>
      <c r="AB100" s="102"/>
      <c r="AC100" s="35"/>
      <c r="AD100" s="35"/>
    </row>
    <row r="101" spans="1:30">
      <c r="A101" s="102">
        <f t="shared" si="2"/>
        <v>100</v>
      </c>
      <c r="B101" s="257">
        <f>YEAR(Table6[[#This Row],[Date]])+IF(MONTH(Table6[[#This Row],[Date]])&gt;=4,1,0)</f>
        <v>2026</v>
      </c>
      <c r="C101" s="102">
        <f>YEAR(Table6[[#This Row],[Date]])</f>
        <v>2025</v>
      </c>
      <c r="D101" s="102" t="s">
        <v>265</v>
      </c>
      <c r="E101" s="258">
        <f>Table6[[#This Row],[Date]]-DAY(Table6[[#This Row],[Date]])+1</f>
        <v>45748</v>
      </c>
      <c r="F101" s="259">
        <v>45755</v>
      </c>
      <c r="G101" s="35" t="s">
        <v>134</v>
      </c>
      <c r="H101" s="35" t="str">
        <f>IFERROR(_xlfn.XLOOKUP(Table6[[#This Row],[Affected WTG]],'Basic Data'!$A:$A,'Basic Data'!$B:$B),"")</f>
        <v>TQGXIIPL</v>
      </c>
      <c r="I101" s="35" t="str">
        <f>IFERROR(_xlfn.XLOOKUP(Table6[[#This Row],[Affected WTG]],'Basic Data'!$A:$A,'Basic Data'!$C:$C),"")</f>
        <v>GEDA</v>
      </c>
      <c r="J101" s="260">
        <f>IFERROR(_xlfn.XLOOKUP(Table6[[#This Row],[Affected WTG]],'Basic Data'!$A:$A,'Basic Data'!$E:$E),"")</f>
        <v>3.846153846153845E-2</v>
      </c>
      <c r="K101" s="102">
        <v>3211</v>
      </c>
      <c r="L101" s="35" t="str">
        <f>IFERROR(_xlfn.XLOOKUP(Table6[[#This Row],[Error Code]],'Basic Data'!$AA:$AA,'Basic Data'!$AB:$AB),"Incorrect Error Code")</f>
        <v>Conv. load shedding (CAN)</v>
      </c>
      <c r="M101" s="35" t="s">
        <v>266</v>
      </c>
      <c r="N101" s="264"/>
      <c r="O101" s="265">
        <v>0.60416666666666663</v>
      </c>
      <c r="P101" s="265">
        <v>0.60416666666666663</v>
      </c>
      <c r="Q101" s="266">
        <v>0.61388888888888893</v>
      </c>
      <c r="R101" s="261">
        <f>IF(Table6[[#This Row],[Work Start TimeStamp]]="","",(Table6[[#This Row],[Work Start TimeStamp]]-Table6[[#This Row],[Fault Start TimeStamp]])*24)</f>
        <v>0</v>
      </c>
      <c r="S101" s="261">
        <f>(Table6[[#This Row],[Fault Clearance time]]-Table6[[#This Row],[Work Start TimeStamp]])*24</f>
        <v>0.23333333333333517</v>
      </c>
      <c r="T101" s="261">
        <f>(Table6[[#This Row],[Fault Clearance time]]-Table6[[#This Row],[Fault Start TimeStamp]])*24</f>
        <v>0.23333333333333517</v>
      </c>
      <c r="U101" s="35" t="s">
        <v>297</v>
      </c>
      <c r="V101" s="102" t="s">
        <v>268</v>
      </c>
      <c r="W101" s="267">
        <f>IFERROR(Table6[[#This Row],[Breakdown Time]]*Table6[[#This Row],[Plant Equivalent Weightage]],"")</f>
        <v>8.9743589743590414E-3</v>
      </c>
      <c r="X101" s="262" t="s">
        <v>269</v>
      </c>
      <c r="Y101" s="263" t="s">
        <v>138</v>
      </c>
      <c r="Z101" s="102">
        <v>34444</v>
      </c>
      <c r="AA101" s="257">
        <f>(Table6[[#This Row],[Paired WTG Generation for loss calculation]]/24)*Table6[[#This Row],[Breakdown Time]]</f>
        <v>334.87222222222488</v>
      </c>
      <c r="AB101" s="102"/>
      <c r="AC101" s="35"/>
      <c r="AD101" s="35"/>
    </row>
    <row r="102" spans="1:30">
      <c r="A102" s="102">
        <f t="shared" si="2"/>
        <v>101</v>
      </c>
      <c r="B102" s="257">
        <f>YEAR(Table6[[#This Row],[Date]])+IF(MONTH(Table6[[#This Row],[Date]])&gt;=4,1,0)</f>
        <v>2026</v>
      </c>
      <c r="C102" s="102">
        <f>YEAR(Table6[[#This Row],[Date]])</f>
        <v>2025</v>
      </c>
      <c r="D102" s="102" t="s">
        <v>265</v>
      </c>
      <c r="E102" s="258">
        <f>Table6[[#This Row],[Date]]-DAY(Table6[[#This Row],[Date]])+1</f>
        <v>45748</v>
      </c>
      <c r="F102" s="259">
        <v>45755</v>
      </c>
      <c r="G102" s="35" t="s">
        <v>137</v>
      </c>
      <c r="H102" s="35" t="str">
        <f>IFERROR(_xlfn.XLOOKUP(Table6[[#This Row],[Affected WTG]],'Basic Data'!$A:$A,'Basic Data'!$B:$B),"")</f>
        <v>TQGXIIPL</v>
      </c>
      <c r="I102" s="35" t="str">
        <f>IFERROR(_xlfn.XLOOKUP(Table6[[#This Row],[Affected WTG]],'Basic Data'!$A:$A,'Basic Data'!$C:$C),"")</f>
        <v>GEDA</v>
      </c>
      <c r="J102" s="260">
        <f>IFERROR(_xlfn.XLOOKUP(Table6[[#This Row],[Affected WTG]],'Basic Data'!$A:$A,'Basic Data'!$E:$E),"")</f>
        <v>3.846153846153845E-2</v>
      </c>
      <c r="K102" s="102">
        <v>3211</v>
      </c>
      <c r="L102" s="35" t="str">
        <f>IFERROR(_xlfn.XLOOKUP(Table6[[#This Row],[Error Code]],'Basic Data'!$AA:$AA,'Basic Data'!$AB:$AB),"Incorrect Error Code")</f>
        <v>Conv. load shedding (CAN)</v>
      </c>
      <c r="M102" s="35" t="s">
        <v>278</v>
      </c>
      <c r="N102" s="264"/>
      <c r="O102" s="265">
        <v>0.37569444444444444</v>
      </c>
      <c r="P102" s="265">
        <v>0.37569444444444444</v>
      </c>
      <c r="Q102" s="266">
        <v>0.37777777777777777</v>
      </c>
      <c r="R102" s="261">
        <f>IF(Table6[[#This Row],[Work Start TimeStamp]]="","",(Table6[[#This Row],[Work Start TimeStamp]]-Table6[[#This Row],[Fault Start TimeStamp]])*24)</f>
        <v>0</v>
      </c>
      <c r="S102" s="261">
        <f>(Table6[[#This Row],[Fault Clearance time]]-Table6[[#This Row],[Work Start TimeStamp]])*24</f>
        <v>4.9999999999999822E-2</v>
      </c>
      <c r="T102" s="261">
        <f>(Table6[[#This Row],[Fault Clearance time]]-Table6[[#This Row],[Fault Start TimeStamp]])*24</f>
        <v>4.9999999999999822E-2</v>
      </c>
      <c r="U102" s="35" t="s">
        <v>277</v>
      </c>
      <c r="V102" s="102" t="s">
        <v>268</v>
      </c>
      <c r="W102" s="267">
        <f>IFERROR(Table6[[#This Row],[Breakdown Time]]*Table6[[#This Row],[Plant Equivalent Weightage]],"")</f>
        <v>1.9230769230769156E-3</v>
      </c>
      <c r="X102" s="262" t="s">
        <v>269</v>
      </c>
      <c r="Y102" s="263" t="s">
        <v>125</v>
      </c>
      <c r="Z102" s="102">
        <v>27130</v>
      </c>
      <c r="AA102" s="257">
        <f>(Table6[[#This Row],[Paired WTG Generation for loss calculation]]/24)*Table6[[#This Row],[Breakdown Time]]</f>
        <v>56.520833333333137</v>
      </c>
      <c r="AB102" s="102"/>
      <c r="AC102" s="35"/>
      <c r="AD102" s="35"/>
    </row>
    <row r="103" spans="1:30">
      <c r="A103" s="102">
        <f t="shared" si="2"/>
        <v>102</v>
      </c>
      <c r="B103" s="257">
        <f>YEAR(Table6[[#This Row],[Date]])+IF(MONTH(Table6[[#This Row],[Date]])&gt;=4,1,0)</f>
        <v>2026</v>
      </c>
      <c r="C103" s="102">
        <f>YEAR(Table6[[#This Row],[Date]])</f>
        <v>2025</v>
      </c>
      <c r="D103" s="102" t="s">
        <v>265</v>
      </c>
      <c r="E103" s="258">
        <f>Table6[[#This Row],[Date]]-DAY(Table6[[#This Row],[Date]])+1</f>
        <v>45748</v>
      </c>
      <c r="F103" s="259">
        <v>45755</v>
      </c>
      <c r="G103" s="35" t="s">
        <v>139</v>
      </c>
      <c r="H103" s="35" t="str">
        <f>IFERROR(_xlfn.XLOOKUP(Table6[[#This Row],[Affected WTG]],'Basic Data'!$A:$A,'Basic Data'!$B:$B),"")</f>
        <v>TQGXIIPL</v>
      </c>
      <c r="I103" s="35" t="str">
        <f>IFERROR(_xlfn.XLOOKUP(Table6[[#This Row],[Affected WTG]],'Basic Data'!$A:$A,'Basic Data'!$C:$C),"")</f>
        <v>GEDA</v>
      </c>
      <c r="J103" s="260">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266</v>
      </c>
      <c r="N103" s="264"/>
      <c r="O103" s="265">
        <v>0.1076388888888889</v>
      </c>
      <c r="P103" s="265">
        <v>0.1076388888888889</v>
      </c>
      <c r="Q103" s="266">
        <v>0.11666666666666667</v>
      </c>
      <c r="R103" s="261">
        <f>IF(Table6[[#This Row],[Work Start TimeStamp]]="","",(Table6[[#This Row],[Work Start TimeStamp]]-Table6[[#This Row],[Fault Start TimeStamp]])*24)</f>
        <v>0</v>
      </c>
      <c r="S103" s="261">
        <f>(Table6[[#This Row],[Fault Clearance time]]-Table6[[#This Row],[Work Start TimeStamp]])*24</f>
        <v>0.21666666666666656</v>
      </c>
      <c r="T103" s="261">
        <f>(Table6[[#This Row],[Fault Clearance time]]-Table6[[#This Row],[Fault Start TimeStamp]])*24</f>
        <v>0.21666666666666656</v>
      </c>
      <c r="U103" s="35" t="s">
        <v>267</v>
      </c>
      <c r="V103" s="102" t="s">
        <v>268</v>
      </c>
      <c r="W103" s="267">
        <f>IFERROR(Table6[[#This Row],[Breakdown Time]]*Table6[[#This Row],[Plant Equivalent Weightage]],"")</f>
        <v>8.3333333333333263E-3</v>
      </c>
      <c r="X103" s="262" t="s">
        <v>269</v>
      </c>
      <c r="Y103" s="263" t="s">
        <v>115</v>
      </c>
      <c r="Z103" s="102">
        <v>32931</v>
      </c>
      <c r="AA103" s="257">
        <f>(Table6[[#This Row],[Paired WTG Generation for loss calculation]]/24)*Table6[[#This Row],[Breakdown Time]]</f>
        <v>297.29374999999987</v>
      </c>
      <c r="AB103" s="102"/>
      <c r="AC103" s="35"/>
      <c r="AD103" s="35"/>
    </row>
    <row r="104" spans="1:30">
      <c r="A104" s="102">
        <f t="shared" si="2"/>
        <v>103</v>
      </c>
      <c r="B104" s="257">
        <f>YEAR(Table6[[#This Row],[Date]])+IF(MONTH(Table6[[#This Row],[Date]])&gt;=4,1,0)</f>
        <v>2026</v>
      </c>
      <c r="C104" s="102">
        <f>YEAR(Table6[[#This Row],[Date]])</f>
        <v>2025</v>
      </c>
      <c r="D104" s="102" t="s">
        <v>265</v>
      </c>
      <c r="E104" s="258">
        <f>Table6[[#This Row],[Date]]-DAY(Table6[[#This Row],[Date]])+1</f>
        <v>45748</v>
      </c>
      <c r="F104" s="259">
        <v>45755</v>
      </c>
      <c r="G104" s="35" t="s">
        <v>140</v>
      </c>
      <c r="H104" s="35" t="str">
        <f>IFERROR(_xlfn.XLOOKUP(Table6[[#This Row],[Affected WTG]],'Basic Data'!$A:$A,'Basic Data'!$B:$B),"")</f>
        <v>TQGXIIPL</v>
      </c>
      <c r="I104" s="35" t="str">
        <f>IFERROR(_xlfn.XLOOKUP(Table6[[#This Row],[Affected WTG]],'Basic Data'!$A:$A,'Basic Data'!$C:$C),"")</f>
        <v>GEDA</v>
      </c>
      <c r="J104" s="260">
        <f>IFERROR(_xlfn.XLOOKUP(Table6[[#This Row],[Affected WTG]],'Basic Data'!$A:$A,'Basic Data'!$E:$E),"")</f>
        <v>3.846153846153845E-2</v>
      </c>
      <c r="K104" s="102">
        <v>4520</v>
      </c>
      <c r="L104" s="35" t="str">
        <f>IFERROR(_xlfn.XLOOKUP(Table6[[#This Row],[Error Code]],'Basic Data'!$AA:$AA,'Basic Data'!$AB:$AB),"Incorrect Error Code")</f>
        <v>Tower oscillation X level 1</v>
      </c>
      <c r="M104" s="35" t="s">
        <v>278</v>
      </c>
      <c r="N104" s="264"/>
      <c r="O104" s="265">
        <v>0.10277777777777777</v>
      </c>
      <c r="P104" s="265">
        <v>0.10277777777777777</v>
      </c>
      <c r="Q104" s="266">
        <v>0.11041666666666666</v>
      </c>
      <c r="R104" s="261">
        <f>IF(Table6[[#This Row],[Work Start TimeStamp]]="","",(Table6[[#This Row],[Work Start TimeStamp]]-Table6[[#This Row],[Fault Start TimeStamp]])*24)</f>
        <v>0</v>
      </c>
      <c r="S104" s="261">
        <f>(Table6[[#This Row],[Fault Clearance time]]-Table6[[#This Row],[Work Start TimeStamp]])*24</f>
        <v>0.18333333333333335</v>
      </c>
      <c r="T104" s="261">
        <f>(Table6[[#This Row],[Fault Clearance time]]-Table6[[#This Row],[Fault Start TimeStamp]])*24</f>
        <v>0.18333333333333335</v>
      </c>
      <c r="U104" s="35" t="s">
        <v>277</v>
      </c>
      <c r="V104" s="102" t="s">
        <v>268</v>
      </c>
      <c r="W104" s="267">
        <f>IFERROR(Table6[[#This Row],[Breakdown Time]]*Table6[[#This Row],[Plant Equivalent Weightage]],"")</f>
        <v>7.0512820512820496E-3</v>
      </c>
      <c r="X104" s="262" t="s">
        <v>269</v>
      </c>
      <c r="Y104" s="263" t="s">
        <v>115</v>
      </c>
      <c r="Z104" s="102">
        <v>32931</v>
      </c>
      <c r="AA104" s="257">
        <f>(Table6[[#This Row],[Paired WTG Generation for loss calculation]]/24)*Table6[[#This Row],[Breakdown Time]]</f>
        <v>251.55625000000003</v>
      </c>
      <c r="AB104" s="102"/>
      <c r="AC104" s="35"/>
      <c r="AD104" s="35"/>
    </row>
    <row r="105" spans="1:30">
      <c r="A105" s="102">
        <f t="shared" si="2"/>
        <v>104</v>
      </c>
      <c r="B105" s="257">
        <f>YEAR(Table6[[#This Row],[Date]])+IF(MONTH(Table6[[#This Row],[Date]])&gt;=4,1,0)</f>
        <v>2026</v>
      </c>
      <c r="C105" s="102">
        <f>YEAR(Table6[[#This Row],[Date]])</f>
        <v>2025</v>
      </c>
      <c r="D105" s="102" t="s">
        <v>265</v>
      </c>
      <c r="E105" s="258">
        <f>Table6[[#This Row],[Date]]-DAY(Table6[[#This Row],[Date]])+1</f>
        <v>45748</v>
      </c>
      <c r="F105" s="259">
        <v>45755</v>
      </c>
      <c r="G105" s="35" t="s">
        <v>140</v>
      </c>
      <c r="H105" s="35" t="str">
        <f>IFERROR(_xlfn.XLOOKUP(Table6[[#This Row],[Affected WTG]],'Basic Data'!$A:$A,'Basic Data'!$B:$B),"")</f>
        <v>TQGXIIPL</v>
      </c>
      <c r="I105" s="35" t="str">
        <f>IFERROR(_xlfn.XLOOKUP(Table6[[#This Row],[Affected WTG]],'Basic Data'!$A:$A,'Basic Data'!$C:$C),"")</f>
        <v>GEDA</v>
      </c>
      <c r="J105" s="260">
        <f>IFERROR(_xlfn.XLOOKUP(Table6[[#This Row],[Affected WTG]],'Basic Data'!$A:$A,'Basic Data'!$E:$E),"")</f>
        <v>3.846153846153845E-2</v>
      </c>
      <c r="K105" s="102">
        <v>3211</v>
      </c>
      <c r="L105" s="35" t="str">
        <f>IFERROR(_xlfn.XLOOKUP(Table6[[#This Row],[Error Code]],'Basic Data'!$AA:$AA,'Basic Data'!$AB:$AB),"Incorrect Error Code")</f>
        <v>Conv. load shedding (CAN)</v>
      </c>
      <c r="M105" s="35" t="s">
        <v>278</v>
      </c>
      <c r="N105" s="264"/>
      <c r="O105" s="265">
        <v>0.37569444444444444</v>
      </c>
      <c r="P105" s="265">
        <v>0.37569444444444444</v>
      </c>
      <c r="Q105" s="266">
        <v>0.37777777777777777</v>
      </c>
      <c r="R105" s="261">
        <f>IF(Table6[[#This Row],[Work Start TimeStamp]]="","",(Table6[[#This Row],[Work Start TimeStamp]]-Table6[[#This Row],[Fault Start TimeStamp]])*24)</f>
        <v>0</v>
      </c>
      <c r="S105" s="261">
        <f>(Table6[[#This Row],[Fault Clearance time]]-Table6[[#This Row],[Work Start TimeStamp]])*24</f>
        <v>4.9999999999999822E-2</v>
      </c>
      <c r="T105" s="261">
        <f>(Table6[[#This Row],[Fault Clearance time]]-Table6[[#This Row],[Fault Start TimeStamp]])*24</f>
        <v>4.9999999999999822E-2</v>
      </c>
      <c r="U105" s="35" t="s">
        <v>277</v>
      </c>
      <c r="V105" s="102" t="s">
        <v>268</v>
      </c>
      <c r="W105" s="267">
        <f>IFERROR(Table6[[#This Row],[Breakdown Time]]*Table6[[#This Row],[Plant Equivalent Weightage]],"")</f>
        <v>1.9230769230769156E-3</v>
      </c>
      <c r="X105" s="262" t="s">
        <v>269</v>
      </c>
      <c r="Y105" s="263" t="s">
        <v>115</v>
      </c>
      <c r="Z105" s="102">
        <v>32931</v>
      </c>
      <c r="AA105" s="257">
        <f>(Table6[[#This Row],[Paired WTG Generation for loss calculation]]/24)*Table6[[#This Row],[Breakdown Time]]</f>
        <v>68.606249999999761</v>
      </c>
      <c r="AB105" s="102"/>
      <c r="AC105" s="35"/>
      <c r="AD105" s="35"/>
    </row>
    <row r="106" spans="1:30">
      <c r="A106" s="102">
        <f t="shared" si="2"/>
        <v>105</v>
      </c>
      <c r="B106" s="257">
        <f>YEAR(Table6[[#This Row],[Date]])+IF(MONTH(Table6[[#This Row],[Date]])&gt;=4,1,0)</f>
        <v>2026</v>
      </c>
      <c r="C106" s="102">
        <f>YEAR(Table6[[#This Row],[Date]])</f>
        <v>2025</v>
      </c>
      <c r="D106" s="102" t="s">
        <v>265</v>
      </c>
      <c r="E106" s="258">
        <f>Table6[[#This Row],[Date]]-DAY(Table6[[#This Row],[Date]])+1</f>
        <v>45748</v>
      </c>
      <c r="F106" s="259">
        <v>45755</v>
      </c>
      <c r="G106" s="35" t="s">
        <v>127</v>
      </c>
      <c r="H106" s="35" t="str">
        <f>IFERROR(_xlfn.XLOOKUP(Table6[[#This Row],[Affected WTG]],'Basic Data'!$A:$A,'Basic Data'!$B:$B),"")</f>
        <v>TQGXIIPL</v>
      </c>
      <c r="I106" s="35" t="str">
        <f>IFERROR(_xlfn.XLOOKUP(Table6[[#This Row],[Affected WTG]],'Basic Data'!$A:$A,'Basic Data'!$C:$C),"")</f>
        <v>GEDA</v>
      </c>
      <c r="J106" s="260">
        <f>IFERROR(_xlfn.XLOOKUP(Table6[[#This Row],[Affected WTG]],'Basic Data'!$A:$A,'Basic Data'!$E:$E),"")</f>
        <v>3.846153846153845E-2</v>
      </c>
      <c r="K106" s="102">
        <v>55</v>
      </c>
      <c r="L106" s="35" t="str">
        <f>IFERROR(_xlfn.XLOOKUP(Table6[[#This Row],[Error Code]],'Basic Data'!$AA:$AA,'Basic Data'!$AB:$AB),"Incorrect Error Code")</f>
        <v>WTG shut down</v>
      </c>
      <c r="M106" s="35" t="s">
        <v>300</v>
      </c>
      <c r="N106" s="264"/>
      <c r="O106" s="265">
        <v>0.12083333333333333</v>
      </c>
      <c r="P106" s="265">
        <v>0.12083333333333333</v>
      </c>
      <c r="Q106" s="266">
        <v>0.14097222222222222</v>
      </c>
      <c r="R106" s="261">
        <f>IF(Table6[[#This Row],[Work Start TimeStamp]]="","",(Table6[[#This Row],[Work Start TimeStamp]]-Table6[[#This Row],[Fault Start TimeStamp]])*24)</f>
        <v>0</v>
      </c>
      <c r="S106" s="261">
        <f>(Table6[[#This Row],[Fault Clearance time]]-Table6[[#This Row],[Work Start TimeStamp]])*24</f>
        <v>0.48333333333333328</v>
      </c>
      <c r="T106" s="261">
        <f>(Table6[[#This Row],[Fault Clearance time]]-Table6[[#This Row],[Fault Start TimeStamp]])*24</f>
        <v>0.48333333333333328</v>
      </c>
      <c r="U106" s="35" t="s">
        <v>301</v>
      </c>
      <c r="V106" s="102" t="s">
        <v>268</v>
      </c>
      <c r="W106" s="267">
        <f>IFERROR(Table6[[#This Row],[Breakdown Time]]*Table6[[#This Row],[Plant Equivalent Weightage]],"")</f>
        <v>1.8589743589743583E-2</v>
      </c>
      <c r="X106" s="262" t="s">
        <v>296</v>
      </c>
      <c r="Y106" s="263" t="s">
        <v>125</v>
      </c>
      <c r="Z106" s="102">
        <v>27130</v>
      </c>
      <c r="AA106" s="257">
        <f>(Table6[[#This Row],[Paired WTG Generation for loss calculation]]/24)*Table6[[#This Row],[Breakdown Time]]</f>
        <v>546.36805555555554</v>
      </c>
      <c r="AB106" s="102"/>
      <c r="AC106" s="35"/>
      <c r="AD106" s="35"/>
    </row>
    <row r="107" spans="1:30">
      <c r="A107" s="102">
        <f t="shared" si="2"/>
        <v>106</v>
      </c>
      <c r="B107" s="257">
        <f>YEAR(Table6[[#This Row],[Date]])+IF(MONTH(Table6[[#This Row],[Date]])&gt;=4,1,0)</f>
        <v>2026</v>
      </c>
      <c r="C107" s="102">
        <f>YEAR(Table6[[#This Row],[Date]])</f>
        <v>2025</v>
      </c>
      <c r="D107" s="102" t="s">
        <v>265</v>
      </c>
      <c r="E107" s="258">
        <f>Table6[[#This Row],[Date]]-DAY(Table6[[#This Row],[Date]])+1</f>
        <v>45748</v>
      </c>
      <c r="F107" s="259">
        <v>45755</v>
      </c>
      <c r="G107" s="35" t="s">
        <v>139</v>
      </c>
      <c r="H107" s="35" t="str">
        <f>IFERROR(_xlfn.XLOOKUP(Table6[[#This Row],[Affected WTG]],'Basic Data'!$A:$A,'Basic Data'!$B:$B),"")</f>
        <v>TQGXIIPL</v>
      </c>
      <c r="I107" s="35" t="str">
        <f>IFERROR(_xlfn.XLOOKUP(Table6[[#This Row],[Affected WTG]],'Basic Data'!$A:$A,'Basic Data'!$C:$C),"")</f>
        <v>GEDA</v>
      </c>
      <c r="J107" s="260">
        <f>IFERROR(_xlfn.XLOOKUP(Table6[[#This Row],[Affected WTG]],'Basic Data'!$A:$A,'Basic Data'!$E:$E),"")</f>
        <v>3.846153846153845E-2</v>
      </c>
      <c r="K107" s="102">
        <v>55</v>
      </c>
      <c r="L107" s="35" t="str">
        <f>IFERROR(_xlfn.XLOOKUP(Table6[[#This Row],[Error Code]],'Basic Data'!$AA:$AA,'Basic Data'!$AB:$AB),"Incorrect Error Code")</f>
        <v>WTG shut down</v>
      </c>
      <c r="M107" s="35" t="s">
        <v>300</v>
      </c>
      <c r="N107" s="264"/>
      <c r="O107" s="265">
        <v>0.12152777777777778</v>
      </c>
      <c r="P107" s="265">
        <v>0.12152777777777778</v>
      </c>
      <c r="Q107" s="266">
        <v>0.13402777777777777</v>
      </c>
      <c r="R107" s="261">
        <f>IF(Table6[[#This Row],[Work Start TimeStamp]]="","",(Table6[[#This Row],[Work Start TimeStamp]]-Table6[[#This Row],[Fault Start TimeStamp]])*24)</f>
        <v>0</v>
      </c>
      <c r="S107" s="261">
        <f>(Table6[[#This Row],[Fault Clearance time]]-Table6[[#This Row],[Work Start TimeStamp]])*24</f>
        <v>0.29999999999999993</v>
      </c>
      <c r="T107" s="261">
        <f>(Table6[[#This Row],[Fault Clearance time]]-Table6[[#This Row],[Fault Start TimeStamp]])*24</f>
        <v>0.29999999999999993</v>
      </c>
      <c r="U107" s="35" t="s">
        <v>301</v>
      </c>
      <c r="V107" s="102" t="s">
        <v>268</v>
      </c>
      <c r="W107" s="267">
        <f>IFERROR(Table6[[#This Row],[Breakdown Time]]*Table6[[#This Row],[Plant Equivalent Weightage]],"")</f>
        <v>1.1538461538461532E-2</v>
      </c>
      <c r="X107" s="262" t="s">
        <v>296</v>
      </c>
      <c r="Y107" s="263" t="s">
        <v>115</v>
      </c>
      <c r="Z107" s="102">
        <v>32931</v>
      </c>
      <c r="AA107" s="257">
        <f>(Table6[[#This Row],[Paired WTG Generation for loss calculation]]/24)*Table6[[#This Row],[Breakdown Time]]</f>
        <v>411.63749999999993</v>
      </c>
      <c r="AB107" s="102"/>
      <c r="AC107" s="35"/>
      <c r="AD107" s="35"/>
    </row>
    <row r="108" spans="1:30">
      <c r="A108" s="102">
        <f t="shared" si="2"/>
        <v>107</v>
      </c>
      <c r="B108" s="257">
        <f>YEAR(Table6[[#This Row],[Date]])+IF(MONTH(Table6[[#This Row],[Date]])&gt;=4,1,0)</f>
        <v>2026</v>
      </c>
      <c r="C108" s="102">
        <f>YEAR(Table6[[#This Row],[Date]])</f>
        <v>2025</v>
      </c>
      <c r="D108" s="102" t="s">
        <v>265</v>
      </c>
      <c r="E108" s="258">
        <f>Table6[[#This Row],[Date]]-DAY(Table6[[#This Row],[Date]])+1</f>
        <v>45748</v>
      </c>
      <c r="F108" s="259">
        <v>45755</v>
      </c>
      <c r="G108" s="35" t="s">
        <v>123</v>
      </c>
      <c r="H108" s="35" t="str">
        <f>IFERROR(_xlfn.XLOOKUP(Table6[[#This Row],[Affected WTG]],'Basic Data'!$A:$A,'Basic Data'!$B:$B),"")</f>
        <v>TQGXIIPL</v>
      </c>
      <c r="I108" s="35" t="str">
        <f>IFERROR(_xlfn.XLOOKUP(Table6[[#This Row],[Affected WTG]],'Basic Data'!$A:$A,'Basic Data'!$C:$C),"")</f>
        <v>GEDA</v>
      </c>
      <c r="J108" s="260">
        <f>IFERROR(_xlfn.XLOOKUP(Table6[[#This Row],[Affected WTG]],'Basic Data'!$A:$A,'Basic Data'!$E:$E),"")</f>
        <v>3.846153846153845E-2</v>
      </c>
      <c r="K108" s="102">
        <v>55</v>
      </c>
      <c r="L108" s="35" t="str">
        <f>IFERROR(_xlfn.XLOOKUP(Table6[[#This Row],[Error Code]],'Basic Data'!$AA:$AA,'Basic Data'!$AB:$AB),"Incorrect Error Code")</f>
        <v>WTG shut down</v>
      </c>
      <c r="M108" s="35" t="s">
        <v>271</v>
      </c>
      <c r="N108" s="264"/>
      <c r="O108" s="265">
        <v>0.29166666666666669</v>
      </c>
      <c r="P108" s="265">
        <v>0.29166666666666669</v>
      </c>
      <c r="Q108" s="266">
        <v>0.54166666666666663</v>
      </c>
      <c r="R108" s="261">
        <f>IF(Table6[[#This Row],[Work Start TimeStamp]]="","",(Table6[[#This Row],[Work Start TimeStamp]]-Table6[[#This Row],[Fault Start TimeStamp]])*24)</f>
        <v>0</v>
      </c>
      <c r="S108" s="261">
        <f>(Table6[[#This Row],[Fault Clearance time]]-Table6[[#This Row],[Work Start TimeStamp]])*24</f>
        <v>5.9999999999999982</v>
      </c>
      <c r="T108" s="261">
        <f>(Table6[[#This Row],[Fault Clearance time]]-Table6[[#This Row],[Fault Start TimeStamp]])*24</f>
        <v>5.9999999999999982</v>
      </c>
      <c r="U108" s="35" t="s">
        <v>281</v>
      </c>
      <c r="V108" s="102" t="s">
        <v>268</v>
      </c>
      <c r="W108" s="267">
        <f>IFERROR(Table6[[#This Row],[Breakdown Time]]*Table6[[#This Row],[Plant Equivalent Weightage]],"")</f>
        <v>0.23076923076923064</v>
      </c>
      <c r="X108" s="262" t="s">
        <v>273</v>
      </c>
      <c r="Y108" s="263" t="s">
        <v>117</v>
      </c>
      <c r="Z108" s="102">
        <v>30523</v>
      </c>
      <c r="AA108" s="257">
        <f>(Table6[[#This Row],[Paired WTG Generation for loss calculation]]/24)*Table6[[#This Row],[Breakdown Time]]</f>
        <v>7630.7499999999982</v>
      </c>
      <c r="AB108" s="102"/>
      <c r="AC108" s="35"/>
      <c r="AD108" s="35"/>
    </row>
    <row r="109" spans="1:30">
      <c r="A109" s="102">
        <f t="shared" si="2"/>
        <v>108</v>
      </c>
      <c r="B109" s="257">
        <f>YEAR(Table6[[#This Row],[Date]])+IF(MONTH(Table6[[#This Row],[Date]])&gt;=4,1,0)</f>
        <v>2026</v>
      </c>
      <c r="C109" s="102">
        <f>YEAR(Table6[[#This Row],[Date]])</f>
        <v>2025</v>
      </c>
      <c r="D109" s="102" t="s">
        <v>265</v>
      </c>
      <c r="E109" s="258">
        <f>Table6[[#This Row],[Date]]-DAY(Table6[[#This Row],[Date]])+1</f>
        <v>45748</v>
      </c>
      <c r="F109" s="259">
        <v>45755</v>
      </c>
      <c r="G109" s="35" t="s">
        <v>127</v>
      </c>
      <c r="H109" s="35" t="str">
        <f>IFERROR(_xlfn.XLOOKUP(Table6[[#This Row],[Affected WTG]],'Basic Data'!$A:$A,'Basic Data'!$B:$B),"")</f>
        <v>TQGXIIPL</v>
      </c>
      <c r="I109" s="35" t="str">
        <f>IFERROR(_xlfn.XLOOKUP(Table6[[#This Row],[Affected WTG]],'Basic Data'!$A:$A,'Basic Data'!$C:$C),"")</f>
        <v>GEDA</v>
      </c>
      <c r="J109" s="260">
        <f>IFERROR(_xlfn.XLOOKUP(Table6[[#This Row],[Affected WTG]],'Basic Data'!$A:$A,'Basic Data'!$E:$E),"")</f>
        <v>3.846153846153845E-2</v>
      </c>
      <c r="K109" s="102">
        <v>55</v>
      </c>
      <c r="L109" s="35" t="str">
        <f>IFERROR(_xlfn.XLOOKUP(Table6[[#This Row],[Error Code]],'Basic Data'!$AA:$AA,'Basic Data'!$AB:$AB),"Incorrect Error Code")</f>
        <v>WTG shut down</v>
      </c>
      <c r="M109" s="35" t="s">
        <v>300</v>
      </c>
      <c r="N109" s="264"/>
      <c r="O109" s="265">
        <v>0.79791666666666672</v>
      </c>
      <c r="P109" s="265">
        <v>0.79791666666666672</v>
      </c>
      <c r="Q109" s="266">
        <v>0.875</v>
      </c>
      <c r="R109" s="261">
        <f>IF(Table6[[#This Row],[Work Start TimeStamp]]="","",(Table6[[#This Row],[Work Start TimeStamp]]-Table6[[#This Row],[Fault Start TimeStamp]])*24)</f>
        <v>0</v>
      </c>
      <c r="S109" s="261">
        <f>(Table6[[#This Row],[Fault Clearance time]]-Table6[[#This Row],[Work Start TimeStamp]])*24</f>
        <v>1.8499999999999988</v>
      </c>
      <c r="T109" s="261">
        <f>(Table6[[#This Row],[Fault Clearance time]]-Table6[[#This Row],[Fault Start TimeStamp]])*24</f>
        <v>1.8499999999999988</v>
      </c>
      <c r="U109" s="35" t="s">
        <v>301</v>
      </c>
      <c r="V109" s="102" t="s">
        <v>268</v>
      </c>
      <c r="W109" s="267">
        <f>IFERROR(Table6[[#This Row],[Breakdown Time]]*Table6[[#This Row],[Plant Equivalent Weightage]],"")</f>
        <v>7.1153846153846081E-2</v>
      </c>
      <c r="X109" s="262" t="s">
        <v>296</v>
      </c>
      <c r="Y109" s="263" t="s">
        <v>125</v>
      </c>
      <c r="Z109" s="102">
        <v>27130</v>
      </c>
      <c r="AA109" s="257">
        <f>(Table6[[#This Row],[Paired WTG Generation for loss calculation]]/24)*Table6[[#This Row],[Breakdown Time]]</f>
        <v>2091.2708333333321</v>
      </c>
      <c r="AB109" s="102"/>
      <c r="AC109" s="35"/>
      <c r="AD109" s="35"/>
    </row>
    <row r="110" spans="1:30">
      <c r="A110" s="102">
        <f t="shared" si="2"/>
        <v>109</v>
      </c>
      <c r="B110" s="257">
        <f>YEAR(Table6[[#This Row],[Date]])+IF(MONTH(Table6[[#This Row],[Date]])&gt;=4,1,0)</f>
        <v>2026</v>
      </c>
      <c r="C110" s="102">
        <f>YEAR(Table6[[#This Row],[Date]])</f>
        <v>2025</v>
      </c>
      <c r="D110" s="102" t="s">
        <v>265</v>
      </c>
      <c r="E110" s="258">
        <f>Table6[[#This Row],[Date]]-DAY(Table6[[#This Row],[Date]])+1</f>
        <v>45748</v>
      </c>
      <c r="F110" s="259">
        <v>45755</v>
      </c>
      <c r="G110" s="35" t="s">
        <v>122</v>
      </c>
      <c r="H110" s="35" t="str">
        <f>IFERROR(_xlfn.XLOOKUP(Table6[[#This Row],[Affected WTG]],'Basic Data'!$A:$A,'Basic Data'!$B:$B),"")</f>
        <v>TQGXIIPL</v>
      </c>
      <c r="I110" s="35" t="str">
        <f>IFERROR(_xlfn.XLOOKUP(Table6[[#This Row],[Affected WTG]],'Basic Data'!$A:$A,'Basic Data'!$C:$C),"")</f>
        <v>GEDA</v>
      </c>
      <c r="J110" s="260">
        <f>IFERROR(_xlfn.XLOOKUP(Table6[[#This Row],[Affected WTG]],'Basic Data'!$A:$A,'Basic Data'!$E:$E),"")</f>
        <v>3.846153846153845E-2</v>
      </c>
      <c r="K110" s="102">
        <v>55</v>
      </c>
      <c r="L110" s="35" t="str">
        <f>IFERROR(_xlfn.XLOOKUP(Table6[[#This Row],[Error Code]],'Basic Data'!$AA:$AA,'Basic Data'!$AB:$AB),"Incorrect Error Code")</f>
        <v>WTG shut down</v>
      </c>
      <c r="M110" s="35" t="s">
        <v>300</v>
      </c>
      <c r="N110" s="264"/>
      <c r="O110" s="265">
        <v>0.82222222222222219</v>
      </c>
      <c r="P110" s="265">
        <v>0.82222222222222219</v>
      </c>
      <c r="Q110" s="266">
        <v>0.85416666666666663</v>
      </c>
      <c r="R110" s="261">
        <f>IF(Table6[[#This Row],[Work Start TimeStamp]]="","",(Table6[[#This Row],[Work Start TimeStamp]]-Table6[[#This Row],[Fault Start TimeStamp]])*24)</f>
        <v>0</v>
      </c>
      <c r="S110" s="261">
        <f>(Table6[[#This Row],[Fault Clearance time]]-Table6[[#This Row],[Work Start TimeStamp]])*24</f>
        <v>0.76666666666666661</v>
      </c>
      <c r="T110" s="261">
        <f>(Table6[[#This Row],[Fault Clearance time]]-Table6[[#This Row],[Fault Start TimeStamp]])*24</f>
        <v>0.76666666666666661</v>
      </c>
      <c r="U110" s="35" t="s">
        <v>301</v>
      </c>
      <c r="V110" s="102" t="s">
        <v>268</v>
      </c>
      <c r="W110" s="267">
        <f>IFERROR(Table6[[#This Row],[Breakdown Time]]*Table6[[#This Row],[Plant Equivalent Weightage]],"")</f>
        <v>2.9487179487179476E-2</v>
      </c>
      <c r="X110" s="262" t="s">
        <v>296</v>
      </c>
      <c r="Y110" s="263" t="s">
        <v>140</v>
      </c>
      <c r="Z110" s="102">
        <v>23956</v>
      </c>
      <c r="AA110" s="257">
        <f>(Table6[[#This Row],[Paired WTG Generation for loss calculation]]/24)*Table6[[#This Row],[Breakdown Time]]</f>
        <v>765.26111111111106</v>
      </c>
      <c r="AB110" s="102"/>
      <c r="AC110" s="35"/>
      <c r="AD110" s="35"/>
    </row>
    <row r="111" spans="1:30">
      <c r="A111" s="102">
        <f t="shared" si="2"/>
        <v>110</v>
      </c>
      <c r="B111" s="257">
        <f>YEAR(Table6[[#This Row],[Date]])+IF(MONTH(Table6[[#This Row],[Date]])&gt;=4,1,0)</f>
        <v>2026</v>
      </c>
      <c r="C111" s="102">
        <f>YEAR(Table6[[#This Row],[Date]])</f>
        <v>2025</v>
      </c>
      <c r="D111" s="102" t="s">
        <v>265</v>
      </c>
      <c r="E111" s="258">
        <f>Table6[[#This Row],[Date]]-DAY(Table6[[#This Row],[Date]])+1</f>
        <v>45748</v>
      </c>
      <c r="F111" s="259">
        <v>45756</v>
      </c>
      <c r="G111" s="35" t="s">
        <v>115</v>
      </c>
      <c r="H111" s="35" t="str">
        <f>IFERROR(_xlfn.XLOOKUP(Table6[[#This Row],[Affected WTG]],'Basic Data'!$A:$A,'Basic Data'!$B:$B),"")</f>
        <v>TQGXIIPL</v>
      </c>
      <c r="I111" s="35" t="str">
        <f>IFERROR(_xlfn.XLOOKUP(Table6[[#This Row],[Affected WTG]],'Basic Data'!$A:$A,'Basic Data'!$C:$C),"")</f>
        <v>GEDA</v>
      </c>
      <c r="J111" s="260">
        <f>IFERROR(_xlfn.XLOOKUP(Table6[[#This Row],[Affected WTG]],'Basic Data'!$A:$A,'Basic Data'!$E:$E),"")</f>
        <v>3.846153846153845E-2</v>
      </c>
      <c r="K111" s="102">
        <v>4520</v>
      </c>
      <c r="L111" s="35" t="str">
        <f>IFERROR(_xlfn.XLOOKUP(Table6[[#This Row],[Error Code]],'Basic Data'!$AA:$AA,'Basic Data'!$AB:$AB),"Incorrect Error Code")</f>
        <v>Tower oscillation X level 1</v>
      </c>
      <c r="M111" s="35" t="s">
        <v>278</v>
      </c>
      <c r="N111" s="264"/>
      <c r="O111" s="265">
        <v>7.0833333333333331E-2</v>
      </c>
      <c r="P111" s="265">
        <v>7.0833333333333331E-2</v>
      </c>
      <c r="Q111" s="266">
        <v>7.8472222222222221E-2</v>
      </c>
      <c r="R111" s="261">
        <f>IF(Table6[[#This Row],[Work Start TimeStamp]]="","",(Table6[[#This Row],[Work Start TimeStamp]]-Table6[[#This Row],[Fault Start TimeStamp]])*24)</f>
        <v>0</v>
      </c>
      <c r="S111" s="261">
        <f>(Table6[[#This Row],[Fault Clearance time]]-Table6[[#This Row],[Work Start TimeStamp]])*24</f>
        <v>0.18333333333333335</v>
      </c>
      <c r="T111" s="261">
        <f>(Table6[[#This Row],[Fault Clearance time]]-Table6[[#This Row],[Fault Start TimeStamp]])*24</f>
        <v>0.18333333333333335</v>
      </c>
      <c r="U111" s="35" t="s">
        <v>277</v>
      </c>
      <c r="V111" s="102" t="s">
        <v>268</v>
      </c>
      <c r="W111" s="267">
        <f>IFERROR(Table6[[#This Row],[Breakdown Time]]*Table6[[#This Row],[Plant Equivalent Weightage]],"")</f>
        <v>7.0512820512820496E-3</v>
      </c>
      <c r="X111" s="262" t="s">
        <v>269</v>
      </c>
      <c r="Y111" s="263" t="s">
        <v>140</v>
      </c>
      <c r="Z111" s="102">
        <v>23560</v>
      </c>
      <c r="AA111" s="257">
        <f>(Table6[[#This Row],[Paired WTG Generation for loss calculation]]/24)*Table6[[#This Row],[Breakdown Time]]</f>
        <v>179.97222222222223</v>
      </c>
      <c r="AB111" s="102"/>
      <c r="AC111" s="35"/>
      <c r="AD111" s="35"/>
    </row>
    <row r="112" spans="1:30">
      <c r="A112" s="102">
        <f t="shared" si="2"/>
        <v>111</v>
      </c>
      <c r="B112" s="257">
        <f>YEAR(Table6[[#This Row],[Date]])+IF(MONTH(Table6[[#This Row],[Date]])&gt;=4,1,0)</f>
        <v>2026</v>
      </c>
      <c r="C112" s="102">
        <f>YEAR(Table6[[#This Row],[Date]])</f>
        <v>2025</v>
      </c>
      <c r="D112" s="102" t="s">
        <v>265</v>
      </c>
      <c r="E112" s="258">
        <f>Table6[[#This Row],[Date]]-DAY(Table6[[#This Row],[Date]])+1</f>
        <v>45748</v>
      </c>
      <c r="F112" s="259">
        <v>45756</v>
      </c>
      <c r="G112" s="35" t="s">
        <v>118</v>
      </c>
      <c r="H112" s="35" t="str">
        <f>IFERROR(_xlfn.XLOOKUP(Table6[[#This Row],[Affected WTG]],'Basic Data'!$A:$A,'Basic Data'!$B:$B),"")</f>
        <v>TQGXIIPL</v>
      </c>
      <c r="I112" s="35" t="str">
        <f>IFERROR(_xlfn.XLOOKUP(Table6[[#This Row],[Affected WTG]],'Basic Data'!$A:$A,'Basic Data'!$C:$C),"")</f>
        <v>GEDA</v>
      </c>
      <c r="J112" s="260">
        <f>IFERROR(_xlfn.XLOOKUP(Table6[[#This Row],[Affected WTG]],'Basic Data'!$A:$A,'Basic Data'!$E:$E),"")</f>
        <v>3.846153846153845E-2</v>
      </c>
      <c r="K112" s="102">
        <v>6056</v>
      </c>
      <c r="L112" s="35" t="str">
        <f>IFERROR(_xlfn.XLOOKUP(Table6[[#This Row],[Error Code]],'Basic Data'!$AA:$AA,'Basic Data'!$AB:$AB),"Incorrect Error Code")</f>
        <v>High yaw load</v>
      </c>
      <c r="M112" s="35" t="s">
        <v>278</v>
      </c>
      <c r="N112" s="264"/>
      <c r="O112" s="265">
        <v>0.6069444444444444</v>
      </c>
      <c r="P112" s="265">
        <v>0.6069444444444444</v>
      </c>
      <c r="Q112" s="266">
        <v>0.60902777777777772</v>
      </c>
      <c r="R112" s="261">
        <f>IF(Table6[[#This Row],[Work Start TimeStamp]]="","",(Table6[[#This Row],[Work Start TimeStamp]]-Table6[[#This Row],[Fault Start TimeStamp]])*24)</f>
        <v>0</v>
      </c>
      <c r="S112" s="261">
        <f>(Table6[[#This Row],[Fault Clearance time]]-Table6[[#This Row],[Work Start TimeStamp]])*24</f>
        <v>4.9999999999999822E-2</v>
      </c>
      <c r="T112" s="261">
        <f>(Table6[[#This Row],[Fault Clearance time]]-Table6[[#This Row],[Fault Start TimeStamp]])*24</f>
        <v>4.9999999999999822E-2</v>
      </c>
      <c r="U112" s="35" t="s">
        <v>277</v>
      </c>
      <c r="V112" s="102" t="s">
        <v>268</v>
      </c>
      <c r="W112" s="267">
        <f>IFERROR(Table6[[#This Row],[Breakdown Time]]*Table6[[#This Row],[Plant Equivalent Weightage]],"")</f>
        <v>1.9230769230769156E-3</v>
      </c>
      <c r="X112" s="262" t="s">
        <v>269</v>
      </c>
      <c r="Y112" s="263" t="s">
        <v>121</v>
      </c>
      <c r="Z112" s="102">
        <v>28440</v>
      </c>
      <c r="AA112" s="257">
        <f>(Table6[[#This Row],[Paired WTG Generation for loss calculation]]/24)*Table6[[#This Row],[Breakdown Time]]</f>
        <v>59.249999999999787</v>
      </c>
      <c r="AB112" s="102"/>
      <c r="AC112" s="35"/>
      <c r="AD112" s="35"/>
    </row>
    <row r="113" spans="1:30">
      <c r="A113" s="102">
        <f t="shared" si="2"/>
        <v>112</v>
      </c>
      <c r="B113" s="257">
        <f>YEAR(Table6[[#This Row],[Date]])+IF(MONTH(Table6[[#This Row],[Date]])&gt;=4,1,0)</f>
        <v>2026</v>
      </c>
      <c r="C113" s="102">
        <f>YEAR(Table6[[#This Row],[Date]])</f>
        <v>2025</v>
      </c>
      <c r="D113" s="102" t="s">
        <v>265</v>
      </c>
      <c r="E113" s="258">
        <f>Table6[[#This Row],[Date]]-DAY(Table6[[#This Row],[Date]])+1</f>
        <v>45748</v>
      </c>
      <c r="F113" s="259">
        <v>45756</v>
      </c>
      <c r="G113" s="35" t="s">
        <v>119</v>
      </c>
      <c r="H113" s="35" t="str">
        <f>IFERROR(_xlfn.XLOOKUP(Table6[[#This Row],[Affected WTG]],'Basic Data'!$A:$A,'Basic Data'!$B:$B),"")</f>
        <v>TQGXIIPL</v>
      </c>
      <c r="I113" s="35" t="str">
        <f>IFERROR(_xlfn.XLOOKUP(Table6[[#This Row],[Affected WTG]],'Basic Data'!$A:$A,'Basic Data'!$C:$C),"")</f>
        <v>GEDA</v>
      </c>
      <c r="J113" s="260">
        <f>IFERROR(_xlfn.XLOOKUP(Table6[[#This Row],[Affected WTG]],'Basic Data'!$A:$A,'Basic Data'!$E:$E),"")</f>
        <v>3.846153846153845E-2</v>
      </c>
      <c r="K113" s="102">
        <v>3211</v>
      </c>
      <c r="L113" s="35" t="str">
        <f>IFERROR(_xlfn.XLOOKUP(Table6[[#This Row],[Error Code]],'Basic Data'!$AA:$AA,'Basic Data'!$AB:$AB),"Incorrect Error Code")</f>
        <v>Conv. load shedding (CAN)</v>
      </c>
      <c r="M113" s="35" t="s">
        <v>266</v>
      </c>
      <c r="N113" s="264"/>
      <c r="O113" s="265">
        <v>0.3125</v>
      </c>
      <c r="P113" s="265">
        <v>0.36805555555555558</v>
      </c>
      <c r="Q113" s="266">
        <v>0.40138888888888891</v>
      </c>
      <c r="R113" s="261">
        <f>IF(Table6[[#This Row],[Work Start TimeStamp]]="","",(Table6[[#This Row],[Work Start TimeStamp]]-Table6[[#This Row],[Fault Start TimeStamp]])*24)</f>
        <v>1.3333333333333339</v>
      </c>
      <c r="S113" s="261">
        <f>(Table6[[#This Row],[Fault Clearance time]]-Table6[[#This Row],[Work Start TimeStamp]])*24</f>
        <v>0.79999999999999982</v>
      </c>
      <c r="T113" s="261">
        <f>(Table6[[#This Row],[Fault Clearance time]]-Table6[[#This Row],[Fault Start TimeStamp]])*24</f>
        <v>2.1333333333333337</v>
      </c>
      <c r="U113" s="35" t="s">
        <v>311</v>
      </c>
      <c r="V113" s="102" t="s">
        <v>268</v>
      </c>
      <c r="W113" s="267">
        <f>IFERROR(Table6[[#This Row],[Breakdown Time]]*Table6[[#This Row],[Plant Equivalent Weightage]],"")</f>
        <v>8.2051282051282037E-2</v>
      </c>
      <c r="X113" s="262" t="s">
        <v>269</v>
      </c>
      <c r="Y113" s="263" t="s">
        <v>116</v>
      </c>
      <c r="Z113" s="102">
        <v>35985</v>
      </c>
      <c r="AA113" s="257">
        <f>(Table6[[#This Row],[Paired WTG Generation for loss calculation]]/24)*Table6[[#This Row],[Breakdown Time]]</f>
        <v>3198.6666666666674</v>
      </c>
      <c r="AB113" s="102"/>
      <c r="AC113" s="35"/>
      <c r="AD113" s="35"/>
    </row>
    <row r="114" spans="1:30">
      <c r="A114" s="102">
        <f t="shared" si="2"/>
        <v>113</v>
      </c>
      <c r="B114" s="257">
        <f>YEAR(Table6[[#This Row],[Date]])+IF(MONTH(Table6[[#This Row],[Date]])&gt;=4,1,0)</f>
        <v>2026</v>
      </c>
      <c r="C114" s="102">
        <f>YEAR(Table6[[#This Row],[Date]])</f>
        <v>2025</v>
      </c>
      <c r="D114" s="102" t="s">
        <v>265</v>
      </c>
      <c r="E114" s="258">
        <f>Table6[[#This Row],[Date]]-DAY(Table6[[#This Row],[Date]])+1</f>
        <v>45748</v>
      </c>
      <c r="F114" s="259">
        <v>45756</v>
      </c>
      <c r="G114" s="35" t="s">
        <v>120</v>
      </c>
      <c r="H114" s="35" t="str">
        <f>IFERROR(_xlfn.XLOOKUP(Table6[[#This Row],[Affected WTG]],'Basic Data'!$A:$A,'Basic Data'!$B:$B),"")</f>
        <v>TQGXIIPL</v>
      </c>
      <c r="I114" s="35" t="str">
        <f>IFERROR(_xlfn.XLOOKUP(Table6[[#This Row],[Affected WTG]],'Basic Data'!$A:$A,'Basic Data'!$C:$C),"")</f>
        <v>GEDA</v>
      </c>
      <c r="J114" s="260">
        <f>IFERROR(_xlfn.XLOOKUP(Table6[[#This Row],[Affected WTG]],'Basic Data'!$A:$A,'Basic Data'!$E:$E),"")</f>
        <v>3.846153846153845E-2</v>
      </c>
      <c r="K114" s="102">
        <v>6130</v>
      </c>
      <c r="L114" s="35" t="str">
        <f>IFERROR(_xlfn.XLOOKUP(Table6[[#This Row],[Error Code]],'Basic Data'!$AA:$AA,'Basic Data'!$AB:$AB),"Incorrect Error Code")</f>
        <v>Yaw speed high</v>
      </c>
      <c r="M114" s="35" t="s">
        <v>278</v>
      </c>
      <c r="N114" s="264"/>
      <c r="O114" s="265">
        <v>0.68402777777777779</v>
      </c>
      <c r="P114" s="265">
        <v>0.68402777777777779</v>
      </c>
      <c r="Q114" s="266">
        <v>0.68819444444444444</v>
      </c>
      <c r="R114" s="261">
        <f>IF(Table6[[#This Row],[Work Start TimeStamp]]="","",(Table6[[#This Row],[Work Start TimeStamp]]-Table6[[#This Row],[Fault Start TimeStamp]])*24)</f>
        <v>0</v>
      </c>
      <c r="S114" s="261">
        <f>(Table6[[#This Row],[Fault Clearance time]]-Table6[[#This Row],[Work Start TimeStamp]])*24</f>
        <v>9.9999999999999645E-2</v>
      </c>
      <c r="T114" s="261">
        <f>(Table6[[#This Row],[Fault Clearance time]]-Table6[[#This Row],[Fault Start TimeStamp]])*24</f>
        <v>9.9999999999999645E-2</v>
      </c>
      <c r="U114" s="35" t="s">
        <v>277</v>
      </c>
      <c r="V114" s="102" t="s">
        <v>268</v>
      </c>
      <c r="W114" s="267">
        <f>IFERROR(Table6[[#This Row],[Breakdown Time]]*Table6[[#This Row],[Plant Equivalent Weightage]],"")</f>
        <v>3.8461538461538312E-3</v>
      </c>
      <c r="X114" s="262" t="s">
        <v>269</v>
      </c>
      <c r="Y114" s="263" t="s">
        <v>135</v>
      </c>
      <c r="Z114" s="102">
        <v>28985</v>
      </c>
      <c r="AA114" s="257">
        <f>(Table6[[#This Row],[Paired WTG Generation for loss calculation]]/24)*Table6[[#This Row],[Breakdown Time]]</f>
        <v>120.7708333333329</v>
      </c>
      <c r="AB114" s="102"/>
      <c r="AC114" s="35"/>
      <c r="AD114" s="35"/>
    </row>
    <row r="115" spans="1:30">
      <c r="A115" s="102">
        <f t="shared" si="2"/>
        <v>114</v>
      </c>
      <c r="B115" s="257">
        <f>YEAR(Table6[[#This Row],[Date]])+IF(MONTH(Table6[[#This Row],[Date]])&gt;=4,1,0)</f>
        <v>2026</v>
      </c>
      <c r="C115" s="102">
        <f>YEAR(Table6[[#This Row],[Date]])</f>
        <v>2025</v>
      </c>
      <c r="D115" s="102" t="s">
        <v>265</v>
      </c>
      <c r="E115" s="258">
        <f>Table6[[#This Row],[Date]]-DAY(Table6[[#This Row],[Date]])+1</f>
        <v>45748</v>
      </c>
      <c r="F115" s="259">
        <v>45756</v>
      </c>
      <c r="G115" s="35" t="s">
        <v>130</v>
      </c>
      <c r="H115" s="35" t="str">
        <f>IFERROR(_xlfn.XLOOKUP(Table6[[#This Row],[Affected WTG]],'Basic Data'!$A:$A,'Basic Data'!$B:$B),"")</f>
        <v>TQGXIIPL</v>
      </c>
      <c r="I115" s="35" t="str">
        <f>IFERROR(_xlfn.XLOOKUP(Table6[[#This Row],[Affected WTG]],'Basic Data'!$A:$A,'Basic Data'!$C:$C),"")</f>
        <v>GEDA</v>
      </c>
      <c r="J115" s="260">
        <f>IFERROR(_xlfn.XLOOKUP(Table6[[#This Row],[Affected WTG]],'Basic Data'!$A:$A,'Basic Data'!$E:$E),"")</f>
        <v>3.846153846153845E-2</v>
      </c>
      <c r="K115" s="102">
        <v>3065</v>
      </c>
      <c r="L115" s="35" t="str">
        <f>IFERROR(_xlfn.XLOOKUP(Table6[[#This Row],[Error Code]],'Basic Data'!$AA:$AA,'Basic Data'!$AB:$AB),"Incorrect Error Code")</f>
        <v>Conv. emerg.off type F</v>
      </c>
      <c r="M115" s="35" t="s">
        <v>266</v>
      </c>
      <c r="N115" s="264"/>
      <c r="O115" s="265">
        <v>0.60416666666666663</v>
      </c>
      <c r="P115" s="265">
        <v>0.60416666666666663</v>
      </c>
      <c r="Q115" s="266">
        <v>0.61736111111111114</v>
      </c>
      <c r="R115" s="261">
        <f>IF(Table6[[#This Row],[Work Start TimeStamp]]="","",(Table6[[#This Row],[Work Start TimeStamp]]-Table6[[#This Row],[Fault Start TimeStamp]])*24)</f>
        <v>0</v>
      </c>
      <c r="S115" s="261">
        <f>(Table6[[#This Row],[Fault Clearance time]]-Table6[[#This Row],[Work Start TimeStamp]])*24</f>
        <v>0.31666666666666821</v>
      </c>
      <c r="T115" s="261">
        <f>(Table6[[#This Row],[Fault Clearance time]]-Table6[[#This Row],[Fault Start TimeStamp]])*24</f>
        <v>0.31666666666666821</v>
      </c>
      <c r="U115" s="35" t="s">
        <v>297</v>
      </c>
      <c r="V115" s="102" t="s">
        <v>268</v>
      </c>
      <c r="W115" s="267">
        <f>IFERROR(Table6[[#This Row],[Breakdown Time]]*Table6[[#This Row],[Plant Equivalent Weightage]],"")</f>
        <v>1.2179487179487235E-2</v>
      </c>
      <c r="X115" s="262" t="s">
        <v>269</v>
      </c>
      <c r="Y115" s="263" t="s">
        <v>135</v>
      </c>
      <c r="Z115" s="102">
        <v>28985</v>
      </c>
      <c r="AA115" s="257">
        <f>(Table6[[#This Row],[Paired WTG Generation for loss calculation]]/24)*Table6[[#This Row],[Breakdown Time]]</f>
        <v>382.44097222222405</v>
      </c>
      <c r="AB115" s="102"/>
      <c r="AC115" s="35"/>
      <c r="AD115" s="35"/>
    </row>
    <row r="116" spans="1:30">
      <c r="A116" s="102">
        <f t="shared" si="2"/>
        <v>115</v>
      </c>
      <c r="B116" s="257">
        <f>YEAR(Table6[[#This Row],[Date]])+IF(MONTH(Table6[[#This Row],[Date]])&gt;=4,1,0)</f>
        <v>2026</v>
      </c>
      <c r="C116" s="102">
        <f>YEAR(Table6[[#This Row],[Date]])</f>
        <v>2025</v>
      </c>
      <c r="D116" s="102" t="s">
        <v>265</v>
      </c>
      <c r="E116" s="258">
        <f>Table6[[#This Row],[Date]]-DAY(Table6[[#This Row],[Date]])+1</f>
        <v>45748</v>
      </c>
      <c r="F116" s="259">
        <v>45756</v>
      </c>
      <c r="G116" s="35" t="s">
        <v>132</v>
      </c>
      <c r="H116" s="35" t="str">
        <f>IFERROR(_xlfn.XLOOKUP(Table6[[#This Row],[Affected WTG]],'Basic Data'!$A:$A,'Basic Data'!$B:$B),"")</f>
        <v>TQGXIIPL</v>
      </c>
      <c r="I116" s="35" t="str">
        <f>IFERROR(_xlfn.XLOOKUP(Table6[[#This Row],[Affected WTG]],'Basic Data'!$A:$A,'Basic Data'!$C:$C),"")</f>
        <v>GEDA</v>
      </c>
      <c r="J116" s="260">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278</v>
      </c>
      <c r="N116" s="264"/>
      <c r="O116" s="265">
        <v>0.64861111111111114</v>
      </c>
      <c r="P116" s="265">
        <v>0.64861111111111114</v>
      </c>
      <c r="Q116" s="266">
        <v>0.65069444444444446</v>
      </c>
      <c r="R116" s="261">
        <f>IF(Table6[[#This Row],[Work Start TimeStamp]]="","",(Table6[[#This Row],[Work Start TimeStamp]]-Table6[[#This Row],[Fault Start TimeStamp]])*24)</f>
        <v>0</v>
      </c>
      <c r="S116" s="261">
        <f>(Table6[[#This Row],[Fault Clearance time]]-Table6[[#This Row],[Work Start TimeStamp]])*24</f>
        <v>4.9999999999999822E-2</v>
      </c>
      <c r="T116" s="261">
        <f>(Table6[[#This Row],[Fault Clearance time]]-Table6[[#This Row],[Fault Start TimeStamp]])*24</f>
        <v>4.9999999999999822E-2</v>
      </c>
      <c r="U116" s="35" t="s">
        <v>277</v>
      </c>
      <c r="V116" s="102" t="s">
        <v>268</v>
      </c>
      <c r="W116" s="267">
        <f>IFERROR(Table6[[#This Row],[Breakdown Time]]*Table6[[#This Row],[Plant Equivalent Weightage]],"")</f>
        <v>1.9230769230769156E-3</v>
      </c>
      <c r="X116" s="262" t="s">
        <v>269</v>
      </c>
      <c r="Y116" s="263" t="s">
        <v>120</v>
      </c>
      <c r="Z116" s="102">
        <v>28574</v>
      </c>
      <c r="AA116" s="257">
        <f>(Table6[[#This Row],[Paired WTG Generation for loss calculation]]/24)*Table6[[#This Row],[Breakdown Time]]</f>
        <v>59.529166666666448</v>
      </c>
      <c r="AB116" s="102"/>
      <c r="AC116" s="35"/>
      <c r="AD116" s="35"/>
    </row>
    <row r="117" spans="1:30">
      <c r="A117" s="102">
        <f t="shared" si="2"/>
        <v>116</v>
      </c>
      <c r="B117" s="257">
        <f>YEAR(Table6[[#This Row],[Date]])+IF(MONTH(Table6[[#This Row],[Date]])&gt;=4,1,0)</f>
        <v>2026</v>
      </c>
      <c r="C117" s="102">
        <f>YEAR(Table6[[#This Row],[Date]])</f>
        <v>2025</v>
      </c>
      <c r="D117" s="102" t="s">
        <v>265</v>
      </c>
      <c r="E117" s="258">
        <f>Table6[[#This Row],[Date]]-DAY(Table6[[#This Row],[Date]])+1</f>
        <v>45748</v>
      </c>
      <c r="F117" s="259">
        <v>45756</v>
      </c>
      <c r="G117" s="35" t="s">
        <v>134</v>
      </c>
      <c r="H117" s="35" t="str">
        <f>IFERROR(_xlfn.XLOOKUP(Table6[[#This Row],[Affected WTG]],'Basic Data'!$A:$A,'Basic Data'!$B:$B),"")</f>
        <v>TQGXIIPL</v>
      </c>
      <c r="I117" s="35" t="str">
        <f>IFERROR(_xlfn.XLOOKUP(Table6[[#This Row],[Affected WTG]],'Basic Data'!$A:$A,'Basic Data'!$C:$C),"")</f>
        <v>GEDA</v>
      </c>
      <c r="J117" s="260">
        <f>IFERROR(_xlfn.XLOOKUP(Table6[[#This Row],[Affected WTG]],'Basic Data'!$A:$A,'Basic Data'!$E:$E),"")</f>
        <v>3.846153846153845E-2</v>
      </c>
      <c r="K117" s="102">
        <v>6056</v>
      </c>
      <c r="L117" s="35" t="str">
        <f>IFERROR(_xlfn.XLOOKUP(Table6[[#This Row],[Error Code]],'Basic Data'!$AA:$AA,'Basic Data'!$AB:$AB),"Incorrect Error Code")</f>
        <v>High yaw load</v>
      </c>
      <c r="M117" s="35" t="s">
        <v>278</v>
      </c>
      <c r="N117" s="264"/>
      <c r="O117" s="265">
        <v>0.65</v>
      </c>
      <c r="P117" s="265">
        <v>0.65</v>
      </c>
      <c r="Q117" s="266">
        <v>0.65138888888888891</v>
      </c>
      <c r="R117" s="261">
        <f>IF(Table6[[#This Row],[Work Start TimeStamp]]="","",(Table6[[#This Row],[Work Start TimeStamp]]-Table6[[#This Row],[Fault Start TimeStamp]])*24)</f>
        <v>0</v>
      </c>
      <c r="S117" s="261">
        <f>(Table6[[#This Row],[Fault Clearance time]]-Table6[[#This Row],[Work Start TimeStamp]])*24</f>
        <v>3.3333333333333215E-2</v>
      </c>
      <c r="T117" s="261">
        <f>(Table6[[#This Row],[Fault Clearance time]]-Table6[[#This Row],[Fault Start TimeStamp]])*24</f>
        <v>3.3333333333333215E-2</v>
      </c>
      <c r="U117" s="35" t="s">
        <v>277</v>
      </c>
      <c r="V117" s="102" t="s">
        <v>268</v>
      </c>
      <c r="W117" s="267">
        <f>IFERROR(Table6[[#This Row],[Breakdown Time]]*Table6[[#This Row],[Plant Equivalent Weightage]],"")</f>
        <v>1.2820512820512771E-3</v>
      </c>
      <c r="X117" s="262" t="s">
        <v>269</v>
      </c>
      <c r="Y117" s="263" t="s">
        <v>138</v>
      </c>
      <c r="Z117" s="102">
        <v>32143</v>
      </c>
      <c r="AA117" s="257">
        <f>(Table6[[#This Row],[Paired WTG Generation for loss calculation]]/24)*Table6[[#This Row],[Breakdown Time]]</f>
        <v>44.643055555555399</v>
      </c>
      <c r="AB117" s="102"/>
      <c r="AC117" s="35"/>
      <c r="AD117" s="35"/>
    </row>
    <row r="118" spans="1:30">
      <c r="A118" s="102">
        <f t="shared" si="2"/>
        <v>117</v>
      </c>
      <c r="B118" s="257">
        <f>YEAR(Table6[[#This Row],[Date]])+IF(MONTH(Table6[[#This Row],[Date]])&gt;=4,1,0)</f>
        <v>2026</v>
      </c>
      <c r="C118" s="102">
        <f>YEAR(Table6[[#This Row],[Date]])</f>
        <v>2025</v>
      </c>
      <c r="D118" s="102" t="s">
        <v>265</v>
      </c>
      <c r="E118" s="258">
        <f>Table6[[#This Row],[Date]]-DAY(Table6[[#This Row],[Date]])+1</f>
        <v>45748</v>
      </c>
      <c r="F118" s="259">
        <v>45756</v>
      </c>
      <c r="G118" s="35" t="s">
        <v>136</v>
      </c>
      <c r="H118" s="35" t="str">
        <f>IFERROR(_xlfn.XLOOKUP(Table6[[#This Row],[Affected WTG]],'Basic Data'!$A:$A,'Basic Data'!$B:$B),"")</f>
        <v>TQGXIIPL</v>
      </c>
      <c r="I118" s="35" t="str">
        <f>IFERROR(_xlfn.XLOOKUP(Table6[[#This Row],[Affected WTG]],'Basic Data'!$A:$A,'Basic Data'!$C:$C),"")</f>
        <v>GEDA</v>
      </c>
      <c r="J118" s="260">
        <f>IFERROR(_xlfn.XLOOKUP(Table6[[#This Row],[Affected WTG]],'Basic Data'!$A:$A,'Basic Data'!$E:$E),"")</f>
        <v>3.846153846153845E-2</v>
      </c>
      <c r="K118" s="102">
        <v>6130</v>
      </c>
      <c r="L118" s="35" t="str">
        <f>IFERROR(_xlfn.XLOOKUP(Table6[[#This Row],[Error Code]],'Basic Data'!$AA:$AA,'Basic Data'!$AB:$AB),"Incorrect Error Code")</f>
        <v>Yaw speed high</v>
      </c>
      <c r="M118" s="35" t="s">
        <v>278</v>
      </c>
      <c r="N118" s="264"/>
      <c r="O118" s="265">
        <v>0.6381944444444444</v>
      </c>
      <c r="P118" s="265">
        <v>0.6381944444444444</v>
      </c>
      <c r="Q118" s="266">
        <v>0.64236111111111116</v>
      </c>
      <c r="R118" s="261">
        <f>IF(Table6[[#This Row],[Work Start TimeStamp]]="","",(Table6[[#This Row],[Work Start TimeStamp]]-Table6[[#This Row],[Fault Start TimeStamp]])*24)</f>
        <v>0</v>
      </c>
      <c r="S118" s="261">
        <f>(Table6[[#This Row],[Fault Clearance time]]-Table6[[#This Row],[Work Start TimeStamp]])*24</f>
        <v>0.10000000000000231</v>
      </c>
      <c r="T118" s="261">
        <f>(Table6[[#This Row],[Fault Clearance time]]-Table6[[#This Row],[Fault Start TimeStamp]])*24</f>
        <v>0.10000000000000231</v>
      </c>
      <c r="U118" s="35" t="s">
        <v>277</v>
      </c>
      <c r="V118" s="102" t="s">
        <v>268</v>
      </c>
      <c r="W118" s="267">
        <f>IFERROR(Table6[[#This Row],[Breakdown Time]]*Table6[[#This Row],[Plant Equivalent Weightage]],"")</f>
        <v>3.846153846153934E-3</v>
      </c>
      <c r="X118" s="262" t="s">
        <v>269</v>
      </c>
      <c r="Y118" s="263" t="s">
        <v>120</v>
      </c>
      <c r="Z118" s="102">
        <v>28574</v>
      </c>
      <c r="AA118" s="257">
        <f>(Table6[[#This Row],[Paired WTG Generation for loss calculation]]/24)*Table6[[#This Row],[Breakdown Time]]</f>
        <v>119.05833333333608</v>
      </c>
      <c r="AB118" s="102"/>
      <c r="AC118" s="35"/>
      <c r="AD118" s="35"/>
    </row>
    <row r="119" spans="1:30">
      <c r="A119" s="102">
        <f t="shared" si="2"/>
        <v>118</v>
      </c>
      <c r="B119" s="257">
        <f>YEAR(Table6[[#This Row],[Date]])+IF(MONTH(Table6[[#This Row],[Date]])&gt;=4,1,0)</f>
        <v>2026</v>
      </c>
      <c r="C119" s="102">
        <f>YEAR(Table6[[#This Row],[Date]])</f>
        <v>2025</v>
      </c>
      <c r="D119" s="102" t="s">
        <v>265</v>
      </c>
      <c r="E119" s="258">
        <f>Table6[[#This Row],[Date]]-DAY(Table6[[#This Row],[Date]])+1</f>
        <v>45748</v>
      </c>
      <c r="F119" s="259">
        <v>45756</v>
      </c>
      <c r="G119" s="35" t="s">
        <v>137</v>
      </c>
      <c r="H119" s="35" t="str">
        <f>IFERROR(_xlfn.XLOOKUP(Table6[[#This Row],[Affected WTG]],'Basic Data'!$A:$A,'Basic Data'!$B:$B),"")</f>
        <v>TQGXIIPL</v>
      </c>
      <c r="I119" s="35" t="str">
        <f>IFERROR(_xlfn.XLOOKUP(Table6[[#This Row],[Affected WTG]],'Basic Data'!$A:$A,'Basic Data'!$C:$C),"")</f>
        <v>GEDA</v>
      </c>
      <c r="J119" s="260">
        <f>IFERROR(_xlfn.XLOOKUP(Table6[[#This Row],[Affected WTG]],'Basic Data'!$A:$A,'Basic Data'!$E:$E),"")</f>
        <v>3.846153846153845E-2</v>
      </c>
      <c r="K119" s="102">
        <v>3395</v>
      </c>
      <c r="L119" s="35" t="str">
        <f>IFERROR(_xlfn.XLOOKUP(Table6[[#This Row],[Error Code]],'Basic Data'!$AA:$AA,'Basic Data'!$AB:$AB),"Incorrect Error Code")</f>
        <v>Pump cooling sys. overload</v>
      </c>
      <c r="M119" s="35" t="s">
        <v>266</v>
      </c>
      <c r="N119" s="264"/>
      <c r="O119" s="265">
        <v>0.8125</v>
      </c>
      <c r="P119" s="265">
        <v>0.83333333333333337</v>
      </c>
      <c r="Q119" s="266">
        <v>1</v>
      </c>
      <c r="R119" s="261">
        <f>IF(Table6[[#This Row],[Work Start TimeStamp]]="","",(Table6[[#This Row],[Work Start TimeStamp]]-Table6[[#This Row],[Fault Start TimeStamp]])*24)</f>
        <v>0.50000000000000089</v>
      </c>
      <c r="S119" s="261">
        <f>(Table6[[#This Row],[Fault Clearance time]]-Table6[[#This Row],[Work Start TimeStamp]])*24</f>
        <v>3.9999999999999991</v>
      </c>
      <c r="T119" s="261">
        <f>(Table6[[#This Row],[Fault Clearance time]]-Table6[[#This Row],[Fault Start TimeStamp]])*24</f>
        <v>4.5</v>
      </c>
      <c r="U119" s="35" t="s">
        <v>312</v>
      </c>
      <c r="V119" s="102" t="s">
        <v>289</v>
      </c>
      <c r="W119" s="267">
        <f>IFERROR(Table6[[#This Row],[Breakdown Time]]*Table6[[#This Row],[Plant Equivalent Weightage]],"")</f>
        <v>0.17307692307692302</v>
      </c>
      <c r="X119" s="262" t="s">
        <v>269</v>
      </c>
      <c r="Y119" s="263" t="s">
        <v>125</v>
      </c>
      <c r="Z119" s="102">
        <v>27370</v>
      </c>
      <c r="AA119" s="257">
        <f>(Table6[[#This Row],[Paired WTG Generation for loss calculation]]/24)*Table6[[#This Row],[Breakdown Time]]</f>
        <v>5131.875</v>
      </c>
      <c r="AB119" s="102"/>
      <c r="AC119" s="35"/>
      <c r="AD119" s="35"/>
    </row>
    <row r="120" spans="1:30">
      <c r="A120" s="102">
        <f t="shared" si="2"/>
        <v>119</v>
      </c>
      <c r="B120" s="257">
        <f>YEAR(Table6[[#This Row],[Date]])+IF(MONTH(Table6[[#This Row],[Date]])&gt;=4,1,0)</f>
        <v>2026</v>
      </c>
      <c r="C120" s="102">
        <f>YEAR(Table6[[#This Row],[Date]])</f>
        <v>2025</v>
      </c>
      <c r="D120" s="102" t="s">
        <v>265</v>
      </c>
      <c r="E120" s="258">
        <f>Table6[[#This Row],[Date]]-DAY(Table6[[#This Row],[Date]])+1</f>
        <v>45748</v>
      </c>
      <c r="F120" s="259">
        <v>45756</v>
      </c>
      <c r="G120" s="35" t="s">
        <v>139</v>
      </c>
      <c r="H120" s="35" t="str">
        <f>IFERROR(_xlfn.XLOOKUP(Table6[[#This Row],[Affected WTG]],'Basic Data'!$A:$A,'Basic Data'!$B:$B),"")</f>
        <v>TQGXIIPL</v>
      </c>
      <c r="I120" s="35" t="str">
        <f>IFERROR(_xlfn.XLOOKUP(Table6[[#This Row],[Affected WTG]],'Basic Data'!$A:$A,'Basic Data'!$C:$C),"")</f>
        <v>GEDA</v>
      </c>
      <c r="J120" s="260">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266</v>
      </c>
      <c r="N120" s="264"/>
      <c r="O120" s="265">
        <v>0.15277777777777779</v>
      </c>
      <c r="P120" s="265">
        <v>0.15277777777777779</v>
      </c>
      <c r="Q120" s="266">
        <v>0.15763888888888888</v>
      </c>
      <c r="R120" s="261">
        <f>IF(Table6[[#This Row],[Work Start TimeStamp]]="","",(Table6[[#This Row],[Work Start TimeStamp]]-Table6[[#This Row],[Fault Start TimeStamp]])*24)</f>
        <v>0</v>
      </c>
      <c r="S120" s="261">
        <f>(Table6[[#This Row],[Fault Clearance time]]-Table6[[#This Row],[Work Start TimeStamp]])*24</f>
        <v>0.11666666666666625</v>
      </c>
      <c r="T120" s="261">
        <f>(Table6[[#This Row],[Fault Clearance time]]-Table6[[#This Row],[Fault Start TimeStamp]])*24</f>
        <v>0.11666666666666625</v>
      </c>
      <c r="U120" s="35" t="s">
        <v>297</v>
      </c>
      <c r="V120" s="102" t="s">
        <v>268</v>
      </c>
      <c r="W120" s="267">
        <f>IFERROR(Table6[[#This Row],[Breakdown Time]]*Table6[[#This Row],[Plant Equivalent Weightage]],"")</f>
        <v>4.4871794871794695E-3</v>
      </c>
      <c r="X120" s="262" t="s">
        <v>269</v>
      </c>
      <c r="Y120" s="263" t="s">
        <v>115</v>
      </c>
      <c r="Z120" s="102">
        <v>28683</v>
      </c>
      <c r="AA120" s="257">
        <f>(Table6[[#This Row],[Paired WTG Generation for loss calculation]]/24)*Table6[[#This Row],[Breakdown Time]]</f>
        <v>139.43124999999949</v>
      </c>
      <c r="AB120" s="102"/>
      <c r="AC120" s="35"/>
      <c r="AD120" s="35"/>
    </row>
    <row r="121" spans="1:30">
      <c r="A121" s="102">
        <f t="shared" si="2"/>
        <v>120</v>
      </c>
      <c r="B121" s="257">
        <f>YEAR(Table6[[#This Row],[Date]])+IF(MONTH(Table6[[#This Row],[Date]])&gt;=4,1,0)</f>
        <v>2026</v>
      </c>
      <c r="C121" s="102">
        <f>YEAR(Table6[[#This Row],[Date]])</f>
        <v>2025</v>
      </c>
      <c r="D121" s="102" t="s">
        <v>265</v>
      </c>
      <c r="E121" s="258">
        <f>Table6[[#This Row],[Date]]-DAY(Table6[[#This Row],[Date]])+1</f>
        <v>45748</v>
      </c>
      <c r="F121" s="259">
        <v>45757</v>
      </c>
      <c r="G121" s="35" t="s">
        <v>116</v>
      </c>
      <c r="H121" s="35" t="str">
        <f>IFERROR(_xlfn.XLOOKUP(Table6[[#This Row],[Affected WTG]],'Basic Data'!$A:$A,'Basic Data'!$B:$B),"")</f>
        <v>TQGXIIPL</v>
      </c>
      <c r="I121" s="35" t="str">
        <f>IFERROR(_xlfn.XLOOKUP(Table6[[#This Row],[Affected WTG]],'Basic Data'!$A:$A,'Basic Data'!$C:$C),"")</f>
        <v>GEDA</v>
      </c>
      <c r="J121" s="260">
        <f>IFERROR(_xlfn.XLOOKUP(Table6[[#This Row],[Affected WTG]],'Basic Data'!$A:$A,'Basic Data'!$E:$E),"")</f>
        <v>3.846153846153845E-2</v>
      </c>
      <c r="K121" s="102">
        <v>6605</v>
      </c>
      <c r="L121" s="35" t="str">
        <f>IFERROR(_xlfn.XLOOKUP(Table6[[#This Row],[Error Code]],'Basic Data'!$AA:$AA,'Basic Data'!$AB:$AB),"Incorrect Error Code")</f>
        <v>Wind.dir. diff. level 2</v>
      </c>
      <c r="M121" s="35" t="s">
        <v>266</v>
      </c>
      <c r="N121" s="264"/>
      <c r="O121" s="265">
        <v>0.63402777777777775</v>
      </c>
      <c r="P121" s="265">
        <v>0.63402777777777775</v>
      </c>
      <c r="Q121" s="266">
        <v>0.63680555555555551</v>
      </c>
      <c r="R121" s="261">
        <f>IF(Table6[[#This Row],[Work Start TimeStamp]]="","",(Table6[[#This Row],[Work Start TimeStamp]]-Table6[[#This Row],[Fault Start TimeStamp]])*24)</f>
        <v>0</v>
      </c>
      <c r="S121" s="261">
        <f>(Table6[[#This Row],[Fault Clearance time]]-Table6[[#This Row],[Work Start TimeStamp]])*24</f>
        <v>6.666666666666643E-2</v>
      </c>
      <c r="T121" s="261">
        <f>(Table6[[#This Row],[Fault Clearance time]]-Table6[[#This Row],[Fault Start TimeStamp]])*24</f>
        <v>6.666666666666643E-2</v>
      </c>
      <c r="U121" s="35" t="s">
        <v>267</v>
      </c>
      <c r="V121" s="102" t="s">
        <v>268</v>
      </c>
      <c r="W121" s="267">
        <f>IFERROR(Table6[[#This Row],[Breakdown Time]]*Table6[[#This Row],[Plant Equivalent Weightage]],"")</f>
        <v>2.5641025641025541E-3</v>
      </c>
      <c r="X121" s="262" t="s">
        <v>269</v>
      </c>
      <c r="Y121" s="263" t="s">
        <v>119</v>
      </c>
      <c r="Z121" s="102">
        <v>41567</v>
      </c>
      <c r="AA121" s="257">
        <f>(Table6[[#This Row],[Paired WTG Generation for loss calculation]]/24)*Table6[[#This Row],[Breakdown Time]]</f>
        <v>115.46388888888848</v>
      </c>
      <c r="AB121" s="102"/>
      <c r="AC121" s="35"/>
      <c r="AD121" s="35"/>
    </row>
    <row r="122" spans="1:30">
      <c r="A122" s="102">
        <f t="shared" si="2"/>
        <v>121</v>
      </c>
      <c r="B122" s="257">
        <f>YEAR(Table6[[#This Row],[Date]])+IF(MONTH(Table6[[#This Row],[Date]])&gt;=4,1,0)</f>
        <v>2026</v>
      </c>
      <c r="C122" s="102">
        <f>YEAR(Table6[[#This Row],[Date]])</f>
        <v>2025</v>
      </c>
      <c r="D122" s="102" t="s">
        <v>265</v>
      </c>
      <c r="E122" s="258">
        <f>Table6[[#This Row],[Date]]-DAY(Table6[[#This Row],[Date]])+1</f>
        <v>45748</v>
      </c>
      <c r="F122" s="259">
        <v>45757</v>
      </c>
      <c r="G122" s="35" t="s">
        <v>118</v>
      </c>
      <c r="H122" s="35" t="str">
        <f>IFERROR(_xlfn.XLOOKUP(Table6[[#This Row],[Affected WTG]],'Basic Data'!$A:$A,'Basic Data'!$B:$B),"")</f>
        <v>TQGXIIPL</v>
      </c>
      <c r="I122" s="35" t="str">
        <f>IFERROR(_xlfn.XLOOKUP(Table6[[#This Row],[Affected WTG]],'Basic Data'!$A:$A,'Basic Data'!$C:$C),"")</f>
        <v>GEDA</v>
      </c>
      <c r="J122" s="260">
        <f>IFERROR(_xlfn.XLOOKUP(Table6[[#This Row],[Affected WTG]],'Basic Data'!$A:$A,'Basic Data'!$E:$E),"")</f>
        <v>3.846153846153845E-2</v>
      </c>
      <c r="K122" s="102">
        <v>1700</v>
      </c>
      <c r="L122" s="35" t="str">
        <f>IFERROR(_xlfn.XLOOKUP(Table6[[#This Row],[Error Code]],'Basic Data'!$AA:$AA,'Basic Data'!$AB:$AB),"Incorrect Error Code")</f>
        <v>High temp. gear bearing 1</v>
      </c>
      <c r="M122" s="35" t="s">
        <v>266</v>
      </c>
      <c r="N122" s="264"/>
      <c r="O122" s="265">
        <v>0.7631944444444444</v>
      </c>
      <c r="P122" s="265">
        <v>0.7631944444444444</v>
      </c>
      <c r="Q122" s="266">
        <v>0.76875000000000004</v>
      </c>
      <c r="R122" s="261">
        <f>IF(Table6[[#This Row],[Work Start TimeStamp]]="","",(Table6[[#This Row],[Work Start TimeStamp]]-Table6[[#This Row],[Fault Start TimeStamp]])*24)</f>
        <v>0</v>
      </c>
      <c r="S122" s="261">
        <f>(Table6[[#This Row],[Fault Clearance time]]-Table6[[#This Row],[Work Start TimeStamp]])*24</f>
        <v>0.13333333333333552</v>
      </c>
      <c r="T122" s="261">
        <f>(Table6[[#This Row],[Fault Clearance time]]-Table6[[#This Row],[Fault Start TimeStamp]])*24</f>
        <v>0.13333333333333552</v>
      </c>
      <c r="U122" s="35" t="s">
        <v>313</v>
      </c>
      <c r="V122" s="102" t="s">
        <v>268</v>
      </c>
      <c r="W122" s="267">
        <f>IFERROR(Table6[[#This Row],[Breakdown Time]]*Table6[[#This Row],[Plant Equivalent Weightage]],"")</f>
        <v>5.1282051282052106E-3</v>
      </c>
      <c r="X122" s="262" t="s">
        <v>269</v>
      </c>
      <c r="Y122" s="263" t="s">
        <v>119</v>
      </c>
      <c r="Z122" s="102">
        <v>41567</v>
      </c>
      <c r="AA122" s="257">
        <f>(Table6[[#This Row],[Paired WTG Generation for loss calculation]]/24)*Table6[[#This Row],[Breakdown Time]]</f>
        <v>230.92777777778156</v>
      </c>
      <c r="AB122" s="102"/>
      <c r="AC122" s="35"/>
      <c r="AD122" s="35"/>
    </row>
    <row r="123" spans="1:30">
      <c r="A123" s="102">
        <f t="shared" si="2"/>
        <v>122</v>
      </c>
      <c r="B123" s="257">
        <f>YEAR(Table6[[#This Row],[Date]])+IF(MONTH(Table6[[#This Row],[Date]])&gt;=4,1,0)</f>
        <v>2026</v>
      </c>
      <c r="C123" s="102">
        <f>YEAR(Table6[[#This Row],[Date]])</f>
        <v>2025</v>
      </c>
      <c r="D123" s="102" t="s">
        <v>265</v>
      </c>
      <c r="E123" s="258">
        <f>Table6[[#This Row],[Date]]-DAY(Table6[[#This Row],[Date]])+1</f>
        <v>45748</v>
      </c>
      <c r="F123" s="259">
        <v>45757</v>
      </c>
      <c r="G123" s="35" t="s">
        <v>119</v>
      </c>
      <c r="H123" s="35" t="str">
        <f>IFERROR(_xlfn.XLOOKUP(Table6[[#This Row],[Affected WTG]],'Basic Data'!$A:$A,'Basic Data'!$B:$B),"")</f>
        <v>TQGXIIPL</v>
      </c>
      <c r="I123" s="35" t="str">
        <f>IFERROR(_xlfn.XLOOKUP(Table6[[#This Row],[Affected WTG]],'Basic Data'!$A:$A,'Basic Data'!$C:$C),"")</f>
        <v>GEDA</v>
      </c>
      <c r="J123" s="260">
        <f>IFERROR(_xlfn.XLOOKUP(Table6[[#This Row],[Affected WTG]],'Basic Data'!$A:$A,'Basic Data'!$E:$E),"")</f>
        <v>3.846153846153845E-2</v>
      </c>
      <c r="K123" s="102">
        <v>6605</v>
      </c>
      <c r="L123" s="35" t="str">
        <f>IFERROR(_xlfn.XLOOKUP(Table6[[#This Row],[Error Code]],'Basic Data'!$AA:$AA,'Basic Data'!$AB:$AB),"Incorrect Error Code")</f>
        <v>Wind.dir. diff. level 2</v>
      </c>
      <c r="M123" s="35" t="s">
        <v>266</v>
      </c>
      <c r="N123" s="264"/>
      <c r="O123" s="265">
        <v>0.53333333333333333</v>
      </c>
      <c r="P123" s="265">
        <v>0.53333333333333333</v>
      </c>
      <c r="Q123" s="266">
        <v>0.53472222222222221</v>
      </c>
      <c r="R123" s="261">
        <f>IF(Table6[[#This Row],[Work Start TimeStamp]]="","",(Table6[[#This Row],[Work Start TimeStamp]]-Table6[[#This Row],[Fault Start TimeStamp]])*24)</f>
        <v>0</v>
      </c>
      <c r="S123" s="261">
        <f>(Table6[[#This Row],[Fault Clearance time]]-Table6[[#This Row],[Work Start TimeStamp]])*24</f>
        <v>3.3333333333333215E-2</v>
      </c>
      <c r="T123" s="261">
        <f>(Table6[[#This Row],[Fault Clearance time]]-Table6[[#This Row],[Fault Start TimeStamp]])*24</f>
        <v>3.3333333333333215E-2</v>
      </c>
      <c r="U123" s="35" t="s">
        <v>267</v>
      </c>
      <c r="V123" s="102" t="s">
        <v>268</v>
      </c>
      <c r="W123" s="267">
        <f>IFERROR(Table6[[#This Row],[Breakdown Time]]*Table6[[#This Row],[Plant Equivalent Weightage]],"")</f>
        <v>1.2820512820512771E-3</v>
      </c>
      <c r="X123" s="262" t="s">
        <v>269</v>
      </c>
      <c r="Y123" s="263" t="s">
        <v>116</v>
      </c>
      <c r="Z123" s="102">
        <v>45183</v>
      </c>
      <c r="AA123" s="257">
        <f>(Table6[[#This Row],[Paired WTG Generation for loss calculation]]/24)*Table6[[#This Row],[Breakdown Time]]</f>
        <v>62.754166666666443</v>
      </c>
      <c r="AB123" s="102"/>
      <c r="AC123" s="35"/>
      <c r="AD123" s="35"/>
    </row>
    <row r="124" spans="1:30">
      <c r="A124" s="102">
        <f t="shared" si="2"/>
        <v>123</v>
      </c>
      <c r="B124" s="257">
        <f>YEAR(Table6[[#This Row],[Date]])+IF(MONTH(Table6[[#This Row],[Date]])&gt;=4,1,0)</f>
        <v>2026</v>
      </c>
      <c r="C124" s="102">
        <f>YEAR(Table6[[#This Row],[Date]])</f>
        <v>2025</v>
      </c>
      <c r="D124" s="102" t="s">
        <v>265</v>
      </c>
      <c r="E124" s="258">
        <f>Table6[[#This Row],[Date]]-DAY(Table6[[#This Row],[Date]])+1</f>
        <v>45748</v>
      </c>
      <c r="F124" s="259">
        <v>45757</v>
      </c>
      <c r="G124" s="35" t="s">
        <v>120</v>
      </c>
      <c r="H124" s="35" t="str">
        <f>IFERROR(_xlfn.XLOOKUP(Table6[[#This Row],[Affected WTG]],'Basic Data'!$A:$A,'Basic Data'!$B:$B),"")</f>
        <v>TQGXIIPL</v>
      </c>
      <c r="I124" s="35" t="str">
        <f>IFERROR(_xlfn.XLOOKUP(Table6[[#This Row],[Affected WTG]],'Basic Data'!$A:$A,'Basic Data'!$C:$C),"")</f>
        <v>GEDA</v>
      </c>
      <c r="J124" s="260">
        <f>IFERROR(_xlfn.XLOOKUP(Table6[[#This Row],[Affected WTG]],'Basic Data'!$A:$A,'Basic Data'!$E:$E),"")</f>
        <v>3.846153846153845E-2</v>
      </c>
      <c r="K124" s="102">
        <v>6130</v>
      </c>
      <c r="L124" s="35" t="str">
        <f>IFERROR(_xlfn.XLOOKUP(Table6[[#This Row],[Error Code]],'Basic Data'!$AA:$AA,'Basic Data'!$AB:$AB),"Incorrect Error Code")</f>
        <v>Yaw speed high</v>
      </c>
      <c r="M124" s="35" t="s">
        <v>266</v>
      </c>
      <c r="N124" s="264"/>
      <c r="O124" s="265">
        <v>0.57152777777777775</v>
      </c>
      <c r="P124" s="265">
        <v>0.57152777777777775</v>
      </c>
      <c r="Q124" s="266">
        <v>0.57777777777777772</v>
      </c>
      <c r="R124" s="261">
        <f>IF(Table6[[#This Row],[Work Start TimeStamp]]="","",(Table6[[#This Row],[Work Start TimeStamp]]-Table6[[#This Row],[Fault Start TimeStamp]])*24)</f>
        <v>0</v>
      </c>
      <c r="S124" s="261">
        <f>(Table6[[#This Row],[Fault Clearance time]]-Table6[[#This Row],[Work Start TimeStamp]])*24</f>
        <v>0.14999999999999947</v>
      </c>
      <c r="T124" s="261">
        <f>(Table6[[#This Row],[Fault Clearance time]]-Table6[[#This Row],[Fault Start TimeStamp]])*24</f>
        <v>0.14999999999999947</v>
      </c>
      <c r="U124" s="35" t="s">
        <v>267</v>
      </c>
      <c r="V124" s="102" t="s">
        <v>268</v>
      </c>
      <c r="W124" s="267">
        <f>IFERROR(Table6[[#This Row],[Breakdown Time]]*Table6[[#This Row],[Plant Equivalent Weightage]],"")</f>
        <v>5.769230769230747E-3</v>
      </c>
      <c r="X124" s="262" t="s">
        <v>269</v>
      </c>
      <c r="Y124" s="263" t="s">
        <v>132</v>
      </c>
      <c r="Z124" s="102">
        <v>33218</v>
      </c>
      <c r="AA124" s="257">
        <f>(Table6[[#This Row],[Paired WTG Generation for loss calculation]]/24)*Table6[[#This Row],[Breakdown Time]]</f>
        <v>207.61249999999924</v>
      </c>
      <c r="AB124" s="102"/>
      <c r="AC124" s="35"/>
      <c r="AD124" s="35"/>
    </row>
    <row r="125" spans="1:30">
      <c r="A125" s="102">
        <f t="shared" si="2"/>
        <v>124</v>
      </c>
      <c r="B125" s="257">
        <f>YEAR(Table6[[#This Row],[Date]])+IF(MONTH(Table6[[#This Row],[Date]])&gt;=4,1,0)</f>
        <v>2026</v>
      </c>
      <c r="C125" s="102">
        <f>YEAR(Table6[[#This Row],[Date]])</f>
        <v>2025</v>
      </c>
      <c r="D125" s="102" t="s">
        <v>265</v>
      </c>
      <c r="E125" s="258">
        <f>Table6[[#This Row],[Date]]-DAY(Table6[[#This Row],[Date]])+1</f>
        <v>45748</v>
      </c>
      <c r="F125" s="259">
        <v>45757</v>
      </c>
      <c r="G125" s="35" t="s">
        <v>120</v>
      </c>
      <c r="H125" s="35" t="str">
        <f>IFERROR(_xlfn.XLOOKUP(Table6[[#This Row],[Affected WTG]],'Basic Data'!$A:$A,'Basic Data'!$B:$B),"")</f>
        <v>TQGXIIPL</v>
      </c>
      <c r="I125" s="35" t="str">
        <f>IFERROR(_xlfn.XLOOKUP(Table6[[#This Row],[Affected WTG]],'Basic Data'!$A:$A,'Basic Data'!$C:$C),"")</f>
        <v>GEDA</v>
      </c>
      <c r="J125" s="260">
        <f>IFERROR(_xlfn.XLOOKUP(Table6[[#This Row],[Affected WTG]],'Basic Data'!$A:$A,'Basic Data'!$E:$E),"")</f>
        <v>3.846153846153845E-2</v>
      </c>
      <c r="K125" s="102">
        <v>1700</v>
      </c>
      <c r="L125" s="35" t="str">
        <f>IFERROR(_xlfn.XLOOKUP(Table6[[#This Row],[Error Code]],'Basic Data'!$AA:$AA,'Basic Data'!$AB:$AB),"Incorrect Error Code")</f>
        <v>High temp. gear bearing 1</v>
      </c>
      <c r="M125" s="35" t="s">
        <v>266</v>
      </c>
      <c r="N125" s="264"/>
      <c r="O125" s="265">
        <v>0.79513888888888884</v>
      </c>
      <c r="P125" s="265">
        <v>0.79513888888888884</v>
      </c>
      <c r="Q125" s="266">
        <v>0.81527777777777777</v>
      </c>
      <c r="R125" s="261">
        <f>IF(Table6[[#This Row],[Work Start TimeStamp]]="","",(Table6[[#This Row],[Work Start TimeStamp]]-Table6[[#This Row],[Fault Start TimeStamp]])*24)</f>
        <v>0</v>
      </c>
      <c r="S125" s="261">
        <f>(Table6[[#This Row],[Fault Clearance time]]-Table6[[#This Row],[Work Start TimeStamp]])*24</f>
        <v>0.48333333333333428</v>
      </c>
      <c r="T125" s="261">
        <f>(Table6[[#This Row],[Fault Clearance time]]-Table6[[#This Row],[Fault Start TimeStamp]])*24</f>
        <v>0.48333333333333428</v>
      </c>
      <c r="U125" s="35" t="s">
        <v>313</v>
      </c>
      <c r="V125" s="102" t="s">
        <v>268</v>
      </c>
      <c r="W125" s="267">
        <f>IFERROR(Table6[[#This Row],[Breakdown Time]]*Table6[[#This Row],[Plant Equivalent Weightage]],"")</f>
        <v>1.8589743589743621E-2</v>
      </c>
      <c r="X125" s="262" t="s">
        <v>269</v>
      </c>
      <c r="Y125" s="263" t="s">
        <v>132</v>
      </c>
      <c r="Z125" s="102">
        <v>33218</v>
      </c>
      <c r="AA125" s="257">
        <f>(Table6[[#This Row],[Paired WTG Generation for loss calculation]]/24)*Table6[[#This Row],[Breakdown Time]]</f>
        <v>668.9736111111124</v>
      </c>
      <c r="AB125" s="102"/>
      <c r="AC125" s="35"/>
      <c r="AD125" s="35"/>
    </row>
    <row r="126" spans="1:30">
      <c r="A126" s="102">
        <f t="shared" si="2"/>
        <v>125</v>
      </c>
      <c r="B126" s="257">
        <f>YEAR(Table6[[#This Row],[Date]])+IF(MONTH(Table6[[#This Row],[Date]])&gt;=4,1,0)</f>
        <v>2026</v>
      </c>
      <c r="C126" s="102">
        <f>YEAR(Table6[[#This Row],[Date]])</f>
        <v>2025</v>
      </c>
      <c r="D126" s="102" t="s">
        <v>265</v>
      </c>
      <c r="E126" s="258">
        <f>Table6[[#This Row],[Date]]-DAY(Table6[[#This Row],[Date]])+1</f>
        <v>45748</v>
      </c>
      <c r="F126" s="259">
        <v>45757</v>
      </c>
      <c r="G126" s="35" t="s">
        <v>121</v>
      </c>
      <c r="H126" s="35" t="str">
        <f>IFERROR(_xlfn.XLOOKUP(Table6[[#This Row],[Affected WTG]],'Basic Data'!$A:$A,'Basic Data'!$B:$B),"")</f>
        <v>TQGXIIPL</v>
      </c>
      <c r="I126" s="35" t="str">
        <f>IFERROR(_xlfn.XLOOKUP(Table6[[#This Row],[Affected WTG]],'Basic Data'!$A:$A,'Basic Data'!$C:$C),"")</f>
        <v>GEDA</v>
      </c>
      <c r="J126" s="260">
        <f>IFERROR(_xlfn.XLOOKUP(Table6[[#This Row],[Affected WTG]],'Basic Data'!$A:$A,'Basic Data'!$E:$E),"")</f>
        <v>3.846153846153845E-2</v>
      </c>
      <c r="K126" s="102">
        <v>6130</v>
      </c>
      <c r="L126" s="35" t="str">
        <f>IFERROR(_xlfn.XLOOKUP(Table6[[#This Row],[Error Code]],'Basic Data'!$AA:$AA,'Basic Data'!$AB:$AB),"Incorrect Error Code")</f>
        <v>Yaw speed high</v>
      </c>
      <c r="M126" s="35" t="s">
        <v>266</v>
      </c>
      <c r="N126" s="264"/>
      <c r="O126" s="265">
        <v>0.14305555555555555</v>
      </c>
      <c r="P126" s="265">
        <v>0.14305555555555555</v>
      </c>
      <c r="Q126" s="266">
        <v>0.14722222222222223</v>
      </c>
      <c r="R126" s="261">
        <f>IF(Table6[[#This Row],[Work Start TimeStamp]]="","",(Table6[[#This Row],[Work Start TimeStamp]]-Table6[[#This Row],[Fault Start TimeStamp]])*24)</f>
        <v>0</v>
      </c>
      <c r="S126" s="261">
        <f>(Table6[[#This Row],[Fault Clearance time]]-Table6[[#This Row],[Work Start TimeStamp]])*24</f>
        <v>0.10000000000000031</v>
      </c>
      <c r="T126" s="261">
        <f>(Table6[[#This Row],[Fault Clearance time]]-Table6[[#This Row],[Fault Start TimeStamp]])*24</f>
        <v>0.10000000000000031</v>
      </c>
      <c r="U126" s="35" t="s">
        <v>277</v>
      </c>
      <c r="V126" s="102" t="s">
        <v>268</v>
      </c>
      <c r="W126" s="267">
        <f>IFERROR(Table6[[#This Row],[Breakdown Time]]*Table6[[#This Row],[Plant Equivalent Weightage]],"")</f>
        <v>3.8461538461538568E-3</v>
      </c>
      <c r="X126" s="262" t="s">
        <v>269</v>
      </c>
      <c r="Y126" s="263" t="s">
        <v>133</v>
      </c>
      <c r="Z126" s="102">
        <v>46375</v>
      </c>
      <c r="AA126" s="257">
        <f>(Table6[[#This Row],[Paired WTG Generation for loss calculation]]/24)*Table6[[#This Row],[Breakdown Time]]</f>
        <v>193.22916666666728</v>
      </c>
      <c r="AB126" s="102"/>
      <c r="AC126" s="35"/>
      <c r="AD126" s="35"/>
    </row>
    <row r="127" spans="1:30">
      <c r="A127" s="102">
        <f t="shared" si="2"/>
        <v>126</v>
      </c>
      <c r="B127" s="257">
        <f>YEAR(Table6[[#This Row],[Date]])+IF(MONTH(Table6[[#This Row],[Date]])&gt;=4,1,0)</f>
        <v>2026</v>
      </c>
      <c r="C127" s="102">
        <f>YEAR(Table6[[#This Row],[Date]])</f>
        <v>2025</v>
      </c>
      <c r="D127" s="102" t="s">
        <v>265</v>
      </c>
      <c r="E127" s="258">
        <f>Table6[[#This Row],[Date]]-DAY(Table6[[#This Row],[Date]])+1</f>
        <v>45748</v>
      </c>
      <c r="F127" s="259">
        <v>45757</v>
      </c>
      <c r="G127" s="35" t="s">
        <v>122</v>
      </c>
      <c r="H127" s="35" t="str">
        <f>IFERROR(_xlfn.XLOOKUP(Table6[[#This Row],[Affected WTG]],'Basic Data'!$A:$A,'Basic Data'!$B:$B),"")</f>
        <v>TQGXIIPL</v>
      </c>
      <c r="I127" s="35" t="str">
        <f>IFERROR(_xlfn.XLOOKUP(Table6[[#This Row],[Affected WTG]],'Basic Data'!$A:$A,'Basic Data'!$C:$C),"")</f>
        <v>GEDA</v>
      </c>
      <c r="J127" s="260">
        <f>IFERROR(_xlfn.XLOOKUP(Table6[[#This Row],[Affected WTG]],'Basic Data'!$A:$A,'Basic Data'!$E:$E),"")</f>
        <v>3.846153846153845E-2</v>
      </c>
      <c r="K127" s="102">
        <v>4520</v>
      </c>
      <c r="L127" s="35" t="str">
        <f>IFERROR(_xlfn.XLOOKUP(Table6[[#This Row],[Error Code]],'Basic Data'!$AA:$AA,'Basic Data'!$AB:$AB),"Incorrect Error Code")</f>
        <v>Tower oscillation X level 1</v>
      </c>
      <c r="M127" s="35" t="s">
        <v>266</v>
      </c>
      <c r="N127" s="264"/>
      <c r="O127" s="265">
        <v>0.14374999999999999</v>
      </c>
      <c r="P127" s="265">
        <v>0.14374999999999999</v>
      </c>
      <c r="Q127" s="266">
        <v>0.15138888888888888</v>
      </c>
      <c r="R127" s="261">
        <f>IF(Table6[[#This Row],[Work Start TimeStamp]]="","",(Table6[[#This Row],[Work Start TimeStamp]]-Table6[[#This Row],[Fault Start TimeStamp]])*24)</f>
        <v>0</v>
      </c>
      <c r="S127" s="261">
        <f>(Table6[[#This Row],[Fault Clearance time]]-Table6[[#This Row],[Work Start TimeStamp]])*24</f>
        <v>0.18333333333333335</v>
      </c>
      <c r="T127" s="261">
        <f>(Table6[[#This Row],[Fault Clearance time]]-Table6[[#This Row],[Fault Start TimeStamp]])*24</f>
        <v>0.18333333333333335</v>
      </c>
      <c r="U127" s="35" t="s">
        <v>267</v>
      </c>
      <c r="V127" s="102" t="s">
        <v>268</v>
      </c>
      <c r="W127" s="267">
        <f>IFERROR(Table6[[#This Row],[Breakdown Time]]*Table6[[#This Row],[Plant Equivalent Weightage]],"")</f>
        <v>7.0512820512820496E-3</v>
      </c>
      <c r="X127" s="262" t="s">
        <v>269</v>
      </c>
      <c r="Y127" s="263" t="s">
        <v>115</v>
      </c>
      <c r="Z127" s="102">
        <v>37826</v>
      </c>
      <c r="AA127" s="257">
        <f>(Table6[[#This Row],[Paired WTG Generation for loss calculation]]/24)*Table6[[#This Row],[Breakdown Time]]</f>
        <v>288.94861111111112</v>
      </c>
      <c r="AB127" s="102"/>
      <c r="AC127" s="35"/>
      <c r="AD127" s="35"/>
    </row>
    <row r="128" spans="1:30">
      <c r="A128" s="102">
        <f t="shared" si="2"/>
        <v>127</v>
      </c>
      <c r="B128" s="257">
        <f>YEAR(Table6[[#This Row],[Date]])+IF(MONTH(Table6[[#This Row],[Date]])&gt;=4,1,0)</f>
        <v>2026</v>
      </c>
      <c r="C128" s="102">
        <f>YEAR(Table6[[#This Row],[Date]])</f>
        <v>2025</v>
      </c>
      <c r="D128" s="102" t="s">
        <v>265</v>
      </c>
      <c r="E128" s="258">
        <f>Table6[[#This Row],[Date]]-DAY(Table6[[#This Row],[Date]])+1</f>
        <v>45748</v>
      </c>
      <c r="F128" s="259">
        <v>45757</v>
      </c>
      <c r="G128" s="35" t="s">
        <v>122</v>
      </c>
      <c r="H128" s="35" t="str">
        <f>IFERROR(_xlfn.XLOOKUP(Table6[[#This Row],[Affected WTG]],'Basic Data'!$A:$A,'Basic Data'!$B:$B),"")</f>
        <v>TQGXIIPL</v>
      </c>
      <c r="I128" s="35" t="str">
        <f>IFERROR(_xlfn.XLOOKUP(Table6[[#This Row],[Affected WTG]],'Basic Data'!$A:$A,'Basic Data'!$C:$C),"")</f>
        <v>GEDA</v>
      </c>
      <c r="J128" s="260">
        <f>IFERROR(_xlfn.XLOOKUP(Table6[[#This Row],[Affected WTG]],'Basic Data'!$A:$A,'Basic Data'!$E:$E),"")</f>
        <v>3.846153846153845E-2</v>
      </c>
      <c r="K128" s="102">
        <v>4520</v>
      </c>
      <c r="L128" s="35" t="str">
        <f>IFERROR(_xlfn.XLOOKUP(Table6[[#This Row],[Error Code]],'Basic Data'!$AA:$AA,'Basic Data'!$AB:$AB),"Incorrect Error Code")</f>
        <v>Tower oscillation X level 1</v>
      </c>
      <c r="M128" s="35" t="s">
        <v>266</v>
      </c>
      <c r="N128" s="264"/>
      <c r="O128" s="265">
        <v>0.39861111111111114</v>
      </c>
      <c r="P128" s="265">
        <v>0.39861111111111114</v>
      </c>
      <c r="Q128" s="266">
        <v>0.40625</v>
      </c>
      <c r="R128" s="261">
        <f>IF(Table6[[#This Row],[Work Start TimeStamp]]="","",(Table6[[#This Row],[Work Start TimeStamp]]-Table6[[#This Row],[Fault Start TimeStamp]])*24)</f>
        <v>0</v>
      </c>
      <c r="S128" s="261">
        <f>(Table6[[#This Row],[Fault Clearance time]]-Table6[[#This Row],[Work Start TimeStamp]])*24</f>
        <v>0.18333333333333268</v>
      </c>
      <c r="T128" s="261">
        <f>(Table6[[#This Row],[Fault Clearance time]]-Table6[[#This Row],[Fault Start TimeStamp]])*24</f>
        <v>0.18333333333333268</v>
      </c>
      <c r="U128" s="35" t="s">
        <v>267</v>
      </c>
      <c r="V128" s="102" t="s">
        <v>268</v>
      </c>
      <c r="W128" s="267">
        <f>IFERROR(Table6[[#This Row],[Breakdown Time]]*Table6[[#This Row],[Plant Equivalent Weightage]],"")</f>
        <v>7.0512820512820245E-3</v>
      </c>
      <c r="X128" s="262" t="s">
        <v>269</v>
      </c>
      <c r="Y128" s="263" t="s">
        <v>115</v>
      </c>
      <c r="Z128" s="102">
        <v>37826</v>
      </c>
      <c r="AA128" s="257">
        <f>(Table6[[#This Row],[Paired WTG Generation for loss calculation]]/24)*Table6[[#This Row],[Breakdown Time]]</f>
        <v>288.9486111111101</v>
      </c>
      <c r="AB128" s="102"/>
      <c r="AC128" s="35"/>
      <c r="AD128" s="35"/>
    </row>
    <row r="129" spans="1:30">
      <c r="A129" s="102">
        <f t="shared" si="2"/>
        <v>128</v>
      </c>
      <c r="B129" s="257">
        <f>YEAR(Table6[[#This Row],[Date]])+IF(MONTH(Table6[[#This Row],[Date]])&gt;=4,1,0)</f>
        <v>2026</v>
      </c>
      <c r="C129" s="102">
        <f>YEAR(Table6[[#This Row],[Date]])</f>
        <v>2025</v>
      </c>
      <c r="D129" s="102" t="s">
        <v>265</v>
      </c>
      <c r="E129" s="258">
        <f>Table6[[#This Row],[Date]]-DAY(Table6[[#This Row],[Date]])+1</f>
        <v>45748</v>
      </c>
      <c r="F129" s="259">
        <v>45757</v>
      </c>
      <c r="G129" s="35" t="s">
        <v>122</v>
      </c>
      <c r="H129" s="35" t="str">
        <f>IFERROR(_xlfn.XLOOKUP(Table6[[#This Row],[Affected WTG]],'Basic Data'!$A:$A,'Basic Data'!$B:$B),"")</f>
        <v>TQGXIIPL</v>
      </c>
      <c r="I129" s="35" t="str">
        <f>IFERROR(_xlfn.XLOOKUP(Table6[[#This Row],[Affected WTG]],'Basic Data'!$A:$A,'Basic Data'!$C:$C),"")</f>
        <v>GEDA</v>
      </c>
      <c r="J129" s="260">
        <f>IFERROR(_xlfn.XLOOKUP(Table6[[#This Row],[Affected WTG]],'Basic Data'!$A:$A,'Basic Data'!$E:$E),"")</f>
        <v>3.846153846153845E-2</v>
      </c>
      <c r="K129" s="102">
        <v>55</v>
      </c>
      <c r="L129" s="35" t="str">
        <f>IFERROR(_xlfn.XLOOKUP(Table6[[#This Row],[Error Code]],'Basic Data'!$AA:$AA,'Basic Data'!$AB:$AB),"Incorrect Error Code")</f>
        <v>WTG shut down</v>
      </c>
      <c r="M129" s="35" t="s">
        <v>300</v>
      </c>
      <c r="N129" s="264"/>
      <c r="O129" s="265">
        <v>0.72430555555555554</v>
      </c>
      <c r="P129" s="265">
        <v>0.72430555555555554</v>
      </c>
      <c r="Q129" s="266">
        <v>0.8125</v>
      </c>
      <c r="R129" s="261">
        <f>IF(Table6[[#This Row],[Work Start TimeStamp]]="","",(Table6[[#This Row],[Work Start TimeStamp]]-Table6[[#This Row],[Fault Start TimeStamp]])*24)</f>
        <v>0</v>
      </c>
      <c r="S129" s="261">
        <f>(Table6[[#This Row],[Fault Clearance time]]-Table6[[#This Row],[Work Start TimeStamp]])*24</f>
        <v>2.1166666666666671</v>
      </c>
      <c r="T129" s="261">
        <f>(Table6[[#This Row],[Fault Clearance time]]-Table6[[#This Row],[Fault Start TimeStamp]])*24</f>
        <v>2.1166666666666671</v>
      </c>
      <c r="U129" s="35" t="s">
        <v>301</v>
      </c>
      <c r="V129" s="102" t="s">
        <v>268</v>
      </c>
      <c r="W129" s="267">
        <f>IFERROR(Table6[[#This Row],[Breakdown Time]]*Table6[[#This Row],[Plant Equivalent Weightage]],"")</f>
        <v>8.1410256410256399E-2</v>
      </c>
      <c r="X129" s="262" t="s">
        <v>296</v>
      </c>
      <c r="Y129" s="263" t="s">
        <v>115</v>
      </c>
      <c r="Z129" s="102">
        <v>37826</v>
      </c>
      <c r="AA129" s="257">
        <f>(Table6[[#This Row],[Paired WTG Generation for loss calculation]]/24)*Table6[[#This Row],[Breakdown Time]]</f>
        <v>3336.0430555555563</v>
      </c>
      <c r="AB129" s="102"/>
      <c r="AC129" s="35"/>
      <c r="AD129" s="35"/>
    </row>
    <row r="130" spans="1:30">
      <c r="A130" s="102">
        <f t="shared" si="2"/>
        <v>129</v>
      </c>
      <c r="B130" s="257">
        <f>YEAR(Table6[[#This Row],[Date]])+IF(MONTH(Table6[[#This Row],[Date]])&gt;=4,1,0)</f>
        <v>2026</v>
      </c>
      <c r="C130" s="102">
        <f>YEAR(Table6[[#This Row],[Date]])</f>
        <v>2025</v>
      </c>
      <c r="D130" s="102" t="s">
        <v>265</v>
      </c>
      <c r="E130" s="258">
        <f>Table6[[#This Row],[Date]]-DAY(Table6[[#This Row],[Date]])+1</f>
        <v>45748</v>
      </c>
      <c r="F130" s="259">
        <v>45757</v>
      </c>
      <c r="G130" s="35" t="s">
        <v>125</v>
      </c>
      <c r="H130" s="35" t="str">
        <f>IFERROR(_xlfn.XLOOKUP(Table6[[#This Row],[Affected WTG]],'Basic Data'!$A:$A,'Basic Data'!$B:$B),"")</f>
        <v>TQGXIIPL</v>
      </c>
      <c r="I130" s="35" t="str">
        <f>IFERROR(_xlfn.XLOOKUP(Table6[[#This Row],[Affected WTG]],'Basic Data'!$A:$A,'Basic Data'!$C:$C),"")</f>
        <v>GEDA</v>
      </c>
      <c r="J130" s="260">
        <f>IFERROR(_xlfn.XLOOKUP(Table6[[#This Row],[Affected WTG]],'Basic Data'!$A:$A,'Basic Data'!$E:$E),"")</f>
        <v>3.846153846153845E-2</v>
      </c>
      <c r="K130" s="102">
        <v>6130</v>
      </c>
      <c r="L130" s="35" t="str">
        <f>IFERROR(_xlfn.XLOOKUP(Table6[[#This Row],[Error Code]],'Basic Data'!$AA:$AA,'Basic Data'!$AB:$AB),"Incorrect Error Code")</f>
        <v>Yaw speed high</v>
      </c>
      <c r="M130" s="35" t="s">
        <v>266</v>
      </c>
      <c r="N130" s="264"/>
      <c r="O130" s="265">
        <v>0.57708333333333328</v>
      </c>
      <c r="P130" s="265">
        <v>0.57708333333333328</v>
      </c>
      <c r="Q130" s="266">
        <v>0.58125000000000004</v>
      </c>
      <c r="R130" s="261">
        <f>IF(Table6[[#This Row],[Work Start TimeStamp]]="","",(Table6[[#This Row],[Work Start TimeStamp]]-Table6[[#This Row],[Fault Start TimeStamp]])*24)</f>
        <v>0</v>
      </c>
      <c r="S130" s="261">
        <f>(Table6[[#This Row],[Fault Clearance time]]-Table6[[#This Row],[Work Start TimeStamp]])*24</f>
        <v>0.10000000000000231</v>
      </c>
      <c r="T130" s="261">
        <f>(Table6[[#This Row],[Fault Clearance time]]-Table6[[#This Row],[Fault Start TimeStamp]])*24</f>
        <v>0.10000000000000231</v>
      </c>
      <c r="U130" s="35" t="s">
        <v>277</v>
      </c>
      <c r="V130" s="102" t="s">
        <v>268</v>
      </c>
      <c r="W130" s="267">
        <f>IFERROR(Table6[[#This Row],[Breakdown Time]]*Table6[[#This Row],[Plant Equivalent Weightage]],"")</f>
        <v>3.846153846153934E-3</v>
      </c>
      <c r="X130" s="262" t="s">
        <v>269</v>
      </c>
      <c r="Y130" s="263" t="s">
        <v>126</v>
      </c>
      <c r="Z130" s="102">
        <v>38699</v>
      </c>
      <c r="AA130" s="257">
        <f>(Table6[[#This Row],[Paired WTG Generation for loss calculation]]/24)*Table6[[#This Row],[Breakdown Time]]</f>
        <v>161.24583333333706</v>
      </c>
      <c r="AB130" s="102"/>
      <c r="AC130" s="35"/>
      <c r="AD130" s="35"/>
    </row>
    <row r="131" spans="1:30">
      <c r="A131" s="102">
        <f t="shared" si="2"/>
        <v>130</v>
      </c>
      <c r="B131" s="257">
        <f>YEAR(Table6[[#This Row],[Date]])+IF(MONTH(Table6[[#This Row],[Date]])&gt;=4,1,0)</f>
        <v>2026</v>
      </c>
      <c r="C131" s="102">
        <f>YEAR(Table6[[#This Row],[Date]])</f>
        <v>2025</v>
      </c>
      <c r="D131" s="102" t="s">
        <v>265</v>
      </c>
      <c r="E131" s="258">
        <f>Table6[[#This Row],[Date]]-DAY(Table6[[#This Row],[Date]])+1</f>
        <v>45748</v>
      </c>
      <c r="F131" s="259">
        <v>45757</v>
      </c>
      <c r="G131" s="35" t="s">
        <v>126</v>
      </c>
      <c r="H131" s="35" t="str">
        <f>IFERROR(_xlfn.XLOOKUP(Table6[[#This Row],[Affected WTG]],'Basic Data'!$A:$A,'Basic Data'!$B:$B),"")</f>
        <v>TQGXIIPL</v>
      </c>
      <c r="I131" s="35" t="str">
        <f>IFERROR(_xlfn.XLOOKUP(Table6[[#This Row],[Affected WTG]],'Basic Data'!$A:$A,'Basic Data'!$C:$C),"")</f>
        <v>GEDA</v>
      </c>
      <c r="J131" s="260">
        <f>IFERROR(_xlfn.XLOOKUP(Table6[[#This Row],[Affected WTG]],'Basic Data'!$A:$A,'Basic Data'!$E:$E),"")</f>
        <v>3.846153846153845E-2</v>
      </c>
      <c r="K131" s="102">
        <v>1700</v>
      </c>
      <c r="L131" s="35" t="str">
        <f>IFERROR(_xlfn.XLOOKUP(Table6[[#This Row],[Error Code]],'Basic Data'!$AA:$AA,'Basic Data'!$AB:$AB),"Incorrect Error Code")</f>
        <v>High temp. gear bearing 1</v>
      </c>
      <c r="M131" s="35" t="s">
        <v>266</v>
      </c>
      <c r="N131" s="264"/>
      <c r="O131" s="265">
        <v>0.79652777777777772</v>
      </c>
      <c r="P131" s="265">
        <v>0.79652777777777772</v>
      </c>
      <c r="Q131" s="266">
        <v>0.80833333333333335</v>
      </c>
      <c r="R131" s="261">
        <f>IF(Table6[[#This Row],[Work Start TimeStamp]]="","",(Table6[[#This Row],[Work Start TimeStamp]]-Table6[[#This Row],[Fault Start TimeStamp]])*24)</f>
        <v>0</v>
      </c>
      <c r="S131" s="261">
        <f>(Table6[[#This Row],[Fault Clearance time]]-Table6[[#This Row],[Work Start TimeStamp]])*24</f>
        <v>0.28333333333333499</v>
      </c>
      <c r="T131" s="261">
        <f>(Table6[[#This Row],[Fault Clearance time]]-Table6[[#This Row],[Fault Start TimeStamp]])*24</f>
        <v>0.28333333333333499</v>
      </c>
      <c r="U131" s="35" t="s">
        <v>313</v>
      </c>
      <c r="V131" s="102" t="s">
        <v>268</v>
      </c>
      <c r="W131" s="267">
        <f>IFERROR(Table6[[#This Row],[Breakdown Time]]*Table6[[#This Row],[Plant Equivalent Weightage]],"")</f>
        <v>1.0897435897435958E-2</v>
      </c>
      <c r="X131" s="262" t="s">
        <v>269</v>
      </c>
      <c r="Y131" s="263" t="s">
        <v>125</v>
      </c>
      <c r="Z131" s="102">
        <v>35407</v>
      </c>
      <c r="AA131" s="257">
        <f>(Table6[[#This Row],[Paired WTG Generation for loss calculation]]/24)*Table6[[#This Row],[Breakdown Time]]</f>
        <v>417.99930555555801</v>
      </c>
      <c r="AB131" s="102"/>
      <c r="AC131" s="35"/>
      <c r="AD131" s="35"/>
    </row>
    <row r="132" spans="1:30">
      <c r="A132" s="102">
        <f t="shared" si="2"/>
        <v>131</v>
      </c>
      <c r="B132" s="257">
        <f>YEAR(Table6[[#This Row],[Date]])+IF(MONTH(Table6[[#This Row],[Date]])&gt;=4,1,0)</f>
        <v>2026</v>
      </c>
      <c r="C132" s="102">
        <f>YEAR(Table6[[#This Row],[Date]])</f>
        <v>2025</v>
      </c>
      <c r="D132" s="102" t="s">
        <v>265</v>
      </c>
      <c r="E132" s="258">
        <f>Table6[[#This Row],[Date]]-DAY(Table6[[#This Row],[Date]])+1</f>
        <v>45748</v>
      </c>
      <c r="F132" s="259">
        <v>45757</v>
      </c>
      <c r="G132" s="35" t="s">
        <v>127</v>
      </c>
      <c r="H132" s="35" t="str">
        <f>IFERROR(_xlfn.XLOOKUP(Table6[[#This Row],[Affected WTG]],'Basic Data'!$A:$A,'Basic Data'!$B:$B),"")</f>
        <v>TQGXIIPL</v>
      </c>
      <c r="I132" s="35" t="str">
        <f>IFERROR(_xlfn.XLOOKUP(Table6[[#This Row],[Affected WTG]],'Basic Data'!$A:$A,'Basic Data'!$C:$C),"")</f>
        <v>GEDA</v>
      </c>
      <c r="J132" s="260">
        <f>IFERROR(_xlfn.XLOOKUP(Table6[[#This Row],[Affected WTG]],'Basic Data'!$A:$A,'Basic Data'!$E:$E),"")</f>
        <v>3.846153846153845E-2</v>
      </c>
      <c r="K132" s="102">
        <v>6130</v>
      </c>
      <c r="L132" s="35" t="str">
        <f>IFERROR(_xlfn.XLOOKUP(Table6[[#This Row],[Error Code]],'Basic Data'!$AA:$AA,'Basic Data'!$AB:$AB),"Incorrect Error Code")</f>
        <v>Yaw speed high</v>
      </c>
      <c r="M132" s="35" t="s">
        <v>266</v>
      </c>
      <c r="N132" s="264"/>
      <c r="O132" s="265">
        <v>0.58472222222222225</v>
      </c>
      <c r="P132" s="265">
        <v>0.58472222222222225</v>
      </c>
      <c r="Q132" s="266">
        <v>0.58888888888888891</v>
      </c>
      <c r="R132" s="261">
        <f>IF(Table6[[#This Row],[Work Start TimeStamp]]="","",(Table6[[#This Row],[Work Start TimeStamp]]-Table6[[#This Row],[Fault Start TimeStamp]])*24)</f>
        <v>0</v>
      </c>
      <c r="S132" s="261">
        <f>(Table6[[#This Row],[Fault Clearance time]]-Table6[[#This Row],[Work Start TimeStamp]])*24</f>
        <v>9.9999999999999645E-2</v>
      </c>
      <c r="T132" s="261">
        <f>(Table6[[#This Row],[Fault Clearance time]]-Table6[[#This Row],[Fault Start TimeStamp]])*24</f>
        <v>9.9999999999999645E-2</v>
      </c>
      <c r="U132" s="35" t="s">
        <v>277</v>
      </c>
      <c r="V132" s="102" t="s">
        <v>268</v>
      </c>
      <c r="W132" s="267">
        <f>IFERROR(Table6[[#This Row],[Breakdown Time]]*Table6[[#This Row],[Plant Equivalent Weightage]],"")</f>
        <v>3.8461538461538312E-3</v>
      </c>
      <c r="X132" s="262" t="s">
        <v>269</v>
      </c>
      <c r="Y132" s="263" t="s">
        <v>128</v>
      </c>
      <c r="Z132" s="102">
        <v>36725</v>
      </c>
      <c r="AA132" s="257">
        <f>(Table6[[#This Row],[Paired WTG Generation for loss calculation]]/24)*Table6[[#This Row],[Breakdown Time]]</f>
        <v>153.02083333333277</v>
      </c>
      <c r="AB132" s="102"/>
      <c r="AC132" s="35"/>
      <c r="AD132" s="35"/>
    </row>
    <row r="133" spans="1:30">
      <c r="A133" s="102">
        <f t="shared" si="2"/>
        <v>132</v>
      </c>
      <c r="B133" s="257">
        <f>YEAR(Table6[[#This Row],[Date]])+IF(MONTH(Table6[[#This Row],[Date]])&gt;=4,1,0)</f>
        <v>2026</v>
      </c>
      <c r="C133" s="102">
        <f>YEAR(Table6[[#This Row],[Date]])</f>
        <v>2025</v>
      </c>
      <c r="D133" s="102" t="s">
        <v>265</v>
      </c>
      <c r="E133" s="258">
        <f>Table6[[#This Row],[Date]]-DAY(Table6[[#This Row],[Date]])+1</f>
        <v>45748</v>
      </c>
      <c r="F133" s="259">
        <v>45757</v>
      </c>
      <c r="G133" s="35" t="s">
        <v>127</v>
      </c>
      <c r="H133" s="35" t="str">
        <f>IFERROR(_xlfn.XLOOKUP(Table6[[#This Row],[Affected WTG]],'Basic Data'!$A:$A,'Basic Data'!$B:$B),"")</f>
        <v>TQGXIIPL</v>
      </c>
      <c r="I133" s="35" t="str">
        <f>IFERROR(_xlfn.XLOOKUP(Table6[[#This Row],[Affected WTG]],'Basic Data'!$A:$A,'Basic Data'!$C:$C),"")</f>
        <v>GEDA</v>
      </c>
      <c r="J133" s="260">
        <f>IFERROR(_xlfn.XLOOKUP(Table6[[#This Row],[Affected WTG]],'Basic Data'!$A:$A,'Basic Data'!$E:$E),"")</f>
        <v>3.846153846153845E-2</v>
      </c>
      <c r="K133" s="102">
        <v>6130</v>
      </c>
      <c r="L133" s="35" t="str">
        <f>IFERROR(_xlfn.XLOOKUP(Table6[[#This Row],[Error Code]],'Basic Data'!$AA:$AA,'Basic Data'!$AB:$AB),"Incorrect Error Code")</f>
        <v>Yaw speed high</v>
      </c>
      <c r="M133" s="35" t="s">
        <v>266</v>
      </c>
      <c r="N133" s="264"/>
      <c r="O133" s="265">
        <v>0.65972222222222221</v>
      </c>
      <c r="P133" s="265">
        <v>0.65972222222222221</v>
      </c>
      <c r="Q133" s="266">
        <v>0.67500000000000004</v>
      </c>
      <c r="R133" s="261">
        <f>IF(Table6[[#This Row],[Work Start TimeStamp]]="","",(Table6[[#This Row],[Work Start TimeStamp]]-Table6[[#This Row],[Fault Start TimeStamp]])*24)</f>
        <v>0</v>
      </c>
      <c r="S133" s="261">
        <f>(Table6[[#This Row],[Fault Clearance time]]-Table6[[#This Row],[Work Start TimeStamp]])*24</f>
        <v>0.36666666666666803</v>
      </c>
      <c r="T133" s="261">
        <f>(Table6[[#This Row],[Fault Clearance time]]-Table6[[#This Row],[Fault Start TimeStamp]])*24</f>
        <v>0.36666666666666803</v>
      </c>
      <c r="U133" s="35" t="s">
        <v>310</v>
      </c>
      <c r="V133" s="102" t="s">
        <v>268</v>
      </c>
      <c r="W133" s="267">
        <f>IFERROR(Table6[[#This Row],[Breakdown Time]]*Table6[[#This Row],[Plant Equivalent Weightage]],"")</f>
        <v>1.4102564102564151E-2</v>
      </c>
      <c r="X133" s="262" t="s">
        <v>269</v>
      </c>
      <c r="Y133" s="263" t="s">
        <v>128</v>
      </c>
      <c r="Z133" s="102">
        <v>36725</v>
      </c>
      <c r="AA133" s="257">
        <f>(Table6[[#This Row],[Paired WTG Generation for loss calculation]]/24)*Table6[[#This Row],[Breakdown Time]]</f>
        <v>561.07638888889096</v>
      </c>
      <c r="AB133" s="102"/>
      <c r="AC133" s="35"/>
      <c r="AD133" s="35"/>
    </row>
    <row r="134" spans="1:30">
      <c r="A134" s="102">
        <f t="shared" si="2"/>
        <v>133</v>
      </c>
      <c r="B134" s="257">
        <f>YEAR(Table6[[#This Row],[Date]])+IF(MONTH(Table6[[#This Row],[Date]])&gt;=4,1,0)</f>
        <v>2026</v>
      </c>
      <c r="C134" s="102">
        <f>YEAR(Table6[[#This Row],[Date]])</f>
        <v>2025</v>
      </c>
      <c r="D134" s="102" t="s">
        <v>265</v>
      </c>
      <c r="E134" s="258">
        <f>Table6[[#This Row],[Date]]-DAY(Table6[[#This Row],[Date]])+1</f>
        <v>45748</v>
      </c>
      <c r="F134" s="259">
        <v>45757</v>
      </c>
      <c r="G134" s="35" t="s">
        <v>129</v>
      </c>
      <c r="H134" s="35" t="str">
        <f>IFERROR(_xlfn.XLOOKUP(Table6[[#This Row],[Affected WTG]],'Basic Data'!$A:$A,'Basic Data'!$B:$B),"")</f>
        <v>TQGXIIPL</v>
      </c>
      <c r="I134" s="35" t="str">
        <f>IFERROR(_xlfn.XLOOKUP(Table6[[#This Row],[Affected WTG]],'Basic Data'!$A:$A,'Basic Data'!$C:$C),"")</f>
        <v>GEDA</v>
      </c>
      <c r="J134" s="260">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266</v>
      </c>
      <c r="N134" s="264"/>
      <c r="O134" s="265">
        <v>0.71111111111111114</v>
      </c>
      <c r="P134" s="265">
        <v>0.71111111111111114</v>
      </c>
      <c r="Q134" s="266">
        <v>0.71944444444444444</v>
      </c>
      <c r="R134" s="261">
        <f>IF(Table6[[#This Row],[Work Start TimeStamp]]="","",(Table6[[#This Row],[Work Start TimeStamp]]-Table6[[#This Row],[Fault Start TimeStamp]])*24)</f>
        <v>0</v>
      </c>
      <c r="S134" s="261">
        <f>(Table6[[#This Row],[Fault Clearance time]]-Table6[[#This Row],[Work Start TimeStamp]])*24</f>
        <v>0.19999999999999929</v>
      </c>
      <c r="T134" s="261">
        <f>(Table6[[#This Row],[Fault Clearance time]]-Table6[[#This Row],[Fault Start TimeStamp]])*24</f>
        <v>0.19999999999999929</v>
      </c>
      <c r="U134" s="35" t="s">
        <v>267</v>
      </c>
      <c r="V134" s="102" t="s">
        <v>268</v>
      </c>
      <c r="W134" s="267">
        <f>IFERROR(Table6[[#This Row],[Breakdown Time]]*Table6[[#This Row],[Plant Equivalent Weightage]],"")</f>
        <v>7.6923076923076624E-3</v>
      </c>
      <c r="X134" s="262" t="s">
        <v>269</v>
      </c>
      <c r="Y134" s="263" t="s">
        <v>124</v>
      </c>
      <c r="Z134" s="102">
        <v>35686</v>
      </c>
      <c r="AA134" s="257">
        <f>(Table6[[#This Row],[Paired WTG Generation for loss calculation]]/24)*Table6[[#This Row],[Breakdown Time]]</f>
        <v>297.3833333333323</v>
      </c>
      <c r="AB134" s="102"/>
      <c r="AC134" s="35"/>
      <c r="AD134" s="35"/>
    </row>
    <row r="135" spans="1:30">
      <c r="A135" s="102">
        <f t="shared" si="2"/>
        <v>134</v>
      </c>
      <c r="B135" s="257">
        <f>YEAR(Table6[[#This Row],[Date]])+IF(MONTH(Table6[[#This Row],[Date]])&gt;=4,1,0)</f>
        <v>2026</v>
      </c>
      <c r="C135" s="102">
        <f>YEAR(Table6[[#This Row],[Date]])</f>
        <v>2025</v>
      </c>
      <c r="D135" s="102" t="s">
        <v>265</v>
      </c>
      <c r="E135" s="258">
        <f>Table6[[#This Row],[Date]]-DAY(Table6[[#This Row],[Date]])+1</f>
        <v>45748</v>
      </c>
      <c r="F135" s="259">
        <v>45757</v>
      </c>
      <c r="G135" s="35" t="s">
        <v>129</v>
      </c>
      <c r="H135" s="35" t="str">
        <f>IFERROR(_xlfn.XLOOKUP(Table6[[#This Row],[Affected WTG]],'Basic Data'!$A:$A,'Basic Data'!$B:$B),"")</f>
        <v>TQGXIIPL</v>
      </c>
      <c r="I135" s="35" t="str">
        <f>IFERROR(_xlfn.XLOOKUP(Table6[[#This Row],[Affected WTG]],'Basic Data'!$A:$A,'Basic Data'!$C:$C),"")</f>
        <v>GEDA</v>
      </c>
      <c r="J135" s="260">
        <f>IFERROR(_xlfn.XLOOKUP(Table6[[#This Row],[Affected WTG]],'Basic Data'!$A:$A,'Basic Data'!$E:$E),"")</f>
        <v>3.846153846153845E-2</v>
      </c>
      <c r="K135" s="102">
        <v>55</v>
      </c>
      <c r="L135" s="35" t="str">
        <f>IFERROR(_xlfn.XLOOKUP(Table6[[#This Row],[Error Code]],'Basic Data'!$AA:$AA,'Basic Data'!$AB:$AB),"Incorrect Error Code")</f>
        <v>WTG shut down</v>
      </c>
      <c r="M135" s="35" t="s">
        <v>300</v>
      </c>
      <c r="N135" s="264"/>
      <c r="O135" s="265">
        <v>0.73333333333333328</v>
      </c>
      <c r="P135" s="265">
        <v>0.73333333333333328</v>
      </c>
      <c r="Q135" s="266">
        <v>0.78888888888888886</v>
      </c>
      <c r="R135" s="261">
        <f>IF(Table6[[#This Row],[Work Start TimeStamp]]="","",(Table6[[#This Row],[Work Start TimeStamp]]-Table6[[#This Row],[Fault Start TimeStamp]])*24)</f>
        <v>0</v>
      </c>
      <c r="S135" s="261">
        <f>(Table6[[#This Row],[Fault Clearance time]]-Table6[[#This Row],[Work Start TimeStamp]])*24</f>
        <v>1.3333333333333339</v>
      </c>
      <c r="T135" s="261">
        <f>(Table6[[#This Row],[Fault Clearance time]]-Table6[[#This Row],[Fault Start TimeStamp]])*24</f>
        <v>1.3333333333333339</v>
      </c>
      <c r="U135" s="35" t="s">
        <v>301</v>
      </c>
      <c r="V135" s="102" t="s">
        <v>268</v>
      </c>
      <c r="W135" s="267">
        <f>IFERROR(Table6[[#This Row],[Breakdown Time]]*Table6[[#This Row],[Plant Equivalent Weightage]],"")</f>
        <v>5.1282051282051287E-2</v>
      </c>
      <c r="X135" s="262" t="s">
        <v>296</v>
      </c>
      <c r="Y135" s="263" t="s">
        <v>124</v>
      </c>
      <c r="Z135" s="102">
        <v>35686</v>
      </c>
      <c r="AA135" s="257">
        <f>(Table6[[#This Row],[Paired WTG Generation for loss calculation]]/24)*Table6[[#This Row],[Breakdown Time]]</f>
        <v>1982.5555555555566</v>
      </c>
      <c r="AB135" s="102"/>
      <c r="AC135" s="35"/>
      <c r="AD135" s="35"/>
    </row>
    <row r="136" spans="1:30">
      <c r="A136" s="102">
        <f t="shared" si="2"/>
        <v>135</v>
      </c>
      <c r="B136" s="257">
        <f>YEAR(Table6[[#This Row],[Date]])+IF(MONTH(Table6[[#This Row],[Date]])&gt;=4,1,0)</f>
        <v>2026</v>
      </c>
      <c r="C136" s="102">
        <f>YEAR(Table6[[#This Row],[Date]])</f>
        <v>2025</v>
      </c>
      <c r="D136" s="102" t="s">
        <v>265</v>
      </c>
      <c r="E136" s="258">
        <f>Table6[[#This Row],[Date]]-DAY(Table6[[#This Row],[Date]])+1</f>
        <v>45748</v>
      </c>
      <c r="F136" s="259">
        <v>45757</v>
      </c>
      <c r="G136" s="35" t="s">
        <v>130</v>
      </c>
      <c r="H136" s="35" t="str">
        <f>IFERROR(_xlfn.XLOOKUP(Table6[[#This Row],[Affected WTG]],'Basic Data'!$A:$A,'Basic Data'!$B:$B),"")</f>
        <v>TQGXIIPL</v>
      </c>
      <c r="I136" s="35" t="str">
        <f>IFERROR(_xlfn.XLOOKUP(Table6[[#This Row],[Affected WTG]],'Basic Data'!$A:$A,'Basic Data'!$C:$C),"")</f>
        <v>GEDA</v>
      </c>
      <c r="J136" s="260">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266</v>
      </c>
      <c r="N136" s="264"/>
      <c r="O136" s="265">
        <v>0.67013888888888884</v>
      </c>
      <c r="P136" s="265">
        <v>0.67013888888888884</v>
      </c>
      <c r="Q136" s="266">
        <v>0.67638888888888893</v>
      </c>
      <c r="R136" s="261">
        <f>IF(Table6[[#This Row],[Work Start TimeStamp]]="","",(Table6[[#This Row],[Work Start TimeStamp]]-Table6[[#This Row],[Fault Start TimeStamp]])*24)</f>
        <v>0</v>
      </c>
      <c r="S136" s="261">
        <f>(Table6[[#This Row],[Fault Clearance time]]-Table6[[#This Row],[Work Start TimeStamp]])*24</f>
        <v>0.15000000000000213</v>
      </c>
      <c r="T136" s="261">
        <f>(Table6[[#This Row],[Fault Clearance time]]-Table6[[#This Row],[Fault Start TimeStamp]])*24</f>
        <v>0.15000000000000213</v>
      </c>
      <c r="U136" s="35" t="s">
        <v>267</v>
      </c>
      <c r="V136" s="102" t="s">
        <v>268</v>
      </c>
      <c r="W136" s="267">
        <f>IFERROR(Table6[[#This Row],[Breakdown Time]]*Table6[[#This Row],[Plant Equivalent Weightage]],"")</f>
        <v>5.7692307692308493E-3</v>
      </c>
      <c r="X136" s="262" t="s">
        <v>269</v>
      </c>
      <c r="Y136" s="263" t="s">
        <v>134</v>
      </c>
      <c r="Z136" s="102">
        <v>40773</v>
      </c>
      <c r="AA136" s="257">
        <f>(Table6[[#This Row],[Paired WTG Generation for loss calculation]]/24)*Table6[[#This Row],[Breakdown Time]]</f>
        <v>254.83125000000362</v>
      </c>
      <c r="AB136" s="102"/>
      <c r="AC136" s="35"/>
      <c r="AD136" s="35"/>
    </row>
    <row r="137" spans="1:30">
      <c r="A137" s="102">
        <f t="shared" si="2"/>
        <v>136</v>
      </c>
      <c r="B137" s="257">
        <f>YEAR(Table6[[#This Row],[Date]])+IF(MONTH(Table6[[#This Row],[Date]])&gt;=4,1,0)</f>
        <v>2026</v>
      </c>
      <c r="C137" s="102">
        <f>YEAR(Table6[[#This Row],[Date]])</f>
        <v>2025</v>
      </c>
      <c r="D137" s="102" t="s">
        <v>265</v>
      </c>
      <c r="E137" s="258">
        <f>Table6[[#This Row],[Date]]-DAY(Table6[[#This Row],[Date]])+1</f>
        <v>45748</v>
      </c>
      <c r="F137" s="259">
        <v>45757</v>
      </c>
      <c r="G137" s="35" t="s">
        <v>130</v>
      </c>
      <c r="H137" s="35" t="str">
        <f>IFERROR(_xlfn.XLOOKUP(Table6[[#This Row],[Affected WTG]],'Basic Data'!$A:$A,'Basic Data'!$B:$B),"")</f>
        <v>TQGXIIPL</v>
      </c>
      <c r="I137" s="35" t="str">
        <f>IFERROR(_xlfn.XLOOKUP(Table6[[#This Row],[Affected WTG]],'Basic Data'!$A:$A,'Basic Data'!$C:$C),"")</f>
        <v>GEDA</v>
      </c>
      <c r="J137" s="260">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266</v>
      </c>
      <c r="N137" s="264"/>
      <c r="O137" s="265">
        <v>0.6958333333333333</v>
      </c>
      <c r="P137" s="265">
        <v>0.6958333333333333</v>
      </c>
      <c r="Q137" s="266">
        <v>0.70902777777777781</v>
      </c>
      <c r="R137" s="261">
        <f>IF(Table6[[#This Row],[Work Start TimeStamp]]="","",(Table6[[#This Row],[Work Start TimeStamp]]-Table6[[#This Row],[Fault Start TimeStamp]])*24)</f>
        <v>0</v>
      </c>
      <c r="S137" s="261">
        <f>(Table6[[#This Row],[Fault Clearance time]]-Table6[[#This Row],[Work Start TimeStamp]])*24</f>
        <v>0.31666666666666821</v>
      </c>
      <c r="T137" s="261">
        <f>(Table6[[#This Row],[Fault Clearance time]]-Table6[[#This Row],[Fault Start TimeStamp]])*24</f>
        <v>0.31666666666666821</v>
      </c>
      <c r="U137" s="35" t="s">
        <v>313</v>
      </c>
      <c r="V137" s="102" t="s">
        <v>268</v>
      </c>
      <c r="W137" s="267">
        <f>IFERROR(Table6[[#This Row],[Breakdown Time]]*Table6[[#This Row],[Plant Equivalent Weightage]],"")</f>
        <v>1.2179487179487235E-2</v>
      </c>
      <c r="X137" s="262" t="s">
        <v>269</v>
      </c>
      <c r="Y137" s="263" t="s">
        <v>134</v>
      </c>
      <c r="Z137" s="102">
        <v>40773</v>
      </c>
      <c r="AA137" s="257">
        <f>(Table6[[#This Row],[Paired WTG Generation for loss calculation]]/24)*Table6[[#This Row],[Breakdown Time]]</f>
        <v>537.97708333333594</v>
      </c>
      <c r="AB137" s="102"/>
      <c r="AC137" s="35"/>
      <c r="AD137" s="35"/>
    </row>
    <row r="138" spans="1:30">
      <c r="A138" s="102">
        <f t="shared" si="2"/>
        <v>137</v>
      </c>
      <c r="B138" s="257">
        <f>YEAR(Table6[[#This Row],[Date]])+IF(MONTH(Table6[[#This Row],[Date]])&gt;=4,1,0)</f>
        <v>2026</v>
      </c>
      <c r="C138" s="102">
        <f>YEAR(Table6[[#This Row],[Date]])</f>
        <v>2025</v>
      </c>
      <c r="D138" s="102" t="s">
        <v>265</v>
      </c>
      <c r="E138" s="258">
        <f>Table6[[#This Row],[Date]]-DAY(Table6[[#This Row],[Date]])+1</f>
        <v>45748</v>
      </c>
      <c r="F138" s="259">
        <v>45757</v>
      </c>
      <c r="G138" s="35" t="s">
        <v>130</v>
      </c>
      <c r="H138" s="35" t="str">
        <f>IFERROR(_xlfn.XLOOKUP(Table6[[#This Row],[Affected WTG]],'Basic Data'!$A:$A,'Basic Data'!$B:$B),"")</f>
        <v>TQGXIIPL</v>
      </c>
      <c r="I138" s="35" t="str">
        <f>IFERROR(_xlfn.XLOOKUP(Table6[[#This Row],[Affected WTG]],'Basic Data'!$A:$A,'Basic Data'!$C:$C),"")</f>
        <v>GEDA</v>
      </c>
      <c r="J138" s="260">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266</v>
      </c>
      <c r="N138" s="264"/>
      <c r="O138" s="265">
        <v>0.73402777777777772</v>
      </c>
      <c r="P138" s="265">
        <v>0.73402777777777772</v>
      </c>
      <c r="Q138" s="266">
        <v>0.74027777777777781</v>
      </c>
      <c r="R138" s="261">
        <f>IF(Table6[[#This Row],[Work Start TimeStamp]]="","",(Table6[[#This Row],[Work Start TimeStamp]]-Table6[[#This Row],[Fault Start TimeStamp]])*24)</f>
        <v>0</v>
      </c>
      <c r="S138" s="261">
        <f>(Table6[[#This Row],[Fault Clearance time]]-Table6[[#This Row],[Work Start TimeStamp]])*24</f>
        <v>0.15000000000000213</v>
      </c>
      <c r="T138" s="261">
        <f>(Table6[[#This Row],[Fault Clearance time]]-Table6[[#This Row],[Fault Start TimeStamp]])*24</f>
        <v>0.15000000000000213</v>
      </c>
      <c r="U138" s="35" t="s">
        <v>313</v>
      </c>
      <c r="V138" s="102" t="s">
        <v>268</v>
      </c>
      <c r="W138" s="267">
        <f>IFERROR(Table6[[#This Row],[Breakdown Time]]*Table6[[#This Row],[Plant Equivalent Weightage]],"")</f>
        <v>5.7692307692308493E-3</v>
      </c>
      <c r="X138" s="262" t="s">
        <v>269</v>
      </c>
      <c r="Y138" s="263" t="s">
        <v>134</v>
      </c>
      <c r="Z138" s="102">
        <v>40773</v>
      </c>
      <c r="AA138" s="257">
        <f>(Table6[[#This Row],[Paired WTG Generation for loss calculation]]/24)*Table6[[#This Row],[Breakdown Time]]</f>
        <v>254.83125000000362</v>
      </c>
      <c r="AB138" s="102"/>
      <c r="AC138" s="35"/>
      <c r="AD138" s="35"/>
    </row>
    <row r="139" spans="1:30">
      <c r="A139" s="102">
        <f t="shared" si="2"/>
        <v>138</v>
      </c>
      <c r="B139" s="257">
        <f>YEAR(Table6[[#This Row],[Date]])+IF(MONTH(Table6[[#This Row],[Date]])&gt;=4,1,0)</f>
        <v>2026</v>
      </c>
      <c r="C139" s="102">
        <f>YEAR(Table6[[#This Row],[Date]])</f>
        <v>2025</v>
      </c>
      <c r="D139" s="102" t="s">
        <v>265</v>
      </c>
      <c r="E139" s="258">
        <f>Table6[[#This Row],[Date]]-DAY(Table6[[#This Row],[Date]])+1</f>
        <v>45748</v>
      </c>
      <c r="F139" s="259">
        <v>45757</v>
      </c>
      <c r="G139" s="35" t="s">
        <v>130</v>
      </c>
      <c r="H139" s="35" t="str">
        <f>IFERROR(_xlfn.XLOOKUP(Table6[[#This Row],[Affected WTG]],'Basic Data'!$A:$A,'Basic Data'!$B:$B),"")</f>
        <v>TQGXIIPL</v>
      </c>
      <c r="I139" s="35" t="str">
        <f>IFERROR(_xlfn.XLOOKUP(Table6[[#This Row],[Affected WTG]],'Basic Data'!$A:$A,'Basic Data'!$C:$C),"")</f>
        <v>GEDA</v>
      </c>
      <c r="J139" s="260">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266</v>
      </c>
      <c r="N139" s="264"/>
      <c r="O139" s="265">
        <v>0.75972222222222219</v>
      </c>
      <c r="P139" s="265">
        <v>0.75972222222222219</v>
      </c>
      <c r="Q139" s="266">
        <v>0.77430555555555558</v>
      </c>
      <c r="R139" s="261">
        <f>IF(Table6[[#This Row],[Work Start TimeStamp]]="","",(Table6[[#This Row],[Work Start TimeStamp]]-Table6[[#This Row],[Fault Start TimeStamp]])*24)</f>
        <v>0</v>
      </c>
      <c r="S139" s="261">
        <f>(Table6[[#This Row],[Fault Clearance time]]-Table6[[#This Row],[Work Start TimeStamp]])*24</f>
        <v>0.35000000000000142</v>
      </c>
      <c r="T139" s="261">
        <f>(Table6[[#This Row],[Fault Clearance time]]-Table6[[#This Row],[Fault Start TimeStamp]])*24</f>
        <v>0.35000000000000142</v>
      </c>
      <c r="U139" s="35" t="s">
        <v>313</v>
      </c>
      <c r="V139" s="102" t="s">
        <v>268</v>
      </c>
      <c r="W139" s="267">
        <f>IFERROR(Table6[[#This Row],[Breakdown Time]]*Table6[[#This Row],[Plant Equivalent Weightage]],"")</f>
        <v>1.3461538461538513E-2</v>
      </c>
      <c r="X139" s="262" t="s">
        <v>269</v>
      </c>
      <c r="Y139" s="263" t="s">
        <v>134</v>
      </c>
      <c r="Z139" s="102">
        <v>40773</v>
      </c>
      <c r="AA139" s="257">
        <f>(Table6[[#This Row],[Paired WTG Generation for loss calculation]]/24)*Table6[[#This Row],[Breakdown Time]]</f>
        <v>594.60625000000243</v>
      </c>
      <c r="AB139" s="102"/>
      <c r="AC139" s="35"/>
      <c r="AD139" s="35"/>
    </row>
    <row r="140" spans="1:30">
      <c r="A140" s="102">
        <f t="shared" si="2"/>
        <v>139</v>
      </c>
      <c r="B140" s="257">
        <f>YEAR(Table6[[#This Row],[Date]])+IF(MONTH(Table6[[#This Row],[Date]])&gt;=4,1,0)</f>
        <v>2026</v>
      </c>
      <c r="C140" s="102">
        <f>YEAR(Table6[[#This Row],[Date]])</f>
        <v>2025</v>
      </c>
      <c r="D140" s="102" t="s">
        <v>265</v>
      </c>
      <c r="E140" s="258">
        <f>Table6[[#This Row],[Date]]-DAY(Table6[[#This Row],[Date]])+1</f>
        <v>45748</v>
      </c>
      <c r="F140" s="259">
        <v>45757</v>
      </c>
      <c r="G140" s="35" t="s">
        <v>132</v>
      </c>
      <c r="H140" s="35" t="str">
        <f>IFERROR(_xlfn.XLOOKUP(Table6[[#This Row],[Affected WTG]],'Basic Data'!$A:$A,'Basic Data'!$B:$B),"")</f>
        <v>TQGXIIPL</v>
      </c>
      <c r="I140" s="35" t="str">
        <f>IFERROR(_xlfn.XLOOKUP(Table6[[#This Row],[Affected WTG]],'Basic Data'!$A:$A,'Basic Data'!$C:$C),"")</f>
        <v>GEDA</v>
      </c>
      <c r="J140" s="260">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266</v>
      </c>
      <c r="N140" s="264"/>
      <c r="O140" s="265">
        <v>0.37777777777777777</v>
      </c>
      <c r="P140" s="265">
        <v>0.37777777777777777</v>
      </c>
      <c r="Q140" s="266">
        <v>0.38124999999999998</v>
      </c>
      <c r="R140" s="261">
        <f>IF(Table6[[#This Row],[Work Start TimeStamp]]="","",(Table6[[#This Row],[Work Start TimeStamp]]-Table6[[#This Row],[Fault Start TimeStamp]])*24)</f>
        <v>0</v>
      </c>
      <c r="S140" s="261">
        <f>(Table6[[#This Row],[Fault Clearance time]]-Table6[[#This Row],[Work Start TimeStamp]])*24</f>
        <v>8.3333333333333037E-2</v>
      </c>
      <c r="T140" s="261">
        <f>(Table6[[#This Row],[Fault Clearance time]]-Table6[[#This Row],[Fault Start TimeStamp]])*24</f>
        <v>8.3333333333333037E-2</v>
      </c>
      <c r="U140" s="35" t="s">
        <v>267</v>
      </c>
      <c r="V140" s="102" t="s">
        <v>268</v>
      </c>
      <c r="W140" s="267">
        <f>IFERROR(Table6[[#This Row],[Breakdown Time]]*Table6[[#This Row],[Plant Equivalent Weightage]],"")</f>
        <v>3.2051282051281929E-3</v>
      </c>
      <c r="X140" s="262" t="s">
        <v>269</v>
      </c>
      <c r="Y140" s="263" t="s">
        <v>120</v>
      </c>
      <c r="Z140" s="102">
        <v>37890</v>
      </c>
      <c r="AA140" s="257">
        <f>(Table6[[#This Row],[Paired WTG Generation for loss calculation]]/24)*Table6[[#This Row],[Breakdown Time]]</f>
        <v>131.56249999999955</v>
      </c>
      <c r="AB140" s="102"/>
      <c r="AC140" s="35"/>
      <c r="AD140" s="35"/>
    </row>
    <row r="141" spans="1:30">
      <c r="A141" s="102">
        <f t="shared" si="2"/>
        <v>140</v>
      </c>
      <c r="B141" s="257">
        <f>YEAR(Table6[[#This Row],[Date]])+IF(MONTH(Table6[[#This Row],[Date]])&gt;=4,1,0)</f>
        <v>2026</v>
      </c>
      <c r="C141" s="102">
        <f>YEAR(Table6[[#This Row],[Date]])</f>
        <v>2025</v>
      </c>
      <c r="D141" s="102" t="s">
        <v>265</v>
      </c>
      <c r="E141" s="258">
        <f>Table6[[#This Row],[Date]]-DAY(Table6[[#This Row],[Date]])+1</f>
        <v>45748</v>
      </c>
      <c r="F141" s="259">
        <v>45757</v>
      </c>
      <c r="G141" s="35" t="s">
        <v>132</v>
      </c>
      <c r="H141" s="35" t="str">
        <f>IFERROR(_xlfn.XLOOKUP(Table6[[#This Row],[Affected WTG]],'Basic Data'!$A:$A,'Basic Data'!$B:$B),"")</f>
        <v>TQGXIIPL</v>
      </c>
      <c r="I141" s="35" t="str">
        <f>IFERROR(_xlfn.XLOOKUP(Table6[[#This Row],[Affected WTG]],'Basic Data'!$A:$A,'Basic Data'!$C:$C),"")</f>
        <v>GEDA</v>
      </c>
      <c r="J141" s="260">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266</v>
      </c>
      <c r="N141" s="264"/>
      <c r="O141" s="265">
        <v>0.75972222222222219</v>
      </c>
      <c r="P141" s="265">
        <v>0.75972222222222219</v>
      </c>
      <c r="Q141" s="266">
        <v>0.77361111111111114</v>
      </c>
      <c r="R141" s="261">
        <f>IF(Table6[[#This Row],[Work Start TimeStamp]]="","",(Table6[[#This Row],[Work Start TimeStamp]]-Table6[[#This Row],[Fault Start TimeStamp]])*24)</f>
        <v>0</v>
      </c>
      <c r="S141" s="261">
        <f>(Table6[[#This Row],[Fault Clearance time]]-Table6[[#This Row],[Work Start TimeStamp]])*24</f>
        <v>0.33333333333333481</v>
      </c>
      <c r="T141" s="261">
        <f>(Table6[[#This Row],[Fault Clearance time]]-Table6[[#This Row],[Fault Start TimeStamp]])*24</f>
        <v>0.33333333333333481</v>
      </c>
      <c r="U141" s="35" t="s">
        <v>310</v>
      </c>
      <c r="V141" s="102" t="s">
        <v>268</v>
      </c>
      <c r="W141" s="267">
        <f>IFERROR(Table6[[#This Row],[Breakdown Time]]*Table6[[#This Row],[Plant Equivalent Weightage]],"")</f>
        <v>1.2820512820512874E-2</v>
      </c>
      <c r="X141" s="262" t="s">
        <v>269</v>
      </c>
      <c r="Y141" s="263" t="s">
        <v>120</v>
      </c>
      <c r="Z141" s="102">
        <v>37890</v>
      </c>
      <c r="AA141" s="257">
        <f>(Table6[[#This Row],[Paired WTG Generation for loss calculation]]/24)*Table6[[#This Row],[Breakdown Time]]</f>
        <v>526.25000000000239</v>
      </c>
      <c r="AB141" s="102"/>
      <c r="AC141" s="35"/>
      <c r="AD141" s="35"/>
    </row>
    <row r="142" spans="1:30">
      <c r="A142" s="102">
        <f t="shared" ref="A142:A205" si="3">A141+1</f>
        <v>141</v>
      </c>
      <c r="B142" s="257">
        <f>YEAR(Table6[[#This Row],[Date]])+IF(MONTH(Table6[[#This Row],[Date]])&gt;=4,1,0)</f>
        <v>2026</v>
      </c>
      <c r="C142" s="102">
        <f>YEAR(Table6[[#This Row],[Date]])</f>
        <v>2025</v>
      </c>
      <c r="D142" s="102" t="s">
        <v>265</v>
      </c>
      <c r="E142" s="258">
        <f>Table6[[#This Row],[Date]]-DAY(Table6[[#This Row],[Date]])+1</f>
        <v>45748</v>
      </c>
      <c r="F142" s="259">
        <v>45757</v>
      </c>
      <c r="G142" s="35" t="s">
        <v>132</v>
      </c>
      <c r="H142" s="35" t="str">
        <f>IFERROR(_xlfn.XLOOKUP(Table6[[#This Row],[Affected WTG]],'Basic Data'!$A:$A,'Basic Data'!$B:$B),"")</f>
        <v>TQGXIIPL</v>
      </c>
      <c r="I142" s="35" t="str">
        <f>IFERROR(_xlfn.XLOOKUP(Table6[[#This Row],[Affected WTG]],'Basic Data'!$A:$A,'Basic Data'!$C:$C),"")</f>
        <v>GEDA</v>
      </c>
      <c r="J142" s="260">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266</v>
      </c>
      <c r="N142" s="264"/>
      <c r="O142" s="265">
        <v>0.77986111111111112</v>
      </c>
      <c r="P142" s="265">
        <v>0.77986111111111112</v>
      </c>
      <c r="Q142" s="266">
        <v>0.81874999999999998</v>
      </c>
      <c r="R142" s="261">
        <f>IF(Table6[[#This Row],[Work Start TimeStamp]]="","",(Table6[[#This Row],[Work Start TimeStamp]]-Table6[[#This Row],[Fault Start TimeStamp]])*24)</f>
        <v>0</v>
      </c>
      <c r="S142" s="261">
        <f>(Table6[[#This Row],[Fault Clearance time]]-Table6[[#This Row],[Work Start TimeStamp]])*24</f>
        <v>0.93333333333333268</v>
      </c>
      <c r="T142" s="261">
        <f>(Table6[[#This Row],[Fault Clearance time]]-Table6[[#This Row],[Fault Start TimeStamp]])*24</f>
        <v>0.93333333333333268</v>
      </c>
      <c r="U142" s="35" t="s">
        <v>310</v>
      </c>
      <c r="V142" s="102" t="s">
        <v>268</v>
      </c>
      <c r="W142" s="267">
        <f>IFERROR(Table6[[#This Row],[Breakdown Time]]*Table6[[#This Row],[Plant Equivalent Weightage]],"")</f>
        <v>3.589743589743586E-2</v>
      </c>
      <c r="X142" s="262" t="s">
        <v>269</v>
      </c>
      <c r="Y142" s="263" t="s">
        <v>120</v>
      </c>
      <c r="Z142" s="102">
        <v>37890</v>
      </c>
      <c r="AA142" s="257">
        <f>(Table6[[#This Row],[Paired WTG Generation for loss calculation]]/24)*Table6[[#This Row],[Breakdown Time]]</f>
        <v>1473.4999999999989</v>
      </c>
      <c r="AB142" s="102"/>
      <c r="AC142" s="35"/>
      <c r="AD142" s="35"/>
    </row>
    <row r="143" spans="1:30">
      <c r="A143" s="102">
        <f t="shared" si="3"/>
        <v>142</v>
      </c>
      <c r="B143" s="257">
        <f>YEAR(Table6[[#This Row],[Date]])+IF(MONTH(Table6[[#This Row],[Date]])&gt;=4,1,0)</f>
        <v>2026</v>
      </c>
      <c r="C143" s="102">
        <f>YEAR(Table6[[#This Row],[Date]])</f>
        <v>2025</v>
      </c>
      <c r="D143" s="102" t="s">
        <v>265</v>
      </c>
      <c r="E143" s="258">
        <f>Table6[[#This Row],[Date]]-DAY(Table6[[#This Row],[Date]])+1</f>
        <v>45748</v>
      </c>
      <c r="F143" s="259">
        <v>45757</v>
      </c>
      <c r="G143" s="35" t="s">
        <v>133</v>
      </c>
      <c r="H143" s="35" t="str">
        <f>IFERROR(_xlfn.XLOOKUP(Table6[[#This Row],[Affected WTG]],'Basic Data'!$A:$A,'Basic Data'!$B:$B),"")</f>
        <v>TQGXIIPL</v>
      </c>
      <c r="I143" s="35" t="str">
        <f>IFERROR(_xlfn.XLOOKUP(Table6[[#This Row],[Affected WTG]],'Basic Data'!$A:$A,'Basic Data'!$C:$C),"")</f>
        <v>GEDA</v>
      </c>
      <c r="J143" s="260">
        <f>IFERROR(_xlfn.XLOOKUP(Table6[[#This Row],[Affected WTG]],'Basic Data'!$A:$A,'Basic Data'!$E:$E),"")</f>
        <v>3.846153846153845E-2</v>
      </c>
      <c r="K143" s="102">
        <v>1700</v>
      </c>
      <c r="L143" s="35" t="str">
        <f>IFERROR(_xlfn.XLOOKUP(Table6[[#This Row],[Error Code]],'Basic Data'!$AA:$AA,'Basic Data'!$AB:$AB),"Incorrect Error Code")</f>
        <v>High temp. gear bearing 1</v>
      </c>
      <c r="M143" s="35" t="s">
        <v>266</v>
      </c>
      <c r="N143" s="264"/>
      <c r="O143" s="265">
        <v>0.67083333333333328</v>
      </c>
      <c r="P143" s="265">
        <v>0.67083333333333328</v>
      </c>
      <c r="Q143" s="266">
        <v>0.67708333333333337</v>
      </c>
      <c r="R143" s="261">
        <f>IF(Table6[[#This Row],[Work Start TimeStamp]]="","",(Table6[[#This Row],[Work Start TimeStamp]]-Table6[[#This Row],[Fault Start TimeStamp]])*24)</f>
        <v>0</v>
      </c>
      <c r="S143" s="261">
        <f>(Table6[[#This Row],[Fault Clearance time]]-Table6[[#This Row],[Work Start TimeStamp]])*24</f>
        <v>0.15000000000000213</v>
      </c>
      <c r="T143" s="261">
        <f>(Table6[[#This Row],[Fault Clearance time]]-Table6[[#This Row],[Fault Start TimeStamp]])*24</f>
        <v>0.15000000000000213</v>
      </c>
      <c r="U143" s="35" t="s">
        <v>267</v>
      </c>
      <c r="V143" s="102" t="s">
        <v>268</v>
      </c>
      <c r="W143" s="267">
        <f>IFERROR(Table6[[#This Row],[Breakdown Time]]*Table6[[#This Row],[Plant Equivalent Weightage]],"")</f>
        <v>5.7692307692308493E-3</v>
      </c>
      <c r="X143" s="262" t="s">
        <v>269</v>
      </c>
      <c r="Y143" s="263" t="s">
        <v>121</v>
      </c>
      <c r="Z143" s="102">
        <v>42698</v>
      </c>
      <c r="AA143" s="257">
        <f>(Table6[[#This Row],[Paired WTG Generation for loss calculation]]/24)*Table6[[#This Row],[Breakdown Time]]</f>
        <v>266.86250000000376</v>
      </c>
      <c r="AB143" s="102"/>
      <c r="AC143" s="35"/>
      <c r="AD143" s="35"/>
    </row>
    <row r="144" spans="1:30">
      <c r="A144" s="102">
        <f t="shared" si="3"/>
        <v>143</v>
      </c>
      <c r="B144" s="257">
        <f>YEAR(Table6[[#This Row],[Date]])+IF(MONTH(Table6[[#This Row],[Date]])&gt;=4,1,0)</f>
        <v>2026</v>
      </c>
      <c r="C144" s="102">
        <f>YEAR(Table6[[#This Row],[Date]])</f>
        <v>2025</v>
      </c>
      <c r="D144" s="102" t="s">
        <v>265</v>
      </c>
      <c r="E144" s="258">
        <f>Table6[[#This Row],[Date]]-DAY(Table6[[#This Row],[Date]])+1</f>
        <v>45748</v>
      </c>
      <c r="F144" s="259">
        <v>45757</v>
      </c>
      <c r="G144" s="35" t="s">
        <v>133</v>
      </c>
      <c r="H144" s="35" t="str">
        <f>IFERROR(_xlfn.XLOOKUP(Table6[[#This Row],[Affected WTG]],'Basic Data'!$A:$A,'Basic Data'!$B:$B),"")</f>
        <v>TQGXIIPL</v>
      </c>
      <c r="I144" s="35" t="str">
        <f>IFERROR(_xlfn.XLOOKUP(Table6[[#This Row],[Affected WTG]],'Basic Data'!$A:$A,'Basic Data'!$C:$C),"")</f>
        <v>GEDA</v>
      </c>
      <c r="J144" s="260">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266</v>
      </c>
      <c r="N144" s="264"/>
      <c r="O144" s="265">
        <v>0.7583333333333333</v>
      </c>
      <c r="P144" s="265">
        <v>0.7583333333333333</v>
      </c>
      <c r="Q144" s="266">
        <v>0.76736111111111116</v>
      </c>
      <c r="R144" s="261">
        <f>IF(Table6[[#This Row],[Work Start TimeStamp]]="","",(Table6[[#This Row],[Work Start TimeStamp]]-Table6[[#This Row],[Fault Start TimeStamp]])*24)</f>
        <v>0</v>
      </c>
      <c r="S144" s="261">
        <f>(Table6[[#This Row],[Fault Clearance time]]-Table6[[#This Row],[Work Start TimeStamp]])*24</f>
        <v>0.21666666666666856</v>
      </c>
      <c r="T144" s="261">
        <f>(Table6[[#This Row],[Fault Clearance time]]-Table6[[#This Row],[Fault Start TimeStamp]])*24</f>
        <v>0.21666666666666856</v>
      </c>
      <c r="U144" s="35" t="s">
        <v>313</v>
      </c>
      <c r="V144" s="102" t="s">
        <v>268</v>
      </c>
      <c r="W144" s="267">
        <f>IFERROR(Table6[[#This Row],[Breakdown Time]]*Table6[[#This Row],[Plant Equivalent Weightage]],"")</f>
        <v>8.3333333333334043E-3</v>
      </c>
      <c r="X144" s="262" t="s">
        <v>269</v>
      </c>
      <c r="Y144" s="263" t="s">
        <v>121</v>
      </c>
      <c r="Z144" s="102">
        <v>42698</v>
      </c>
      <c r="AA144" s="257">
        <f>(Table6[[#This Row],[Paired WTG Generation for loss calculation]]/24)*Table6[[#This Row],[Breakdown Time]]</f>
        <v>385.46805555555892</v>
      </c>
      <c r="AB144" s="102"/>
      <c r="AC144" s="35"/>
      <c r="AD144" s="35"/>
    </row>
    <row r="145" spans="1:30">
      <c r="A145" s="102">
        <f t="shared" si="3"/>
        <v>144</v>
      </c>
      <c r="B145" s="257">
        <f>YEAR(Table6[[#This Row],[Date]])+IF(MONTH(Table6[[#This Row],[Date]])&gt;=4,1,0)</f>
        <v>2026</v>
      </c>
      <c r="C145" s="102">
        <f>YEAR(Table6[[#This Row],[Date]])</f>
        <v>2025</v>
      </c>
      <c r="D145" s="102" t="s">
        <v>265</v>
      </c>
      <c r="E145" s="258">
        <f>Table6[[#This Row],[Date]]-DAY(Table6[[#This Row],[Date]])+1</f>
        <v>45748</v>
      </c>
      <c r="F145" s="259">
        <v>45757</v>
      </c>
      <c r="G145" s="35" t="s">
        <v>133</v>
      </c>
      <c r="H145" s="35" t="str">
        <f>IFERROR(_xlfn.XLOOKUP(Table6[[#This Row],[Affected WTG]],'Basic Data'!$A:$A,'Basic Data'!$B:$B),"")</f>
        <v>TQGXIIPL</v>
      </c>
      <c r="I145" s="35" t="str">
        <f>IFERROR(_xlfn.XLOOKUP(Table6[[#This Row],[Affected WTG]],'Basic Data'!$A:$A,'Basic Data'!$C:$C),"")</f>
        <v>GEDA</v>
      </c>
      <c r="J145" s="260">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266</v>
      </c>
      <c r="N145" s="264"/>
      <c r="O145" s="265">
        <v>0.80625000000000002</v>
      </c>
      <c r="P145" s="265">
        <v>0.80625000000000002</v>
      </c>
      <c r="Q145" s="266">
        <v>0.81111111111111112</v>
      </c>
      <c r="R145" s="261">
        <f>IF(Table6[[#This Row],[Work Start TimeStamp]]="","",(Table6[[#This Row],[Work Start TimeStamp]]-Table6[[#This Row],[Fault Start TimeStamp]])*24)</f>
        <v>0</v>
      </c>
      <c r="S145" s="261">
        <f>(Table6[[#This Row],[Fault Clearance time]]-Table6[[#This Row],[Work Start TimeStamp]])*24</f>
        <v>0.11666666666666625</v>
      </c>
      <c r="T145" s="261">
        <f>(Table6[[#This Row],[Fault Clearance time]]-Table6[[#This Row],[Fault Start TimeStamp]])*24</f>
        <v>0.11666666666666625</v>
      </c>
      <c r="U145" s="35" t="s">
        <v>313</v>
      </c>
      <c r="V145" s="102" t="s">
        <v>268</v>
      </c>
      <c r="W145" s="267">
        <f>IFERROR(Table6[[#This Row],[Breakdown Time]]*Table6[[#This Row],[Plant Equivalent Weightage]],"")</f>
        <v>4.4871794871794695E-3</v>
      </c>
      <c r="X145" s="262" t="s">
        <v>269</v>
      </c>
      <c r="Y145" s="263" t="s">
        <v>121</v>
      </c>
      <c r="Z145" s="102">
        <v>42698</v>
      </c>
      <c r="AA145" s="257">
        <f>(Table6[[#This Row],[Paired WTG Generation for loss calculation]]/24)*Table6[[#This Row],[Breakdown Time]]</f>
        <v>207.55972222222147</v>
      </c>
      <c r="AB145" s="102"/>
      <c r="AC145" s="35"/>
      <c r="AD145" s="35"/>
    </row>
    <row r="146" spans="1:30">
      <c r="A146" s="102">
        <f t="shared" si="3"/>
        <v>145</v>
      </c>
      <c r="B146" s="257">
        <f>YEAR(Table6[[#This Row],[Date]])+IF(MONTH(Table6[[#This Row],[Date]])&gt;=4,1,0)</f>
        <v>2026</v>
      </c>
      <c r="C146" s="102">
        <f>YEAR(Table6[[#This Row],[Date]])</f>
        <v>2025</v>
      </c>
      <c r="D146" s="102" t="s">
        <v>265</v>
      </c>
      <c r="E146" s="258">
        <f>Table6[[#This Row],[Date]]-DAY(Table6[[#This Row],[Date]])+1</f>
        <v>45748</v>
      </c>
      <c r="F146" s="259">
        <v>45757</v>
      </c>
      <c r="G146" s="35" t="s">
        <v>135</v>
      </c>
      <c r="H146" s="35" t="str">
        <f>IFERROR(_xlfn.XLOOKUP(Table6[[#This Row],[Affected WTG]],'Basic Data'!$A:$A,'Basic Data'!$B:$B),"")</f>
        <v>TQGXIIPL</v>
      </c>
      <c r="I146" s="35" t="str">
        <f>IFERROR(_xlfn.XLOOKUP(Table6[[#This Row],[Affected WTG]],'Basic Data'!$A:$A,'Basic Data'!$C:$C),"")</f>
        <v>GEDA</v>
      </c>
      <c r="J146" s="260">
        <f>IFERROR(_xlfn.XLOOKUP(Table6[[#This Row],[Affected WTG]],'Basic Data'!$A:$A,'Basic Data'!$E:$E),"")</f>
        <v>3.846153846153845E-2</v>
      </c>
      <c r="K146" s="102">
        <v>6130</v>
      </c>
      <c r="L146" s="35" t="str">
        <f>IFERROR(_xlfn.XLOOKUP(Table6[[#This Row],[Error Code]],'Basic Data'!$AA:$AA,'Basic Data'!$AB:$AB),"Incorrect Error Code")</f>
        <v>Yaw speed high</v>
      </c>
      <c r="M146" s="35" t="s">
        <v>266</v>
      </c>
      <c r="N146" s="264"/>
      <c r="O146" s="265">
        <v>0.60763888888888884</v>
      </c>
      <c r="P146" s="265">
        <v>0.60763888888888884</v>
      </c>
      <c r="Q146" s="266">
        <v>0.6118055555555556</v>
      </c>
      <c r="R146" s="261">
        <f>IF(Table6[[#This Row],[Work Start TimeStamp]]="","",(Table6[[#This Row],[Work Start TimeStamp]]-Table6[[#This Row],[Fault Start TimeStamp]])*24)</f>
        <v>0</v>
      </c>
      <c r="S146" s="261">
        <f>(Table6[[#This Row],[Fault Clearance time]]-Table6[[#This Row],[Work Start TimeStamp]])*24</f>
        <v>0.10000000000000231</v>
      </c>
      <c r="T146" s="261">
        <f>(Table6[[#This Row],[Fault Clearance time]]-Table6[[#This Row],[Fault Start TimeStamp]])*24</f>
        <v>0.10000000000000231</v>
      </c>
      <c r="U146" s="35" t="s">
        <v>277</v>
      </c>
      <c r="V146" s="102" t="s">
        <v>268</v>
      </c>
      <c r="W146" s="267">
        <f>IFERROR(Table6[[#This Row],[Breakdown Time]]*Table6[[#This Row],[Plant Equivalent Weightage]],"")</f>
        <v>3.846153846153934E-3</v>
      </c>
      <c r="X146" s="262" t="s">
        <v>269</v>
      </c>
      <c r="Y146" s="263" t="s">
        <v>132</v>
      </c>
      <c r="Z146" s="102">
        <v>33218</v>
      </c>
      <c r="AA146" s="257">
        <f>(Table6[[#This Row],[Paired WTG Generation for loss calculation]]/24)*Table6[[#This Row],[Breakdown Time]]</f>
        <v>138.40833333333651</v>
      </c>
      <c r="AB146" s="102"/>
      <c r="AC146" s="35"/>
      <c r="AD146" s="35"/>
    </row>
    <row r="147" spans="1:30">
      <c r="A147" s="102">
        <f t="shared" si="3"/>
        <v>146</v>
      </c>
      <c r="B147" s="257">
        <f>YEAR(Table6[[#This Row],[Date]])+IF(MONTH(Table6[[#This Row],[Date]])&gt;=4,1,0)</f>
        <v>2026</v>
      </c>
      <c r="C147" s="102">
        <f>YEAR(Table6[[#This Row],[Date]])</f>
        <v>2025</v>
      </c>
      <c r="D147" s="102" t="s">
        <v>265</v>
      </c>
      <c r="E147" s="258">
        <f>Table6[[#This Row],[Date]]-DAY(Table6[[#This Row],[Date]])+1</f>
        <v>45748</v>
      </c>
      <c r="F147" s="259">
        <v>45757</v>
      </c>
      <c r="G147" s="35" t="s">
        <v>137</v>
      </c>
      <c r="H147" s="35" t="str">
        <f>IFERROR(_xlfn.XLOOKUP(Table6[[#This Row],[Affected WTG]],'Basic Data'!$A:$A,'Basic Data'!$B:$B),"")</f>
        <v>TQGXIIPL</v>
      </c>
      <c r="I147" s="35" t="str">
        <f>IFERROR(_xlfn.XLOOKUP(Table6[[#This Row],[Affected WTG]],'Basic Data'!$A:$A,'Basic Data'!$C:$C),"")</f>
        <v>GEDA</v>
      </c>
      <c r="J147" s="260">
        <f>IFERROR(_xlfn.XLOOKUP(Table6[[#This Row],[Affected WTG]],'Basic Data'!$A:$A,'Basic Data'!$E:$E),"")</f>
        <v>3.846153846153845E-2</v>
      </c>
      <c r="K147" s="102">
        <v>3395</v>
      </c>
      <c r="L147" s="35" t="str">
        <f>IFERROR(_xlfn.XLOOKUP(Table6[[#This Row],[Error Code]],'Basic Data'!$AA:$AA,'Basic Data'!$AB:$AB),"Incorrect Error Code")</f>
        <v>Pump cooling sys. overload</v>
      </c>
      <c r="M147" s="35" t="s">
        <v>266</v>
      </c>
      <c r="N147" s="264"/>
      <c r="O147" s="265">
        <v>0</v>
      </c>
      <c r="P147" s="265">
        <v>0</v>
      </c>
      <c r="Q147" s="266">
        <v>0.17986111111111111</v>
      </c>
      <c r="R147" s="261">
        <f>IF(Table6[[#This Row],[Work Start TimeStamp]]="","",(Table6[[#This Row],[Work Start TimeStamp]]-Table6[[#This Row],[Fault Start TimeStamp]])*24)</f>
        <v>0</v>
      </c>
      <c r="S147" s="261">
        <f>(Table6[[#This Row],[Fault Clearance time]]-Table6[[#This Row],[Work Start TimeStamp]])*24</f>
        <v>4.3166666666666664</v>
      </c>
      <c r="T147" s="261">
        <f>(Table6[[#This Row],[Fault Clearance time]]-Table6[[#This Row],[Fault Start TimeStamp]])*24</f>
        <v>4.3166666666666664</v>
      </c>
      <c r="U147" s="35" t="s">
        <v>314</v>
      </c>
      <c r="V147" s="102" t="s">
        <v>268</v>
      </c>
      <c r="W147" s="267">
        <f>IFERROR(Table6[[#This Row],[Breakdown Time]]*Table6[[#This Row],[Plant Equivalent Weightage]],"")</f>
        <v>0.16602564102564096</v>
      </c>
      <c r="X147" s="262" t="s">
        <v>296</v>
      </c>
      <c r="Y147" s="263" t="s">
        <v>122</v>
      </c>
      <c r="Z147" s="102">
        <v>28587</v>
      </c>
      <c r="AA147" s="257">
        <f>(Table6[[#This Row],[Paired WTG Generation for loss calculation]]/24)*Table6[[#This Row],[Breakdown Time]]</f>
        <v>5141.6895833333328</v>
      </c>
      <c r="AB147" s="102"/>
      <c r="AC147" s="35"/>
      <c r="AD147" s="35"/>
    </row>
    <row r="148" spans="1:30">
      <c r="A148" s="102">
        <f t="shared" si="3"/>
        <v>147</v>
      </c>
      <c r="B148" s="257">
        <f>YEAR(Table6[[#This Row],[Date]])+IF(MONTH(Table6[[#This Row],[Date]])&gt;=4,1,0)</f>
        <v>2026</v>
      </c>
      <c r="C148" s="102">
        <f>YEAR(Table6[[#This Row],[Date]])</f>
        <v>2025</v>
      </c>
      <c r="D148" s="102" t="s">
        <v>265</v>
      </c>
      <c r="E148" s="258">
        <f>Table6[[#This Row],[Date]]-DAY(Table6[[#This Row],[Date]])+1</f>
        <v>45748</v>
      </c>
      <c r="F148" s="259">
        <v>45757</v>
      </c>
      <c r="G148" s="35" t="s">
        <v>140</v>
      </c>
      <c r="H148" s="35" t="str">
        <f>IFERROR(_xlfn.XLOOKUP(Table6[[#This Row],[Affected WTG]],'Basic Data'!$A:$A,'Basic Data'!$B:$B),"")</f>
        <v>TQGXIIPL</v>
      </c>
      <c r="I148" s="35" t="str">
        <f>IFERROR(_xlfn.XLOOKUP(Table6[[#This Row],[Affected WTG]],'Basic Data'!$A:$A,'Basic Data'!$C:$C),"")</f>
        <v>GEDA</v>
      </c>
      <c r="J148" s="260">
        <f>IFERROR(_xlfn.XLOOKUP(Table6[[#This Row],[Affected WTG]],'Basic Data'!$A:$A,'Basic Data'!$E:$E),"")</f>
        <v>3.846153846153845E-2</v>
      </c>
      <c r="K148" s="102">
        <v>4520</v>
      </c>
      <c r="L148" s="35" t="str">
        <f>IFERROR(_xlfn.XLOOKUP(Table6[[#This Row],[Error Code]],'Basic Data'!$AA:$AA,'Basic Data'!$AB:$AB),"Incorrect Error Code")</f>
        <v>Tower oscillation X level 1</v>
      </c>
      <c r="M148" s="35" t="s">
        <v>266</v>
      </c>
      <c r="N148" s="264"/>
      <c r="O148" s="265">
        <v>0.1673611111111111</v>
      </c>
      <c r="P148" s="265">
        <v>0.1673611111111111</v>
      </c>
      <c r="Q148" s="266">
        <v>0.17569444444444443</v>
      </c>
      <c r="R148" s="261">
        <f>IF(Table6[[#This Row],[Work Start TimeStamp]]="","",(Table6[[#This Row],[Work Start TimeStamp]]-Table6[[#This Row],[Fault Start TimeStamp]])*24)</f>
        <v>0</v>
      </c>
      <c r="S148" s="261">
        <f>(Table6[[#This Row],[Fault Clearance time]]-Table6[[#This Row],[Work Start TimeStamp]])*24</f>
        <v>0.19999999999999996</v>
      </c>
      <c r="T148" s="261">
        <f>(Table6[[#This Row],[Fault Clearance time]]-Table6[[#This Row],[Fault Start TimeStamp]])*24</f>
        <v>0.19999999999999996</v>
      </c>
      <c r="U148" s="35" t="s">
        <v>267</v>
      </c>
      <c r="V148" s="102" t="s">
        <v>268</v>
      </c>
      <c r="W148" s="267">
        <f>IFERROR(Table6[[#This Row],[Breakdown Time]]*Table6[[#This Row],[Plant Equivalent Weightage]],"")</f>
        <v>7.6923076923076884E-3</v>
      </c>
      <c r="X148" s="262" t="s">
        <v>269</v>
      </c>
      <c r="Y148" s="263" t="s">
        <v>122</v>
      </c>
      <c r="Z148" s="102">
        <v>28587</v>
      </c>
      <c r="AA148" s="257">
        <f>(Table6[[#This Row],[Paired WTG Generation for loss calculation]]/24)*Table6[[#This Row],[Breakdown Time]]</f>
        <v>238.22499999999994</v>
      </c>
      <c r="AB148" s="102"/>
      <c r="AC148" s="35"/>
      <c r="AD148" s="35"/>
    </row>
    <row r="149" spans="1:30">
      <c r="A149" s="102">
        <f t="shared" si="3"/>
        <v>148</v>
      </c>
      <c r="B149" s="257">
        <f>YEAR(Table6[[#This Row],[Date]])+IF(MONTH(Table6[[#This Row],[Date]])&gt;=4,1,0)</f>
        <v>2026</v>
      </c>
      <c r="C149" s="102">
        <f>YEAR(Table6[[#This Row],[Date]])</f>
        <v>2025</v>
      </c>
      <c r="D149" s="102" t="s">
        <v>265</v>
      </c>
      <c r="E149" s="258">
        <f>Table6[[#This Row],[Date]]-DAY(Table6[[#This Row],[Date]])+1</f>
        <v>45748</v>
      </c>
      <c r="F149" s="259">
        <v>45758</v>
      </c>
      <c r="G149" s="35" t="s">
        <v>115</v>
      </c>
      <c r="H149" s="35" t="str">
        <f>IFERROR(_xlfn.XLOOKUP(Table6[[#This Row],[Affected WTG]],'Basic Data'!$A:$A,'Basic Data'!$B:$B),"")</f>
        <v>TQGXIIPL</v>
      </c>
      <c r="I149" s="35" t="str">
        <f>IFERROR(_xlfn.XLOOKUP(Table6[[#This Row],[Affected WTG]],'Basic Data'!$A:$A,'Basic Data'!$C:$C),"")</f>
        <v>GEDA</v>
      </c>
      <c r="J149" s="260">
        <f>IFERROR(_xlfn.XLOOKUP(Table6[[#This Row],[Affected WTG]],'Basic Data'!$A:$A,'Basic Data'!$E:$E),"")</f>
        <v>3.846153846153845E-2</v>
      </c>
      <c r="K149" s="102">
        <v>6130</v>
      </c>
      <c r="L149" s="35" t="str">
        <f>IFERROR(_xlfn.XLOOKUP(Table6[[#This Row],[Error Code]],'Basic Data'!$AA:$AA,'Basic Data'!$AB:$AB),"Incorrect Error Code")</f>
        <v>Yaw speed high</v>
      </c>
      <c r="M149" s="35" t="s">
        <v>278</v>
      </c>
      <c r="N149" s="264"/>
      <c r="O149" s="265">
        <v>0.53819444444444442</v>
      </c>
      <c r="P149" s="265">
        <v>0.53819444444444442</v>
      </c>
      <c r="Q149" s="266">
        <v>0.54236111111111107</v>
      </c>
      <c r="R149" s="261">
        <f>IF(Table6[[#This Row],[Work Start TimeStamp]]="","",(Table6[[#This Row],[Work Start TimeStamp]]-Table6[[#This Row],[Fault Start TimeStamp]])*24)</f>
        <v>0</v>
      </c>
      <c r="S149" s="261">
        <f>(Table6[[#This Row],[Fault Clearance time]]-Table6[[#This Row],[Work Start TimeStamp]])*24</f>
        <v>9.9999999999999645E-2</v>
      </c>
      <c r="T149" s="261">
        <f>(Table6[[#This Row],[Fault Clearance time]]-Table6[[#This Row],[Fault Start TimeStamp]])*24</f>
        <v>9.9999999999999645E-2</v>
      </c>
      <c r="U149" s="35" t="s">
        <v>277</v>
      </c>
      <c r="V149" s="102" t="s">
        <v>268</v>
      </c>
      <c r="W149" s="267">
        <f>IFERROR(Table6[[#This Row],[Breakdown Time]]*Table6[[#This Row],[Plant Equivalent Weightage]],"")</f>
        <v>3.8461538461538312E-3</v>
      </c>
      <c r="X149" s="262" t="s">
        <v>269</v>
      </c>
      <c r="Y149" s="263" t="s">
        <v>140</v>
      </c>
      <c r="Z149" s="102">
        <v>41874</v>
      </c>
      <c r="AA149" s="257">
        <f>(Table6[[#This Row],[Paired WTG Generation for loss calculation]]/24)*Table6[[#This Row],[Breakdown Time]]</f>
        <v>174.47499999999937</v>
      </c>
      <c r="AB149" s="102"/>
      <c r="AC149" s="35"/>
      <c r="AD149" s="35"/>
    </row>
    <row r="150" spans="1:30">
      <c r="A150" s="102">
        <f t="shared" si="3"/>
        <v>149</v>
      </c>
      <c r="B150" s="257">
        <f>YEAR(Table6[[#This Row],[Date]])+IF(MONTH(Table6[[#This Row],[Date]])&gt;=4,1,0)</f>
        <v>2026</v>
      </c>
      <c r="C150" s="102">
        <f>YEAR(Table6[[#This Row],[Date]])</f>
        <v>2025</v>
      </c>
      <c r="D150" s="102" t="s">
        <v>265</v>
      </c>
      <c r="E150" s="258">
        <f>Table6[[#This Row],[Date]]-DAY(Table6[[#This Row],[Date]])+1</f>
        <v>45748</v>
      </c>
      <c r="F150" s="259">
        <v>45758</v>
      </c>
      <c r="G150" s="35" t="s">
        <v>115</v>
      </c>
      <c r="H150" s="35" t="str">
        <f>IFERROR(_xlfn.XLOOKUP(Table6[[#This Row],[Affected WTG]],'Basic Data'!$A:$A,'Basic Data'!$B:$B),"")</f>
        <v>TQGXIIPL</v>
      </c>
      <c r="I150" s="35" t="str">
        <f>IFERROR(_xlfn.XLOOKUP(Table6[[#This Row],[Affected WTG]],'Basic Data'!$A:$A,'Basic Data'!$C:$C),"")</f>
        <v>GEDA</v>
      </c>
      <c r="J150" s="260">
        <f>IFERROR(_xlfn.XLOOKUP(Table6[[#This Row],[Affected WTG]],'Basic Data'!$A:$A,'Basic Data'!$E:$E),"")</f>
        <v>3.846153846153845E-2</v>
      </c>
      <c r="K150" s="102">
        <v>6130</v>
      </c>
      <c r="L150" s="35" t="str">
        <f>IFERROR(_xlfn.XLOOKUP(Table6[[#This Row],[Error Code]],'Basic Data'!$AA:$AA,'Basic Data'!$AB:$AB),"Incorrect Error Code")</f>
        <v>Yaw speed high</v>
      </c>
      <c r="M150" s="35" t="s">
        <v>278</v>
      </c>
      <c r="N150" s="264"/>
      <c r="O150" s="265">
        <v>0.59444444444444444</v>
      </c>
      <c r="P150" s="265">
        <v>0.59444444444444444</v>
      </c>
      <c r="Q150" s="266">
        <v>0.60416666666666663</v>
      </c>
      <c r="R150" s="261">
        <f>IF(Table6[[#This Row],[Work Start TimeStamp]]="","",(Table6[[#This Row],[Work Start TimeStamp]]-Table6[[#This Row],[Fault Start TimeStamp]])*24)</f>
        <v>0</v>
      </c>
      <c r="S150" s="261">
        <f>(Table6[[#This Row],[Fault Clearance time]]-Table6[[#This Row],[Work Start TimeStamp]])*24</f>
        <v>0.2333333333333325</v>
      </c>
      <c r="T150" s="261">
        <f>(Table6[[#This Row],[Fault Clearance time]]-Table6[[#This Row],[Fault Start TimeStamp]])*24</f>
        <v>0.2333333333333325</v>
      </c>
      <c r="U150" s="35" t="s">
        <v>267</v>
      </c>
      <c r="V150" s="102" t="s">
        <v>268</v>
      </c>
      <c r="W150" s="267">
        <f>IFERROR(Table6[[#This Row],[Breakdown Time]]*Table6[[#This Row],[Plant Equivalent Weightage]],"")</f>
        <v>8.974358974358939E-3</v>
      </c>
      <c r="X150" s="262" t="s">
        <v>269</v>
      </c>
      <c r="Y150" s="263" t="s">
        <v>140</v>
      </c>
      <c r="Z150" s="102">
        <v>41874</v>
      </c>
      <c r="AA150" s="257">
        <f>(Table6[[#This Row],[Paired WTG Generation for loss calculation]]/24)*Table6[[#This Row],[Breakdown Time]]</f>
        <v>407.10833333333187</v>
      </c>
      <c r="AB150" s="102"/>
      <c r="AC150" s="35"/>
      <c r="AD150" s="35"/>
    </row>
    <row r="151" spans="1:30">
      <c r="A151" s="102">
        <f t="shared" si="3"/>
        <v>150</v>
      </c>
      <c r="B151" s="257">
        <f>YEAR(Table6[[#This Row],[Date]])+IF(MONTH(Table6[[#This Row],[Date]])&gt;=4,1,0)</f>
        <v>2026</v>
      </c>
      <c r="C151" s="102">
        <f>YEAR(Table6[[#This Row],[Date]])</f>
        <v>2025</v>
      </c>
      <c r="D151" s="102" t="s">
        <v>265</v>
      </c>
      <c r="E151" s="258">
        <f>Table6[[#This Row],[Date]]-DAY(Table6[[#This Row],[Date]])+1</f>
        <v>45748</v>
      </c>
      <c r="F151" s="259">
        <v>45758</v>
      </c>
      <c r="G151" s="35" t="s">
        <v>119</v>
      </c>
      <c r="H151" s="35" t="str">
        <f>IFERROR(_xlfn.XLOOKUP(Table6[[#This Row],[Affected WTG]],'Basic Data'!$A:$A,'Basic Data'!$B:$B),"")</f>
        <v>TQGXIIPL</v>
      </c>
      <c r="I151" s="35" t="str">
        <f>IFERROR(_xlfn.XLOOKUP(Table6[[#This Row],[Affected WTG]],'Basic Data'!$A:$A,'Basic Data'!$C:$C),"")</f>
        <v>GEDA</v>
      </c>
      <c r="J151" s="260">
        <f>IFERROR(_xlfn.XLOOKUP(Table6[[#This Row],[Affected WTG]],'Basic Data'!$A:$A,'Basic Data'!$E:$E),"")</f>
        <v>3.846153846153845E-2</v>
      </c>
      <c r="K151" s="102">
        <v>6130</v>
      </c>
      <c r="L151" s="35" t="str">
        <f>IFERROR(_xlfn.XLOOKUP(Table6[[#This Row],[Error Code]],'Basic Data'!$AA:$AA,'Basic Data'!$AB:$AB),"Incorrect Error Code")</f>
        <v>Yaw speed high</v>
      </c>
      <c r="M151" s="35" t="s">
        <v>278</v>
      </c>
      <c r="N151" s="264"/>
      <c r="O151" s="265">
        <v>0.625</v>
      </c>
      <c r="P151" s="265">
        <v>0.625</v>
      </c>
      <c r="Q151" s="266">
        <v>0.62916666666666665</v>
      </c>
      <c r="R151" s="261">
        <f>IF(Table6[[#This Row],[Work Start TimeStamp]]="","",(Table6[[#This Row],[Work Start TimeStamp]]-Table6[[#This Row],[Fault Start TimeStamp]])*24)</f>
        <v>0</v>
      </c>
      <c r="S151" s="261">
        <f>(Table6[[#This Row],[Fault Clearance time]]-Table6[[#This Row],[Work Start TimeStamp]])*24</f>
        <v>9.9999999999999645E-2</v>
      </c>
      <c r="T151" s="261">
        <f>(Table6[[#This Row],[Fault Clearance time]]-Table6[[#This Row],[Fault Start TimeStamp]])*24</f>
        <v>9.9999999999999645E-2</v>
      </c>
      <c r="U151" s="35" t="s">
        <v>277</v>
      </c>
      <c r="V151" s="102" t="s">
        <v>268</v>
      </c>
      <c r="W151" s="267">
        <f>IFERROR(Table6[[#This Row],[Breakdown Time]]*Table6[[#This Row],[Plant Equivalent Weightage]],"")</f>
        <v>3.8461538461538312E-3</v>
      </c>
      <c r="X151" s="262" t="s">
        <v>269</v>
      </c>
      <c r="Y151" s="263" t="s">
        <v>116</v>
      </c>
      <c r="Z151" s="102">
        <v>49347</v>
      </c>
      <c r="AA151" s="257">
        <f>(Table6[[#This Row],[Paired WTG Generation for loss calculation]]/24)*Table6[[#This Row],[Breakdown Time]]</f>
        <v>205.61249999999927</v>
      </c>
      <c r="AB151" s="102"/>
      <c r="AC151" s="35"/>
      <c r="AD151" s="35"/>
    </row>
    <row r="152" spans="1:30">
      <c r="A152" s="102">
        <f t="shared" si="3"/>
        <v>151</v>
      </c>
      <c r="B152" s="257">
        <f>YEAR(Table6[[#This Row],[Date]])+IF(MONTH(Table6[[#This Row],[Date]])&gt;=4,1,0)</f>
        <v>2026</v>
      </c>
      <c r="C152" s="102">
        <f>YEAR(Table6[[#This Row],[Date]])</f>
        <v>2025</v>
      </c>
      <c r="D152" s="102" t="s">
        <v>265</v>
      </c>
      <c r="E152" s="258">
        <f>Table6[[#This Row],[Date]]-DAY(Table6[[#This Row],[Date]])+1</f>
        <v>45748</v>
      </c>
      <c r="F152" s="259">
        <v>45758</v>
      </c>
      <c r="G152" s="35" t="s">
        <v>119</v>
      </c>
      <c r="H152" s="35" t="str">
        <f>IFERROR(_xlfn.XLOOKUP(Table6[[#This Row],[Affected WTG]],'Basic Data'!$A:$A,'Basic Data'!$B:$B),"")</f>
        <v>TQGXIIPL</v>
      </c>
      <c r="I152" s="35" t="str">
        <f>IFERROR(_xlfn.XLOOKUP(Table6[[#This Row],[Affected WTG]],'Basic Data'!$A:$A,'Basic Data'!$C:$C),"")</f>
        <v>GEDA</v>
      </c>
      <c r="J152" s="260">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266</v>
      </c>
      <c r="N152" s="264"/>
      <c r="O152" s="265">
        <v>0.90625</v>
      </c>
      <c r="P152" s="265">
        <v>0.90625</v>
      </c>
      <c r="Q152" s="266">
        <v>0.91180555555555554</v>
      </c>
      <c r="R152" s="261">
        <f>IF(Table6[[#This Row],[Work Start TimeStamp]]="","",(Table6[[#This Row],[Work Start TimeStamp]]-Table6[[#This Row],[Fault Start TimeStamp]])*24)</f>
        <v>0</v>
      </c>
      <c r="S152" s="261">
        <f>(Table6[[#This Row],[Fault Clearance time]]-Table6[[#This Row],[Work Start TimeStamp]])*24</f>
        <v>0.13333333333333286</v>
      </c>
      <c r="T152" s="261">
        <f>(Table6[[#This Row],[Fault Clearance time]]-Table6[[#This Row],[Fault Start TimeStamp]])*24</f>
        <v>0.13333333333333286</v>
      </c>
      <c r="U152" s="35" t="s">
        <v>310</v>
      </c>
      <c r="V152" s="102" t="s">
        <v>268</v>
      </c>
      <c r="W152" s="267">
        <f>IFERROR(Table6[[#This Row],[Breakdown Time]]*Table6[[#This Row],[Plant Equivalent Weightage]],"")</f>
        <v>5.1282051282051083E-3</v>
      </c>
      <c r="X152" s="262" t="s">
        <v>269</v>
      </c>
      <c r="Y152" s="263" t="s">
        <v>116</v>
      </c>
      <c r="Z152" s="102">
        <v>49347</v>
      </c>
      <c r="AA152" s="257">
        <f>(Table6[[#This Row],[Paired WTG Generation for loss calculation]]/24)*Table6[[#This Row],[Breakdown Time]]</f>
        <v>274.14999999999901</v>
      </c>
      <c r="AB152" s="102"/>
      <c r="AC152" s="35"/>
      <c r="AD152" s="35"/>
    </row>
    <row r="153" spans="1:30">
      <c r="A153" s="102">
        <f t="shared" si="3"/>
        <v>152</v>
      </c>
      <c r="B153" s="257">
        <f>YEAR(Table6[[#This Row],[Date]])+IF(MONTH(Table6[[#This Row],[Date]])&gt;=4,1,0)</f>
        <v>2026</v>
      </c>
      <c r="C153" s="102">
        <f>YEAR(Table6[[#This Row],[Date]])</f>
        <v>2025</v>
      </c>
      <c r="D153" s="102" t="s">
        <v>265</v>
      </c>
      <c r="E153" s="258">
        <f>Table6[[#This Row],[Date]]-DAY(Table6[[#This Row],[Date]])+1</f>
        <v>45748</v>
      </c>
      <c r="F153" s="259">
        <v>45758</v>
      </c>
      <c r="G153" s="35" t="s">
        <v>122</v>
      </c>
      <c r="H153" s="35" t="str">
        <f>IFERROR(_xlfn.XLOOKUP(Table6[[#This Row],[Affected WTG]],'Basic Data'!$A:$A,'Basic Data'!$B:$B),"")</f>
        <v>TQGXIIPL</v>
      </c>
      <c r="I153" s="35" t="str">
        <f>IFERROR(_xlfn.XLOOKUP(Table6[[#This Row],[Affected WTG]],'Basic Data'!$A:$A,'Basic Data'!$C:$C),"")</f>
        <v>GEDA</v>
      </c>
      <c r="J153" s="260">
        <f>IFERROR(_xlfn.XLOOKUP(Table6[[#This Row],[Affected WTG]],'Basic Data'!$A:$A,'Basic Data'!$E:$E),"")</f>
        <v>3.846153846153845E-2</v>
      </c>
      <c r="K153" s="102">
        <v>6605</v>
      </c>
      <c r="L153" s="35" t="str">
        <f>IFERROR(_xlfn.XLOOKUP(Table6[[#This Row],[Error Code]],'Basic Data'!$AA:$AA,'Basic Data'!$AB:$AB),"Incorrect Error Code")</f>
        <v>Wind.dir. diff. level 2</v>
      </c>
      <c r="M153" s="35" t="s">
        <v>266</v>
      </c>
      <c r="N153" s="264"/>
      <c r="O153" s="265">
        <v>0.42499999999999999</v>
      </c>
      <c r="P153" s="265">
        <v>0.42499999999999999</v>
      </c>
      <c r="Q153" s="266">
        <v>0.44374999999999998</v>
      </c>
      <c r="R153" s="261">
        <f>IF(Table6[[#This Row],[Work Start TimeStamp]]="","",(Table6[[#This Row],[Work Start TimeStamp]]-Table6[[#This Row],[Fault Start TimeStamp]])*24)</f>
        <v>0</v>
      </c>
      <c r="S153" s="261">
        <f>(Table6[[#This Row],[Fault Clearance time]]-Table6[[#This Row],[Work Start TimeStamp]])*24</f>
        <v>0.44999999999999973</v>
      </c>
      <c r="T153" s="261">
        <f>(Table6[[#This Row],[Fault Clearance time]]-Table6[[#This Row],[Fault Start TimeStamp]])*24</f>
        <v>0.44999999999999973</v>
      </c>
      <c r="U153" s="35" t="s">
        <v>310</v>
      </c>
      <c r="V153" s="102" t="s">
        <v>268</v>
      </c>
      <c r="W153" s="267">
        <f>IFERROR(Table6[[#This Row],[Breakdown Time]]*Table6[[#This Row],[Plant Equivalent Weightage]],"")</f>
        <v>1.7307692307692291E-2</v>
      </c>
      <c r="X153" s="262" t="s">
        <v>269</v>
      </c>
      <c r="Y153" s="263" t="s">
        <v>140</v>
      </c>
      <c r="Z153" s="102">
        <v>41874</v>
      </c>
      <c r="AA153" s="257">
        <f>(Table6[[#This Row],[Paired WTG Generation for loss calculation]]/24)*Table6[[#This Row],[Breakdown Time]]</f>
        <v>785.13749999999959</v>
      </c>
      <c r="AB153" s="102"/>
      <c r="AC153" s="35"/>
      <c r="AD153" s="35"/>
    </row>
    <row r="154" spans="1:30">
      <c r="A154" s="102">
        <f t="shared" si="3"/>
        <v>153</v>
      </c>
      <c r="B154" s="257">
        <f>YEAR(Table6[[#This Row],[Date]])+IF(MONTH(Table6[[#This Row],[Date]])&gt;=4,1,0)</f>
        <v>2026</v>
      </c>
      <c r="C154" s="102">
        <f>YEAR(Table6[[#This Row],[Date]])</f>
        <v>2025</v>
      </c>
      <c r="D154" s="102" t="s">
        <v>265</v>
      </c>
      <c r="E154" s="258">
        <f>Table6[[#This Row],[Date]]-DAY(Table6[[#This Row],[Date]])+1</f>
        <v>45748</v>
      </c>
      <c r="F154" s="259">
        <v>45758</v>
      </c>
      <c r="G154" s="35" t="s">
        <v>122</v>
      </c>
      <c r="H154" s="35" t="str">
        <f>IFERROR(_xlfn.XLOOKUP(Table6[[#This Row],[Affected WTG]],'Basic Data'!$A:$A,'Basic Data'!$B:$B),"")</f>
        <v>TQGXIIPL</v>
      </c>
      <c r="I154" s="35" t="str">
        <f>IFERROR(_xlfn.XLOOKUP(Table6[[#This Row],[Affected WTG]],'Basic Data'!$A:$A,'Basic Data'!$C:$C),"")</f>
        <v>GEDA</v>
      </c>
      <c r="J154" s="260">
        <f>IFERROR(_xlfn.XLOOKUP(Table6[[#This Row],[Affected WTG]],'Basic Data'!$A:$A,'Basic Data'!$E:$E),"")</f>
        <v>3.846153846153845E-2</v>
      </c>
      <c r="K154" s="102">
        <v>6130</v>
      </c>
      <c r="L154" s="35" t="str">
        <f>IFERROR(_xlfn.XLOOKUP(Table6[[#This Row],[Error Code]],'Basic Data'!$AA:$AA,'Basic Data'!$AB:$AB),"Incorrect Error Code")</f>
        <v>Yaw speed high</v>
      </c>
      <c r="M154" s="35" t="s">
        <v>278</v>
      </c>
      <c r="N154" s="264"/>
      <c r="O154" s="265">
        <v>0.72152777777777777</v>
      </c>
      <c r="P154" s="265">
        <v>0.72152777777777777</v>
      </c>
      <c r="Q154" s="266">
        <v>0.72569444444444442</v>
      </c>
      <c r="R154" s="261">
        <f>IF(Table6[[#This Row],[Work Start TimeStamp]]="","",(Table6[[#This Row],[Work Start TimeStamp]]-Table6[[#This Row],[Fault Start TimeStamp]])*24)</f>
        <v>0</v>
      </c>
      <c r="S154" s="261">
        <f>(Table6[[#This Row],[Fault Clearance time]]-Table6[[#This Row],[Work Start TimeStamp]])*24</f>
        <v>9.9999999999999645E-2</v>
      </c>
      <c r="T154" s="261">
        <f>(Table6[[#This Row],[Fault Clearance time]]-Table6[[#This Row],[Fault Start TimeStamp]])*24</f>
        <v>9.9999999999999645E-2</v>
      </c>
      <c r="U154" s="35" t="s">
        <v>277</v>
      </c>
      <c r="V154" s="102" t="s">
        <v>268</v>
      </c>
      <c r="W154" s="267">
        <f>IFERROR(Table6[[#This Row],[Breakdown Time]]*Table6[[#This Row],[Plant Equivalent Weightage]],"")</f>
        <v>3.8461538461538312E-3</v>
      </c>
      <c r="X154" s="262" t="s">
        <v>269</v>
      </c>
      <c r="Y154" s="263" t="s">
        <v>140</v>
      </c>
      <c r="Z154" s="102">
        <v>41874</v>
      </c>
      <c r="AA154" s="257">
        <f>(Table6[[#This Row],[Paired WTG Generation for loss calculation]]/24)*Table6[[#This Row],[Breakdown Time]]</f>
        <v>174.47499999999937</v>
      </c>
      <c r="AB154" s="102"/>
      <c r="AC154" s="35"/>
      <c r="AD154" s="35"/>
    </row>
    <row r="155" spans="1:30">
      <c r="A155" s="102">
        <f t="shared" si="3"/>
        <v>154</v>
      </c>
      <c r="B155" s="257">
        <f>YEAR(Table6[[#This Row],[Date]])+IF(MONTH(Table6[[#This Row],[Date]])&gt;=4,1,0)</f>
        <v>2026</v>
      </c>
      <c r="C155" s="102">
        <f>YEAR(Table6[[#This Row],[Date]])</f>
        <v>2025</v>
      </c>
      <c r="D155" s="102" t="s">
        <v>265</v>
      </c>
      <c r="E155" s="258">
        <f>Table6[[#This Row],[Date]]-DAY(Table6[[#This Row],[Date]])+1</f>
        <v>45748</v>
      </c>
      <c r="F155" s="259">
        <v>45758</v>
      </c>
      <c r="G155" s="35" t="s">
        <v>124</v>
      </c>
      <c r="H155" s="35" t="str">
        <f>IFERROR(_xlfn.XLOOKUP(Table6[[#This Row],[Affected WTG]],'Basic Data'!$A:$A,'Basic Data'!$B:$B),"")</f>
        <v>TQGXIIPL</v>
      </c>
      <c r="I155" s="35" t="str">
        <f>IFERROR(_xlfn.XLOOKUP(Table6[[#This Row],[Affected WTG]],'Basic Data'!$A:$A,'Basic Data'!$C:$C),"")</f>
        <v>GEDA</v>
      </c>
      <c r="J155" s="260">
        <f>IFERROR(_xlfn.XLOOKUP(Table6[[#This Row],[Affected WTG]],'Basic Data'!$A:$A,'Basic Data'!$E:$E),"")</f>
        <v>3.846153846153845E-2</v>
      </c>
      <c r="K155" s="102">
        <v>6130</v>
      </c>
      <c r="L155" s="35" t="str">
        <f>IFERROR(_xlfn.XLOOKUP(Table6[[#This Row],[Error Code]],'Basic Data'!$AA:$AA,'Basic Data'!$AB:$AB),"Incorrect Error Code")</f>
        <v>Yaw speed high</v>
      </c>
      <c r="M155" s="35" t="s">
        <v>278</v>
      </c>
      <c r="N155" s="264"/>
      <c r="O155" s="265">
        <v>0.55972222222222223</v>
      </c>
      <c r="P155" s="265">
        <v>0.55972222222222223</v>
      </c>
      <c r="Q155" s="266">
        <v>0.56388888888888888</v>
      </c>
      <c r="R155" s="261">
        <f>IF(Table6[[#This Row],[Work Start TimeStamp]]="","",(Table6[[#This Row],[Work Start TimeStamp]]-Table6[[#This Row],[Fault Start TimeStamp]])*24)</f>
        <v>0</v>
      </c>
      <c r="S155" s="261">
        <f>(Table6[[#This Row],[Fault Clearance time]]-Table6[[#This Row],[Work Start TimeStamp]])*24</f>
        <v>9.9999999999999645E-2</v>
      </c>
      <c r="T155" s="261">
        <f>(Table6[[#This Row],[Fault Clearance time]]-Table6[[#This Row],[Fault Start TimeStamp]])*24</f>
        <v>9.9999999999999645E-2</v>
      </c>
      <c r="U155" s="35" t="s">
        <v>277</v>
      </c>
      <c r="V155" s="102" t="s">
        <v>268</v>
      </c>
      <c r="W155" s="267">
        <f>IFERROR(Table6[[#This Row],[Breakdown Time]]*Table6[[#This Row],[Plant Equivalent Weightage]],"")</f>
        <v>3.8461538461538312E-3</v>
      </c>
      <c r="X155" s="262" t="s">
        <v>269</v>
      </c>
      <c r="Y155" s="263" t="s">
        <v>129</v>
      </c>
      <c r="Z155" s="102">
        <v>40666</v>
      </c>
      <c r="AA155" s="257">
        <f>(Table6[[#This Row],[Paired WTG Generation for loss calculation]]/24)*Table6[[#This Row],[Breakdown Time]]</f>
        <v>169.44166666666607</v>
      </c>
      <c r="AB155" s="102"/>
      <c r="AC155" s="35"/>
      <c r="AD155" s="35"/>
    </row>
    <row r="156" spans="1:30">
      <c r="A156" s="102">
        <f t="shared" si="3"/>
        <v>155</v>
      </c>
      <c r="B156" s="257">
        <f>YEAR(Table6[[#This Row],[Date]])+IF(MONTH(Table6[[#This Row],[Date]])&gt;=4,1,0)</f>
        <v>2026</v>
      </c>
      <c r="C156" s="102">
        <f>YEAR(Table6[[#This Row],[Date]])</f>
        <v>2025</v>
      </c>
      <c r="D156" s="102" t="s">
        <v>265</v>
      </c>
      <c r="E156" s="258">
        <f>Table6[[#This Row],[Date]]-DAY(Table6[[#This Row],[Date]])+1</f>
        <v>45748</v>
      </c>
      <c r="F156" s="259">
        <v>45758</v>
      </c>
      <c r="G156" s="35" t="s">
        <v>127</v>
      </c>
      <c r="H156" s="35" t="str">
        <f>IFERROR(_xlfn.XLOOKUP(Table6[[#This Row],[Affected WTG]],'Basic Data'!$A:$A,'Basic Data'!$B:$B),"")</f>
        <v>TQGXIIPL</v>
      </c>
      <c r="I156" s="35" t="str">
        <f>IFERROR(_xlfn.XLOOKUP(Table6[[#This Row],[Affected WTG]],'Basic Data'!$A:$A,'Basic Data'!$C:$C),"")</f>
        <v>GEDA</v>
      </c>
      <c r="J156" s="260">
        <f>IFERROR(_xlfn.XLOOKUP(Table6[[#This Row],[Affected WTG]],'Basic Data'!$A:$A,'Basic Data'!$E:$E),"")</f>
        <v>3.846153846153845E-2</v>
      </c>
      <c r="K156" s="102">
        <v>6056</v>
      </c>
      <c r="L156" s="35" t="str">
        <f>IFERROR(_xlfn.XLOOKUP(Table6[[#This Row],[Error Code]],'Basic Data'!$AA:$AA,'Basic Data'!$AB:$AB),"Incorrect Error Code")</f>
        <v>High yaw load</v>
      </c>
      <c r="M156" s="35" t="s">
        <v>278</v>
      </c>
      <c r="N156" s="264"/>
      <c r="O156" s="265">
        <v>0.5708333333333333</v>
      </c>
      <c r="P156" s="265">
        <v>0.5708333333333333</v>
      </c>
      <c r="Q156" s="266">
        <v>0.57291666666666663</v>
      </c>
      <c r="R156" s="261">
        <f>IF(Table6[[#This Row],[Work Start TimeStamp]]="","",(Table6[[#This Row],[Work Start TimeStamp]]-Table6[[#This Row],[Fault Start TimeStamp]])*24)</f>
        <v>0</v>
      </c>
      <c r="S156" s="261">
        <f>(Table6[[#This Row],[Fault Clearance time]]-Table6[[#This Row],[Work Start TimeStamp]])*24</f>
        <v>4.9999999999999822E-2</v>
      </c>
      <c r="T156" s="261">
        <f>(Table6[[#This Row],[Fault Clearance time]]-Table6[[#This Row],[Fault Start TimeStamp]])*24</f>
        <v>4.9999999999999822E-2</v>
      </c>
      <c r="U156" s="35" t="s">
        <v>277</v>
      </c>
      <c r="V156" s="102" t="s">
        <v>268</v>
      </c>
      <c r="W156" s="267">
        <f>IFERROR(Table6[[#This Row],[Breakdown Time]]*Table6[[#This Row],[Plant Equivalent Weightage]],"")</f>
        <v>1.9230769230769156E-3</v>
      </c>
      <c r="X156" s="262" t="s">
        <v>269</v>
      </c>
      <c r="Y156" s="263" t="s">
        <v>125</v>
      </c>
      <c r="Z156" s="102">
        <v>37304</v>
      </c>
      <c r="AA156" s="257">
        <f>(Table6[[#This Row],[Paired WTG Generation for loss calculation]]/24)*Table6[[#This Row],[Breakdown Time]]</f>
        <v>77.716666666666384</v>
      </c>
      <c r="AB156" s="102"/>
      <c r="AC156" s="35"/>
      <c r="AD156" s="35"/>
    </row>
    <row r="157" spans="1:30">
      <c r="A157" s="102">
        <f t="shared" si="3"/>
        <v>156</v>
      </c>
      <c r="B157" s="257">
        <f>YEAR(Table6[[#This Row],[Date]])+IF(MONTH(Table6[[#This Row],[Date]])&gt;=4,1,0)</f>
        <v>2026</v>
      </c>
      <c r="C157" s="102">
        <f>YEAR(Table6[[#This Row],[Date]])</f>
        <v>2025</v>
      </c>
      <c r="D157" s="102" t="s">
        <v>265</v>
      </c>
      <c r="E157" s="258">
        <f>Table6[[#This Row],[Date]]-DAY(Table6[[#This Row],[Date]])+1</f>
        <v>45748</v>
      </c>
      <c r="F157" s="259">
        <v>45758</v>
      </c>
      <c r="G157" s="35" t="s">
        <v>127</v>
      </c>
      <c r="H157" s="35" t="str">
        <f>IFERROR(_xlfn.XLOOKUP(Table6[[#This Row],[Affected WTG]],'Basic Data'!$A:$A,'Basic Data'!$B:$B),"")</f>
        <v>TQGXIIPL</v>
      </c>
      <c r="I157" s="35" t="str">
        <f>IFERROR(_xlfn.XLOOKUP(Table6[[#This Row],[Affected WTG]],'Basic Data'!$A:$A,'Basic Data'!$C:$C),"")</f>
        <v>GEDA</v>
      </c>
      <c r="J157" s="260">
        <f>IFERROR(_xlfn.XLOOKUP(Table6[[#This Row],[Affected WTG]],'Basic Data'!$A:$A,'Basic Data'!$E:$E),"")</f>
        <v>3.846153846153845E-2</v>
      </c>
      <c r="K157" s="102">
        <v>6130</v>
      </c>
      <c r="L157" s="35" t="str">
        <f>IFERROR(_xlfn.XLOOKUP(Table6[[#This Row],[Error Code]],'Basic Data'!$AA:$AA,'Basic Data'!$AB:$AB),"Incorrect Error Code")</f>
        <v>Yaw speed high</v>
      </c>
      <c r="M157" s="35" t="s">
        <v>278</v>
      </c>
      <c r="N157" s="264"/>
      <c r="O157" s="265">
        <v>0.61111111111111116</v>
      </c>
      <c r="P157" s="265">
        <v>0.61111111111111116</v>
      </c>
      <c r="Q157" s="266">
        <v>0.61527777777777781</v>
      </c>
      <c r="R157" s="261">
        <f>IF(Table6[[#This Row],[Work Start TimeStamp]]="","",(Table6[[#This Row],[Work Start TimeStamp]]-Table6[[#This Row],[Fault Start TimeStamp]])*24)</f>
        <v>0</v>
      </c>
      <c r="S157" s="261">
        <f>(Table6[[#This Row],[Fault Clearance time]]-Table6[[#This Row],[Work Start TimeStamp]])*24</f>
        <v>9.9999999999999645E-2</v>
      </c>
      <c r="T157" s="261">
        <f>(Table6[[#This Row],[Fault Clearance time]]-Table6[[#This Row],[Fault Start TimeStamp]])*24</f>
        <v>9.9999999999999645E-2</v>
      </c>
      <c r="U157" s="35" t="s">
        <v>277</v>
      </c>
      <c r="V157" s="102" t="s">
        <v>268</v>
      </c>
      <c r="W157" s="267">
        <f>IFERROR(Table6[[#This Row],[Breakdown Time]]*Table6[[#This Row],[Plant Equivalent Weightage]],"")</f>
        <v>3.8461538461538312E-3</v>
      </c>
      <c r="X157" s="262" t="s">
        <v>269</v>
      </c>
      <c r="Y157" s="263" t="s">
        <v>125</v>
      </c>
      <c r="Z157" s="102">
        <v>37304</v>
      </c>
      <c r="AA157" s="257">
        <f>(Table6[[#This Row],[Paired WTG Generation for loss calculation]]/24)*Table6[[#This Row],[Breakdown Time]]</f>
        <v>155.43333333333277</v>
      </c>
      <c r="AB157" s="102"/>
      <c r="AC157" s="35"/>
      <c r="AD157" s="35"/>
    </row>
    <row r="158" spans="1:30">
      <c r="A158" s="102">
        <f t="shared" si="3"/>
        <v>157</v>
      </c>
      <c r="B158" s="257">
        <f>YEAR(Table6[[#This Row],[Date]])+IF(MONTH(Table6[[#This Row],[Date]])&gt;=4,1,0)</f>
        <v>2026</v>
      </c>
      <c r="C158" s="102">
        <f>YEAR(Table6[[#This Row],[Date]])</f>
        <v>2025</v>
      </c>
      <c r="D158" s="102" t="s">
        <v>265</v>
      </c>
      <c r="E158" s="258">
        <f>Table6[[#This Row],[Date]]-DAY(Table6[[#This Row],[Date]])+1</f>
        <v>45748</v>
      </c>
      <c r="F158" s="259">
        <v>45758</v>
      </c>
      <c r="G158" s="35" t="s">
        <v>128</v>
      </c>
      <c r="H158" s="35" t="str">
        <f>IFERROR(_xlfn.XLOOKUP(Table6[[#This Row],[Affected WTG]],'Basic Data'!$A:$A,'Basic Data'!$B:$B),"")</f>
        <v>TQGXIIPL</v>
      </c>
      <c r="I158" s="35" t="str">
        <f>IFERROR(_xlfn.XLOOKUP(Table6[[#This Row],[Affected WTG]],'Basic Data'!$A:$A,'Basic Data'!$C:$C),"")</f>
        <v>GEDA</v>
      </c>
      <c r="J158" s="260">
        <f>IFERROR(_xlfn.XLOOKUP(Table6[[#This Row],[Affected WTG]],'Basic Data'!$A:$A,'Basic Data'!$E:$E),"")</f>
        <v>3.846153846153845E-2</v>
      </c>
      <c r="K158" s="102">
        <v>3110</v>
      </c>
      <c r="L158" s="35" t="str">
        <f>IFERROR(_xlfn.XLOOKUP(Table6[[#This Row],[Error Code]],'Basic Data'!$AA:$AA,'Basic Data'!$AB:$AB),"Incorrect Error Code")</f>
        <v>Frequency converter error</v>
      </c>
      <c r="M158" s="35" t="s">
        <v>291</v>
      </c>
      <c r="N158" s="264"/>
      <c r="O158" s="265">
        <v>4.5138888888888888E-2</v>
      </c>
      <c r="P158" s="265">
        <v>0.10416666666666667</v>
      </c>
      <c r="Q158" s="266">
        <v>0.32430555555555557</v>
      </c>
      <c r="R158" s="261">
        <f>IF(Table6[[#This Row],[Work Start TimeStamp]]="","",(Table6[[#This Row],[Work Start TimeStamp]]-Table6[[#This Row],[Fault Start TimeStamp]])*24)</f>
        <v>1.4166666666666667</v>
      </c>
      <c r="S158" s="261">
        <f>(Table6[[#This Row],[Fault Clearance time]]-Table6[[#This Row],[Work Start TimeStamp]])*24</f>
        <v>5.2833333333333332</v>
      </c>
      <c r="T158" s="261">
        <f>(Table6[[#This Row],[Fault Clearance time]]-Table6[[#This Row],[Fault Start TimeStamp]])*24</f>
        <v>6.7</v>
      </c>
      <c r="U158" s="35" t="s">
        <v>315</v>
      </c>
      <c r="V158" s="102" t="s">
        <v>268</v>
      </c>
      <c r="W158" s="267">
        <f>IFERROR(Table6[[#This Row],[Breakdown Time]]*Table6[[#This Row],[Plant Equivalent Weightage]],"")</f>
        <v>0.25769230769230761</v>
      </c>
      <c r="X158" s="262" t="s">
        <v>269</v>
      </c>
      <c r="Y158" s="263" t="s">
        <v>126</v>
      </c>
      <c r="Z158" s="102">
        <v>42973</v>
      </c>
      <c r="AA158" s="257">
        <f>(Table6[[#This Row],[Paired WTG Generation for loss calculation]]/24)*Table6[[#This Row],[Breakdown Time]]</f>
        <v>11996.629166666668</v>
      </c>
      <c r="AB158" s="102"/>
      <c r="AC158" s="35"/>
      <c r="AD158" s="35"/>
    </row>
    <row r="159" spans="1:30">
      <c r="A159" s="102">
        <f t="shared" si="3"/>
        <v>158</v>
      </c>
      <c r="B159" s="257">
        <f>YEAR(Table6[[#This Row],[Date]])+IF(MONTH(Table6[[#This Row],[Date]])&gt;=4,1,0)</f>
        <v>2026</v>
      </c>
      <c r="C159" s="102">
        <f>YEAR(Table6[[#This Row],[Date]])</f>
        <v>2025</v>
      </c>
      <c r="D159" s="102" t="s">
        <v>265</v>
      </c>
      <c r="E159" s="258">
        <f>Table6[[#This Row],[Date]]-DAY(Table6[[#This Row],[Date]])+1</f>
        <v>45748</v>
      </c>
      <c r="F159" s="259">
        <v>45758</v>
      </c>
      <c r="G159" s="35" t="s">
        <v>128</v>
      </c>
      <c r="H159" s="35" t="str">
        <f>IFERROR(_xlfn.XLOOKUP(Table6[[#This Row],[Affected WTG]],'Basic Data'!$A:$A,'Basic Data'!$B:$B),"")</f>
        <v>TQGXIIPL</v>
      </c>
      <c r="I159" s="35" t="str">
        <f>IFERROR(_xlfn.XLOOKUP(Table6[[#This Row],[Affected WTG]],'Basic Data'!$A:$A,'Basic Data'!$C:$C),"")</f>
        <v>GEDA</v>
      </c>
      <c r="J159" s="260">
        <f>IFERROR(_xlfn.XLOOKUP(Table6[[#This Row],[Affected WTG]],'Basic Data'!$A:$A,'Basic Data'!$E:$E),"")</f>
        <v>3.846153846153845E-2</v>
      </c>
      <c r="K159" s="102">
        <v>55</v>
      </c>
      <c r="L159" s="35" t="str">
        <f>IFERROR(_xlfn.XLOOKUP(Table6[[#This Row],[Error Code]],'Basic Data'!$AA:$AA,'Basic Data'!$AB:$AB),"Incorrect Error Code")</f>
        <v>WTG shut down</v>
      </c>
      <c r="M159" s="35" t="s">
        <v>316</v>
      </c>
      <c r="N159" s="264"/>
      <c r="O159" s="265">
        <v>0.44583333333333336</v>
      </c>
      <c r="P159" s="265">
        <v>0.44583333333333336</v>
      </c>
      <c r="Q159" s="266">
        <v>1</v>
      </c>
      <c r="R159" s="261">
        <f>IF(Table6[[#This Row],[Work Start TimeStamp]]="","",(Table6[[#This Row],[Work Start TimeStamp]]-Table6[[#This Row],[Fault Start TimeStamp]])*24)</f>
        <v>0</v>
      </c>
      <c r="S159" s="261">
        <f>(Table6[[#This Row],[Fault Clearance time]]-Table6[[#This Row],[Work Start TimeStamp]])*24</f>
        <v>13.3</v>
      </c>
      <c r="T159" s="261">
        <f>(Table6[[#This Row],[Fault Clearance time]]-Table6[[#This Row],[Fault Start TimeStamp]])*24</f>
        <v>13.3</v>
      </c>
      <c r="U159" s="35" t="s">
        <v>317</v>
      </c>
      <c r="V159" s="102" t="s">
        <v>268</v>
      </c>
      <c r="W159" s="267">
        <f>IFERROR(Table6[[#This Row],[Breakdown Time]]*Table6[[#This Row],[Plant Equivalent Weightage]],"")</f>
        <v>0.51153846153846139</v>
      </c>
      <c r="X159" s="262" t="s">
        <v>273</v>
      </c>
      <c r="Y159" s="263" t="s">
        <v>126</v>
      </c>
      <c r="Z159" s="102">
        <v>42973</v>
      </c>
      <c r="AA159" s="257">
        <f>(Table6[[#This Row],[Paired WTG Generation for loss calculation]]/24)*Table6[[#This Row],[Breakdown Time]]</f>
        <v>23814.20416666667</v>
      </c>
      <c r="AB159" s="102"/>
      <c r="AC159" s="35"/>
      <c r="AD159" s="35"/>
    </row>
    <row r="160" spans="1:30">
      <c r="A160" s="102">
        <f t="shared" si="3"/>
        <v>159</v>
      </c>
      <c r="B160" s="257">
        <f>YEAR(Table6[[#This Row],[Date]])+IF(MONTH(Table6[[#This Row],[Date]])&gt;=4,1,0)</f>
        <v>2026</v>
      </c>
      <c r="C160" s="102">
        <f>YEAR(Table6[[#This Row],[Date]])</f>
        <v>2025</v>
      </c>
      <c r="D160" s="102" t="s">
        <v>265</v>
      </c>
      <c r="E160" s="258">
        <f>Table6[[#This Row],[Date]]-DAY(Table6[[#This Row],[Date]])+1</f>
        <v>45748</v>
      </c>
      <c r="F160" s="259">
        <v>45758</v>
      </c>
      <c r="G160" s="35" t="s">
        <v>130</v>
      </c>
      <c r="H160" s="35" t="str">
        <f>IFERROR(_xlfn.XLOOKUP(Table6[[#This Row],[Affected WTG]],'Basic Data'!$A:$A,'Basic Data'!$B:$B),"")</f>
        <v>TQGXIIPL</v>
      </c>
      <c r="I160" s="35" t="str">
        <f>IFERROR(_xlfn.XLOOKUP(Table6[[#This Row],[Affected WTG]],'Basic Data'!$A:$A,'Basic Data'!$C:$C),"")</f>
        <v>GEDA</v>
      </c>
      <c r="J160" s="260">
        <f>IFERROR(_xlfn.XLOOKUP(Table6[[#This Row],[Affected WTG]],'Basic Data'!$A:$A,'Basic Data'!$E:$E),"")</f>
        <v>3.846153846153845E-2</v>
      </c>
      <c r="K160" s="102">
        <v>6130</v>
      </c>
      <c r="L160" s="35" t="str">
        <f>IFERROR(_xlfn.XLOOKUP(Table6[[#This Row],[Error Code]],'Basic Data'!$AA:$AA,'Basic Data'!$AB:$AB),"Incorrect Error Code")</f>
        <v>Yaw speed high</v>
      </c>
      <c r="M160" s="35" t="s">
        <v>266</v>
      </c>
      <c r="N160" s="264"/>
      <c r="O160" s="265">
        <v>0.69722222222222219</v>
      </c>
      <c r="P160" s="265">
        <v>0.69722222222222219</v>
      </c>
      <c r="Q160" s="266">
        <v>0.70138888888888884</v>
      </c>
      <c r="R160" s="261">
        <f>IF(Table6[[#This Row],[Work Start TimeStamp]]="","",(Table6[[#This Row],[Work Start TimeStamp]]-Table6[[#This Row],[Fault Start TimeStamp]])*24)</f>
        <v>0</v>
      </c>
      <c r="S160" s="261">
        <f>(Table6[[#This Row],[Fault Clearance time]]-Table6[[#This Row],[Work Start TimeStamp]])*24</f>
        <v>9.9999999999999645E-2</v>
      </c>
      <c r="T160" s="261">
        <f>(Table6[[#This Row],[Fault Clearance time]]-Table6[[#This Row],[Fault Start TimeStamp]])*24</f>
        <v>9.9999999999999645E-2</v>
      </c>
      <c r="U160" s="35" t="s">
        <v>277</v>
      </c>
      <c r="V160" s="102" t="s">
        <v>268</v>
      </c>
      <c r="W160" s="267">
        <f>IFERROR(Table6[[#This Row],[Breakdown Time]]*Table6[[#This Row],[Plant Equivalent Weightage]],"")</f>
        <v>3.8461538461538312E-3</v>
      </c>
      <c r="X160" s="262" t="s">
        <v>269</v>
      </c>
      <c r="Y160" s="263" t="s">
        <v>135</v>
      </c>
      <c r="Z160" s="102">
        <v>40132</v>
      </c>
      <c r="AA160" s="257">
        <f>(Table6[[#This Row],[Paired WTG Generation for loss calculation]]/24)*Table6[[#This Row],[Breakdown Time]]</f>
        <v>167.21666666666607</v>
      </c>
      <c r="AB160" s="102"/>
      <c r="AC160" s="35"/>
      <c r="AD160" s="35"/>
    </row>
    <row r="161" spans="1:30">
      <c r="A161" s="102">
        <f t="shared" si="3"/>
        <v>160</v>
      </c>
      <c r="B161" s="257">
        <f>YEAR(Table6[[#This Row],[Date]])+IF(MONTH(Table6[[#This Row],[Date]])&gt;=4,1,0)</f>
        <v>2026</v>
      </c>
      <c r="C161" s="102">
        <f>YEAR(Table6[[#This Row],[Date]])</f>
        <v>2025</v>
      </c>
      <c r="D161" s="102" t="s">
        <v>265</v>
      </c>
      <c r="E161" s="258">
        <f>Table6[[#This Row],[Date]]-DAY(Table6[[#This Row],[Date]])+1</f>
        <v>45748</v>
      </c>
      <c r="F161" s="259">
        <v>45758</v>
      </c>
      <c r="G161" s="35" t="s">
        <v>130</v>
      </c>
      <c r="H161" s="35" t="str">
        <f>IFERROR(_xlfn.XLOOKUP(Table6[[#This Row],[Affected WTG]],'Basic Data'!$A:$A,'Basic Data'!$B:$B),"")</f>
        <v>TQGXIIPL</v>
      </c>
      <c r="I161" s="35" t="str">
        <f>IFERROR(_xlfn.XLOOKUP(Table6[[#This Row],[Affected WTG]],'Basic Data'!$A:$A,'Basic Data'!$C:$C),"")</f>
        <v>GEDA</v>
      </c>
      <c r="J161" s="260">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266</v>
      </c>
      <c r="N161" s="264"/>
      <c r="O161" s="265">
        <v>0.78333333333333333</v>
      </c>
      <c r="P161" s="265">
        <v>0.78333333333333333</v>
      </c>
      <c r="Q161" s="266">
        <v>0.79583333333333328</v>
      </c>
      <c r="R161" s="261">
        <f>IF(Table6[[#This Row],[Work Start TimeStamp]]="","",(Table6[[#This Row],[Work Start TimeStamp]]-Table6[[#This Row],[Fault Start TimeStamp]])*24)</f>
        <v>0</v>
      </c>
      <c r="S161" s="261">
        <f>(Table6[[#This Row],[Fault Clearance time]]-Table6[[#This Row],[Work Start TimeStamp]])*24</f>
        <v>0.29999999999999893</v>
      </c>
      <c r="T161" s="261">
        <f>(Table6[[#This Row],[Fault Clearance time]]-Table6[[#This Row],[Fault Start TimeStamp]])*24</f>
        <v>0.29999999999999893</v>
      </c>
      <c r="U161" s="35" t="s">
        <v>310</v>
      </c>
      <c r="V161" s="102" t="s">
        <v>268</v>
      </c>
      <c r="W161" s="267">
        <f>IFERROR(Table6[[#This Row],[Breakdown Time]]*Table6[[#This Row],[Plant Equivalent Weightage]],"")</f>
        <v>1.1538461538461494E-2</v>
      </c>
      <c r="X161" s="262" t="s">
        <v>269</v>
      </c>
      <c r="Y161" s="263" t="s">
        <v>135</v>
      </c>
      <c r="Z161" s="102">
        <v>40132</v>
      </c>
      <c r="AA161" s="257">
        <f>(Table6[[#This Row],[Paired WTG Generation for loss calculation]]/24)*Table6[[#This Row],[Breakdown Time]]</f>
        <v>501.64999999999822</v>
      </c>
      <c r="AB161" s="102"/>
      <c r="AC161" s="35"/>
      <c r="AD161" s="35"/>
    </row>
    <row r="162" spans="1:30">
      <c r="A162" s="102">
        <f t="shared" si="3"/>
        <v>161</v>
      </c>
      <c r="B162" s="257">
        <f>YEAR(Table6[[#This Row],[Date]])+IF(MONTH(Table6[[#This Row],[Date]])&gt;=4,1,0)</f>
        <v>2026</v>
      </c>
      <c r="C162" s="102">
        <f>YEAR(Table6[[#This Row],[Date]])</f>
        <v>2025</v>
      </c>
      <c r="D162" s="102" t="s">
        <v>265</v>
      </c>
      <c r="E162" s="258">
        <f>Table6[[#This Row],[Date]]-DAY(Table6[[#This Row],[Date]])+1</f>
        <v>45748</v>
      </c>
      <c r="F162" s="259">
        <v>45758</v>
      </c>
      <c r="G162" s="35" t="s">
        <v>131</v>
      </c>
      <c r="H162" s="35" t="str">
        <f>IFERROR(_xlfn.XLOOKUP(Table6[[#This Row],[Affected WTG]],'Basic Data'!$A:$A,'Basic Data'!$B:$B),"")</f>
        <v>TQGXIIPL</v>
      </c>
      <c r="I162" s="35" t="str">
        <f>IFERROR(_xlfn.XLOOKUP(Table6[[#This Row],[Affected WTG]],'Basic Data'!$A:$A,'Basic Data'!$C:$C),"")</f>
        <v>GEDA</v>
      </c>
      <c r="J162" s="260">
        <f>IFERROR(_xlfn.XLOOKUP(Table6[[#This Row],[Affected WTG]],'Basic Data'!$A:$A,'Basic Data'!$E:$E),"")</f>
        <v>3.846153846153845E-2</v>
      </c>
      <c r="K162" s="102">
        <v>6605</v>
      </c>
      <c r="L162" s="35" t="str">
        <f>IFERROR(_xlfn.XLOOKUP(Table6[[#This Row],[Error Code]],'Basic Data'!$AA:$AA,'Basic Data'!$AB:$AB),"Incorrect Error Code")</f>
        <v>Wind.dir. diff. level 2</v>
      </c>
      <c r="M162" s="35" t="s">
        <v>266</v>
      </c>
      <c r="N162" s="264"/>
      <c r="O162" s="265">
        <v>0.55347222222222225</v>
      </c>
      <c r="P162" s="265">
        <v>0.55347222222222225</v>
      </c>
      <c r="Q162" s="266">
        <v>0.55555555555555558</v>
      </c>
      <c r="R162" s="261">
        <f>IF(Table6[[#This Row],[Work Start TimeStamp]]="","",(Table6[[#This Row],[Work Start TimeStamp]]-Table6[[#This Row],[Fault Start TimeStamp]])*24)</f>
        <v>0</v>
      </c>
      <c r="S162" s="261">
        <f>(Table6[[#This Row],[Fault Clearance time]]-Table6[[#This Row],[Work Start TimeStamp]])*24</f>
        <v>4.9999999999999822E-2</v>
      </c>
      <c r="T162" s="261">
        <f>(Table6[[#This Row],[Fault Clearance time]]-Table6[[#This Row],[Fault Start TimeStamp]])*24</f>
        <v>4.9999999999999822E-2</v>
      </c>
      <c r="U162" s="35" t="s">
        <v>267</v>
      </c>
      <c r="V162" s="102" t="s">
        <v>268</v>
      </c>
      <c r="W162" s="267">
        <f>IFERROR(Table6[[#This Row],[Breakdown Time]]*Table6[[#This Row],[Plant Equivalent Weightage]],"")</f>
        <v>1.9230769230769156E-3</v>
      </c>
      <c r="X162" s="262" t="s">
        <v>269</v>
      </c>
      <c r="Y162" s="263" t="s">
        <v>136</v>
      </c>
      <c r="Z162" s="102">
        <v>39622</v>
      </c>
      <c r="AA162" s="257">
        <f>(Table6[[#This Row],[Paired WTG Generation for loss calculation]]/24)*Table6[[#This Row],[Breakdown Time]]</f>
        <v>82.54583333333305</v>
      </c>
      <c r="AB162" s="102"/>
      <c r="AC162" s="35"/>
      <c r="AD162" s="35"/>
    </row>
    <row r="163" spans="1:30">
      <c r="A163" s="102">
        <f t="shared" si="3"/>
        <v>162</v>
      </c>
      <c r="B163" s="257">
        <f>YEAR(Table6[[#This Row],[Date]])+IF(MONTH(Table6[[#This Row],[Date]])&gt;=4,1,0)</f>
        <v>2026</v>
      </c>
      <c r="C163" s="102">
        <f>YEAR(Table6[[#This Row],[Date]])</f>
        <v>2025</v>
      </c>
      <c r="D163" s="102" t="s">
        <v>265</v>
      </c>
      <c r="E163" s="258">
        <f>Table6[[#This Row],[Date]]-DAY(Table6[[#This Row],[Date]])+1</f>
        <v>45748</v>
      </c>
      <c r="F163" s="259">
        <v>45758</v>
      </c>
      <c r="G163" s="35" t="s">
        <v>132</v>
      </c>
      <c r="H163" s="35" t="str">
        <f>IFERROR(_xlfn.XLOOKUP(Table6[[#This Row],[Affected WTG]],'Basic Data'!$A:$A,'Basic Data'!$B:$B),"")</f>
        <v>TQGXIIPL</v>
      </c>
      <c r="I163" s="35" t="str">
        <f>IFERROR(_xlfn.XLOOKUP(Table6[[#This Row],[Affected WTG]],'Basic Data'!$A:$A,'Basic Data'!$C:$C),"")</f>
        <v>GEDA</v>
      </c>
      <c r="J163" s="260">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266</v>
      </c>
      <c r="N163" s="264"/>
      <c r="O163" s="265">
        <v>5.9027777777777776E-2</v>
      </c>
      <c r="P163" s="265">
        <v>5.9027777777777776E-2</v>
      </c>
      <c r="Q163" s="266">
        <v>6.7361111111111108E-2</v>
      </c>
      <c r="R163" s="261">
        <f>IF(Table6[[#This Row],[Work Start TimeStamp]]="","",(Table6[[#This Row],[Work Start TimeStamp]]-Table6[[#This Row],[Fault Start TimeStamp]])*24)</f>
        <v>0</v>
      </c>
      <c r="S163" s="261">
        <f>(Table6[[#This Row],[Fault Clearance time]]-Table6[[#This Row],[Work Start TimeStamp]])*24</f>
        <v>0.19999999999999996</v>
      </c>
      <c r="T163" s="261">
        <f>(Table6[[#This Row],[Fault Clearance time]]-Table6[[#This Row],[Fault Start TimeStamp]])*24</f>
        <v>0.19999999999999996</v>
      </c>
      <c r="U163" s="35" t="s">
        <v>310</v>
      </c>
      <c r="V163" s="102" t="s">
        <v>268</v>
      </c>
      <c r="W163" s="267">
        <f>IFERROR(Table6[[#This Row],[Breakdown Time]]*Table6[[#This Row],[Plant Equivalent Weightage]],"")</f>
        <v>7.6923076923076884E-3</v>
      </c>
      <c r="X163" s="262" t="s">
        <v>269</v>
      </c>
      <c r="Y163" s="263" t="s">
        <v>120</v>
      </c>
      <c r="Z163" s="102">
        <v>39764</v>
      </c>
      <c r="AA163" s="257">
        <f>(Table6[[#This Row],[Paired WTG Generation for loss calculation]]/24)*Table6[[#This Row],[Breakdown Time]]</f>
        <v>331.36666666666656</v>
      </c>
      <c r="AB163" s="102"/>
      <c r="AC163" s="35"/>
      <c r="AD163" s="35"/>
    </row>
    <row r="164" spans="1:30">
      <c r="A164" s="102">
        <f t="shared" si="3"/>
        <v>163</v>
      </c>
      <c r="B164" s="257">
        <f>YEAR(Table6[[#This Row],[Date]])+IF(MONTH(Table6[[#This Row],[Date]])&gt;=4,1,0)</f>
        <v>2026</v>
      </c>
      <c r="C164" s="102">
        <f>YEAR(Table6[[#This Row],[Date]])</f>
        <v>2025</v>
      </c>
      <c r="D164" s="102" t="s">
        <v>265</v>
      </c>
      <c r="E164" s="258">
        <f>Table6[[#This Row],[Date]]-DAY(Table6[[#This Row],[Date]])+1</f>
        <v>45748</v>
      </c>
      <c r="F164" s="259">
        <v>45758</v>
      </c>
      <c r="G164" s="35" t="s">
        <v>132</v>
      </c>
      <c r="H164" s="35" t="str">
        <f>IFERROR(_xlfn.XLOOKUP(Table6[[#This Row],[Affected WTG]],'Basic Data'!$A:$A,'Basic Data'!$B:$B),"")</f>
        <v>TQGXIIPL</v>
      </c>
      <c r="I164" s="35" t="str">
        <f>IFERROR(_xlfn.XLOOKUP(Table6[[#This Row],[Affected WTG]],'Basic Data'!$A:$A,'Basic Data'!$C:$C),"")</f>
        <v>GEDA</v>
      </c>
      <c r="J164" s="260">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266</v>
      </c>
      <c r="N164" s="264"/>
      <c r="O164" s="265">
        <v>0.62986111111111109</v>
      </c>
      <c r="P164" s="265">
        <v>0.62986111111111109</v>
      </c>
      <c r="Q164" s="266">
        <v>0.63194444444444442</v>
      </c>
      <c r="R164" s="261">
        <f>IF(Table6[[#This Row],[Work Start TimeStamp]]="","",(Table6[[#This Row],[Work Start TimeStamp]]-Table6[[#This Row],[Fault Start TimeStamp]])*24)</f>
        <v>0</v>
      </c>
      <c r="S164" s="261">
        <f>(Table6[[#This Row],[Fault Clearance time]]-Table6[[#This Row],[Work Start TimeStamp]])*24</f>
        <v>4.9999999999999822E-2</v>
      </c>
      <c r="T164" s="261">
        <f>(Table6[[#This Row],[Fault Clearance time]]-Table6[[#This Row],[Fault Start TimeStamp]])*24</f>
        <v>4.9999999999999822E-2</v>
      </c>
      <c r="U164" s="35" t="s">
        <v>267</v>
      </c>
      <c r="V164" s="102" t="s">
        <v>268</v>
      </c>
      <c r="W164" s="267">
        <f>IFERROR(Table6[[#This Row],[Breakdown Time]]*Table6[[#This Row],[Plant Equivalent Weightage]],"")</f>
        <v>1.9230769230769156E-3</v>
      </c>
      <c r="X164" s="262" t="s">
        <v>269</v>
      </c>
      <c r="Y164" s="263" t="s">
        <v>120</v>
      </c>
      <c r="Z164" s="102">
        <v>39764</v>
      </c>
      <c r="AA164" s="257">
        <f>(Table6[[#This Row],[Paired WTG Generation for loss calculation]]/24)*Table6[[#This Row],[Breakdown Time]]</f>
        <v>82.84166666666637</v>
      </c>
      <c r="AB164" s="102"/>
      <c r="AC164" s="35"/>
      <c r="AD164" s="35"/>
    </row>
    <row r="165" spans="1:30">
      <c r="A165" s="102">
        <f t="shared" si="3"/>
        <v>164</v>
      </c>
      <c r="B165" s="257">
        <f>YEAR(Table6[[#This Row],[Date]])+IF(MONTH(Table6[[#This Row],[Date]])&gt;=4,1,0)</f>
        <v>2026</v>
      </c>
      <c r="C165" s="102">
        <f>YEAR(Table6[[#This Row],[Date]])</f>
        <v>2025</v>
      </c>
      <c r="D165" s="102" t="s">
        <v>265</v>
      </c>
      <c r="E165" s="258">
        <f>Table6[[#This Row],[Date]]-DAY(Table6[[#This Row],[Date]])+1</f>
        <v>45748</v>
      </c>
      <c r="F165" s="259">
        <v>45758</v>
      </c>
      <c r="G165" s="35" t="s">
        <v>132</v>
      </c>
      <c r="H165" s="35" t="str">
        <f>IFERROR(_xlfn.XLOOKUP(Table6[[#This Row],[Affected WTG]],'Basic Data'!$A:$A,'Basic Data'!$B:$B),"")</f>
        <v>TQGXIIPL</v>
      </c>
      <c r="I165" s="35" t="str">
        <f>IFERROR(_xlfn.XLOOKUP(Table6[[#This Row],[Affected WTG]],'Basic Data'!$A:$A,'Basic Data'!$C:$C),"")</f>
        <v>GEDA</v>
      </c>
      <c r="J165" s="260">
        <f>IFERROR(_xlfn.XLOOKUP(Table6[[#This Row],[Affected WTG]],'Basic Data'!$A:$A,'Basic Data'!$E:$E),"")</f>
        <v>3.846153846153845E-2</v>
      </c>
      <c r="K165" s="102">
        <v>6130</v>
      </c>
      <c r="L165" s="35" t="str">
        <f>IFERROR(_xlfn.XLOOKUP(Table6[[#This Row],[Error Code]],'Basic Data'!$AA:$AA,'Basic Data'!$AB:$AB),"Incorrect Error Code")</f>
        <v>Yaw speed high</v>
      </c>
      <c r="M165" s="35" t="s">
        <v>278</v>
      </c>
      <c r="N165" s="264"/>
      <c r="O165" s="265">
        <v>0.6479166666666667</v>
      </c>
      <c r="P165" s="265">
        <v>0.6479166666666667</v>
      </c>
      <c r="Q165" s="266">
        <v>0.65208333333333335</v>
      </c>
      <c r="R165" s="261">
        <f>IF(Table6[[#This Row],[Work Start TimeStamp]]="","",(Table6[[#This Row],[Work Start TimeStamp]]-Table6[[#This Row],[Fault Start TimeStamp]])*24)</f>
        <v>0</v>
      </c>
      <c r="S165" s="261">
        <f>(Table6[[#This Row],[Fault Clearance time]]-Table6[[#This Row],[Work Start TimeStamp]])*24</f>
        <v>9.9999999999999645E-2</v>
      </c>
      <c r="T165" s="261">
        <f>(Table6[[#This Row],[Fault Clearance time]]-Table6[[#This Row],[Fault Start TimeStamp]])*24</f>
        <v>9.9999999999999645E-2</v>
      </c>
      <c r="U165" s="35" t="s">
        <v>277</v>
      </c>
      <c r="V165" s="102" t="s">
        <v>268</v>
      </c>
      <c r="W165" s="267">
        <f>IFERROR(Table6[[#This Row],[Breakdown Time]]*Table6[[#This Row],[Plant Equivalent Weightage]],"")</f>
        <v>3.8461538461538312E-3</v>
      </c>
      <c r="X165" s="262" t="s">
        <v>269</v>
      </c>
      <c r="Y165" s="263" t="s">
        <v>120</v>
      </c>
      <c r="Z165" s="102">
        <v>39764</v>
      </c>
      <c r="AA165" s="257">
        <f>(Table6[[#This Row],[Paired WTG Generation for loss calculation]]/24)*Table6[[#This Row],[Breakdown Time]]</f>
        <v>165.68333333333274</v>
      </c>
      <c r="AB165" s="102"/>
      <c r="AC165" s="35"/>
      <c r="AD165" s="35"/>
    </row>
    <row r="166" spans="1:30">
      <c r="A166" s="102">
        <f t="shared" si="3"/>
        <v>165</v>
      </c>
      <c r="B166" s="257">
        <f>YEAR(Table6[[#This Row],[Date]])+IF(MONTH(Table6[[#This Row],[Date]])&gt;=4,1,0)</f>
        <v>2026</v>
      </c>
      <c r="C166" s="102">
        <f>YEAR(Table6[[#This Row],[Date]])</f>
        <v>2025</v>
      </c>
      <c r="D166" s="102" t="s">
        <v>265</v>
      </c>
      <c r="E166" s="258">
        <f>Table6[[#This Row],[Date]]-DAY(Table6[[#This Row],[Date]])+1</f>
        <v>45748</v>
      </c>
      <c r="F166" s="259">
        <v>45758</v>
      </c>
      <c r="G166" s="35" t="s">
        <v>137</v>
      </c>
      <c r="H166" s="35" t="str">
        <f>IFERROR(_xlfn.XLOOKUP(Table6[[#This Row],[Affected WTG]],'Basic Data'!$A:$A,'Basic Data'!$B:$B),"")</f>
        <v>TQGXIIPL</v>
      </c>
      <c r="I166" s="35" t="str">
        <f>IFERROR(_xlfn.XLOOKUP(Table6[[#This Row],[Affected WTG]],'Basic Data'!$A:$A,'Basic Data'!$C:$C),"")</f>
        <v>GEDA</v>
      </c>
      <c r="J166" s="260">
        <f>IFERROR(_xlfn.XLOOKUP(Table6[[#This Row],[Affected WTG]],'Basic Data'!$A:$A,'Basic Data'!$E:$E),"")</f>
        <v>3.846153846153845E-2</v>
      </c>
      <c r="K166" s="102">
        <v>6130</v>
      </c>
      <c r="L166" s="35" t="str">
        <f>IFERROR(_xlfn.XLOOKUP(Table6[[#This Row],[Error Code]],'Basic Data'!$AA:$AA,'Basic Data'!$AB:$AB),"Incorrect Error Code")</f>
        <v>Yaw speed high</v>
      </c>
      <c r="M166" s="35" t="s">
        <v>278</v>
      </c>
      <c r="N166" s="264"/>
      <c r="O166" s="265">
        <v>0.56805555555555554</v>
      </c>
      <c r="P166" s="265">
        <v>0.56805555555555554</v>
      </c>
      <c r="Q166" s="266">
        <v>0.57222222222222219</v>
      </c>
      <c r="R166" s="261">
        <f>IF(Table6[[#This Row],[Work Start TimeStamp]]="","",(Table6[[#This Row],[Work Start TimeStamp]]-Table6[[#This Row],[Fault Start TimeStamp]])*24)</f>
        <v>0</v>
      </c>
      <c r="S166" s="261">
        <f>(Table6[[#This Row],[Fault Clearance time]]-Table6[[#This Row],[Work Start TimeStamp]])*24</f>
        <v>9.9999999999999645E-2</v>
      </c>
      <c r="T166" s="261">
        <f>(Table6[[#This Row],[Fault Clearance time]]-Table6[[#This Row],[Fault Start TimeStamp]])*24</f>
        <v>9.9999999999999645E-2</v>
      </c>
      <c r="U166" s="35" t="s">
        <v>277</v>
      </c>
      <c r="V166" s="102" t="s">
        <v>268</v>
      </c>
      <c r="W166" s="267">
        <f>IFERROR(Table6[[#This Row],[Breakdown Time]]*Table6[[#This Row],[Plant Equivalent Weightage]],"")</f>
        <v>3.8461538461538312E-3</v>
      </c>
      <c r="X166" s="262" t="s">
        <v>269</v>
      </c>
      <c r="Y166" s="263" t="s">
        <v>125</v>
      </c>
      <c r="Z166" s="102">
        <v>37304</v>
      </c>
      <c r="AA166" s="257">
        <f>(Table6[[#This Row],[Paired WTG Generation for loss calculation]]/24)*Table6[[#This Row],[Breakdown Time]]</f>
        <v>155.43333333333277</v>
      </c>
      <c r="AB166" s="102"/>
      <c r="AC166" s="35"/>
      <c r="AD166" s="35"/>
    </row>
    <row r="167" spans="1:30">
      <c r="A167" s="102">
        <f t="shared" si="3"/>
        <v>166</v>
      </c>
      <c r="B167" s="257">
        <f>YEAR(Table6[[#This Row],[Date]])+IF(MONTH(Table6[[#This Row],[Date]])&gt;=4,1,0)</f>
        <v>2026</v>
      </c>
      <c r="C167" s="102">
        <f>YEAR(Table6[[#This Row],[Date]])</f>
        <v>2025</v>
      </c>
      <c r="D167" s="102" t="s">
        <v>265</v>
      </c>
      <c r="E167" s="258">
        <f>Table6[[#This Row],[Date]]-DAY(Table6[[#This Row],[Date]])+1</f>
        <v>45748</v>
      </c>
      <c r="F167" s="259">
        <v>45758</v>
      </c>
      <c r="G167" s="35" t="s">
        <v>137</v>
      </c>
      <c r="H167" s="35" t="str">
        <f>IFERROR(_xlfn.XLOOKUP(Table6[[#This Row],[Affected WTG]],'Basic Data'!$A:$A,'Basic Data'!$B:$B),"")</f>
        <v>TQGXIIPL</v>
      </c>
      <c r="I167" s="35" t="str">
        <f>IFERROR(_xlfn.XLOOKUP(Table6[[#This Row],[Affected WTG]],'Basic Data'!$A:$A,'Basic Data'!$C:$C),"")</f>
        <v>GEDA</v>
      </c>
      <c r="J167" s="260">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266</v>
      </c>
      <c r="N167" s="264"/>
      <c r="O167" s="265">
        <v>0.63958333333333328</v>
      </c>
      <c r="P167" s="265">
        <v>0.63958333333333328</v>
      </c>
      <c r="Q167" s="266">
        <v>0.64444444444444449</v>
      </c>
      <c r="R167" s="261">
        <f>IF(Table6[[#This Row],[Work Start TimeStamp]]="","",(Table6[[#This Row],[Work Start TimeStamp]]-Table6[[#This Row],[Fault Start TimeStamp]])*24)</f>
        <v>0</v>
      </c>
      <c r="S167" s="261">
        <f>(Table6[[#This Row],[Fault Clearance time]]-Table6[[#This Row],[Work Start TimeStamp]])*24</f>
        <v>0.11666666666666892</v>
      </c>
      <c r="T167" s="261">
        <f>(Table6[[#This Row],[Fault Clearance time]]-Table6[[#This Row],[Fault Start TimeStamp]])*24</f>
        <v>0.11666666666666892</v>
      </c>
      <c r="U167" s="35" t="s">
        <v>267</v>
      </c>
      <c r="V167" s="102" t="s">
        <v>268</v>
      </c>
      <c r="W167" s="267">
        <f>IFERROR(Table6[[#This Row],[Breakdown Time]]*Table6[[#This Row],[Plant Equivalent Weightage]],"")</f>
        <v>4.4871794871795727E-3</v>
      </c>
      <c r="X167" s="262" t="s">
        <v>269</v>
      </c>
      <c r="Y167" s="263" t="s">
        <v>125</v>
      </c>
      <c r="Z167" s="102">
        <v>37304</v>
      </c>
      <c r="AA167" s="257">
        <f>(Table6[[#This Row],[Paired WTG Generation for loss calculation]]/24)*Table6[[#This Row],[Breakdown Time]]</f>
        <v>181.33888888889237</v>
      </c>
      <c r="AB167" s="102"/>
      <c r="AC167" s="35"/>
      <c r="AD167" s="35"/>
    </row>
    <row r="168" spans="1:30">
      <c r="A168" s="102">
        <f t="shared" si="3"/>
        <v>167</v>
      </c>
      <c r="B168" s="257">
        <f>YEAR(Table6[[#This Row],[Date]])+IF(MONTH(Table6[[#This Row],[Date]])&gt;=4,1,0)</f>
        <v>2026</v>
      </c>
      <c r="C168" s="102">
        <f>YEAR(Table6[[#This Row],[Date]])</f>
        <v>2025</v>
      </c>
      <c r="D168" s="102" t="s">
        <v>265</v>
      </c>
      <c r="E168" s="258">
        <f>Table6[[#This Row],[Date]]-DAY(Table6[[#This Row],[Date]])+1</f>
        <v>45748</v>
      </c>
      <c r="F168" s="259">
        <v>45758</v>
      </c>
      <c r="G168" s="35" t="s">
        <v>138</v>
      </c>
      <c r="H168" s="35" t="str">
        <f>IFERROR(_xlfn.XLOOKUP(Table6[[#This Row],[Affected WTG]],'Basic Data'!$A:$A,'Basic Data'!$B:$B),"")</f>
        <v>TQGXIIPL</v>
      </c>
      <c r="I168" s="35" t="str">
        <f>IFERROR(_xlfn.XLOOKUP(Table6[[#This Row],[Affected WTG]],'Basic Data'!$A:$A,'Basic Data'!$C:$C),"")</f>
        <v>GEDA</v>
      </c>
      <c r="J168" s="260">
        <f>IFERROR(_xlfn.XLOOKUP(Table6[[#This Row],[Affected WTG]],'Basic Data'!$A:$A,'Basic Data'!$E:$E),"")</f>
        <v>3.846153846153845E-2</v>
      </c>
      <c r="K168" s="102">
        <v>6130</v>
      </c>
      <c r="L168" s="35" t="str">
        <f>IFERROR(_xlfn.XLOOKUP(Table6[[#This Row],[Error Code]],'Basic Data'!$AA:$AA,'Basic Data'!$AB:$AB),"Incorrect Error Code")</f>
        <v>Yaw speed high</v>
      </c>
      <c r="M168" s="35" t="s">
        <v>278</v>
      </c>
      <c r="N168" s="264"/>
      <c r="O168" s="265">
        <v>0.57638888888888884</v>
      </c>
      <c r="P168" s="265">
        <v>0.57638888888888884</v>
      </c>
      <c r="Q168" s="266">
        <v>0.5805555555555556</v>
      </c>
      <c r="R168" s="261">
        <f>IF(Table6[[#This Row],[Work Start TimeStamp]]="","",(Table6[[#This Row],[Work Start TimeStamp]]-Table6[[#This Row],[Fault Start TimeStamp]])*24)</f>
        <v>0</v>
      </c>
      <c r="S168" s="261">
        <f>(Table6[[#This Row],[Fault Clearance time]]-Table6[[#This Row],[Work Start TimeStamp]])*24</f>
        <v>0.10000000000000231</v>
      </c>
      <c r="T168" s="261">
        <f>(Table6[[#This Row],[Fault Clearance time]]-Table6[[#This Row],[Fault Start TimeStamp]])*24</f>
        <v>0.10000000000000231</v>
      </c>
      <c r="U168" s="35" t="s">
        <v>277</v>
      </c>
      <c r="V168" s="102" t="s">
        <v>268</v>
      </c>
      <c r="W168" s="267">
        <f>IFERROR(Table6[[#This Row],[Breakdown Time]]*Table6[[#This Row],[Plant Equivalent Weightage]],"")</f>
        <v>3.846153846153934E-3</v>
      </c>
      <c r="X168" s="262" t="s">
        <v>269</v>
      </c>
      <c r="Y168" s="263" t="s">
        <v>134</v>
      </c>
      <c r="Z168" s="102">
        <v>40190</v>
      </c>
      <c r="AA168" s="257">
        <f>(Table6[[#This Row],[Paired WTG Generation for loss calculation]]/24)*Table6[[#This Row],[Breakdown Time]]</f>
        <v>167.45833333333718</v>
      </c>
      <c r="AB168" s="102"/>
      <c r="AC168" s="35"/>
      <c r="AD168" s="35"/>
    </row>
    <row r="169" spans="1:30">
      <c r="A169" s="102">
        <f t="shared" si="3"/>
        <v>168</v>
      </c>
      <c r="B169" s="257">
        <f>YEAR(Table6[[#This Row],[Date]])+IF(MONTH(Table6[[#This Row],[Date]])&gt;=4,1,0)</f>
        <v>2026</v>
      </c>
      <c r="C169" s="102">
        <f>YEAR(Table6[[#This Row],[Date]])</f>
        <v>2025</v>
      </c>
      <c r="D169" s="102" t="s">
        <v>265</v>
      </c>
      <c r="E169" s="258">
        <f>Table6[[#This Row],[Date]]-DAY(Table6[[#This Row],[Date]])+1</f>
        <v>45748</v>
      </c>
      <c r="F169" s="259">
        <v>45758</v>
      </c>
      <c r="G169" s="35" t="s">
        <v>139</v>
      </c>
      <c r="H169" s="35" t="str">
        <f>IFERROR(_xlfn.XLOOKUP(Table6[[#This Row],[Affected WTG]],'Basic Data'!$A:$A,'Basic Data'!$B:$B),"")</f>
        <v>TQGXIIPL</v>
      </c>
      <c r="I169" s="35" t="str">
        <f>IFERROR(_xlfn.XLOOKUP(Table6[[#This Row],[Affected WTG]],'Basic Data'!$A:$A,'Basic Data'!$C:$C),"")</f>
        <v>GEDA</v>
      </c>
      <c r="J169" s="260">
        <f>IFERROR(_xlfn.XLOOKUP(Table6[[#This Row],[Affected WTG]],'Basic Data'!$A:$A,'Basic Data'!$E:$E),"")</f>
        <v>3.846153846153845E-2</v>
      </c>
      <c r="K169" s="102">
        <v>6130</v>
      </c>
      <c r="L169" s="35" t="str">
        <f>IFERROR(_xlfn.XLOOKUP(Table6[[#This Row],[Error Code]],'Basic Data'!$AA:$AA,'Basic Data'!$AB:$AB),"Incorrect Error Code")</f>
        <v>Yaw speed high</v>
      </c>
      <c r="M169" s="35" t="s">
        <v>278</v>
      </c>
      <c r="N169" s="264"/>
      <c r="O169" s="265">
        <v>0.4826388888888889</v>
      </c>
      <c r="P169" s="265">
        <v>0.4826388888888889</v>
      </c>
      <c r="Q169" s="266">
        <v>0.48680555555555555</v>
      </c>
      <c r="R169" s="261">
        <f>IF(Table6[[#This Row],[Work Start TimeStamp]]="","",(Table6[[#This Row],[Work Start TimeStamp]]-Table6[[#This Row],[Fault Start TimeStamp]])*24)</f>
        <v>0</v>
      </c>
      <c r="S169" s="261">
        <f>(Table6[[#This Row],[Fault Clearance time]]-Table6[[#This Row],[Work Start TimeStamp]])*24</f>
        <v>9.9999999999999645E-2</v>
      </c>
      <c r="T169" s="261">
        <f>(Table6[[#This Row],[Fault Clearance time]]-Table6[[#This Row],[Fault Start TimeStamp]])*24</f>
        <v>9.9999999999999645E-2</v>
      </c>
      <c r="U169" s="35" t="s">
        <v>277</v>
      </c>
      <c r="V169" s="102" t="s">
        <v>268</v>
      </c>
      <c r="W169" s="267">
        <f>IFERROR(Table6[[#This Row],[Breakdown Time]]*Table6[[#This Row],[Plant Equivalent Weightage]],"")</f>
        <v>3.8461538461538312E-3</v>
      </c>
      <c r="X169" s="262" t="s">
        <v>269</v>
      </c>
      <c r="Y169" s="263" t="s">
        <v>115</v>
      </c>
      <c r="Z169" s="102">
        <v>41447</v>
      </c>
      <c r="AA169" s="257">
        <f>(Table6[[#This Row],[Paired WTG Generation for loss calculation]]/24)*Table6[[#This Row],[Breakdown Time]]</f>
        <v>172.6958333333327</v>
      </c>
      <c r="AB169" s="102"/>
      <c r="AC169" s="35"/>
      <c r="AD169" s="35"/>
    </row>
    <row r="170" spans="1:30">
      <c r="A170" s="102">
        <f t="shared" si="3"/>
        <v>169</v>
      </c>
      <c r="B170" s="257">
        <f>YEAR(Table6[[#This Row],[Date]])+IF(MONTH(Table6[[#This Row],[Date]])&gt;=4,1,0)</f>
        <v>2026</v>
      </c>
      <c r="C170" s="102">
        <f>YEAR(Table6[[#This Row],[Date]])</f>
        <v>2025</v>
      </c>
      <c r="D170" s="102" t="s">
        <v>265</v>
      </c>
      <c r="E170" s="258">
        <f>Table6[[#This Row],[Date]]-DAY(Table6[[#This Row],[Date]])+1</f>
        <v>45748</v>
      </c>
      <c r="F170" s="259">
        <v>45759</v>
      </c>
      <c r="G170" s="35" t="s">
        <v>115</v>
      </c>
      <c r="H170" s="35" t="str">
        <f>IFERROR(_xlfn.XLOOKUP(Table6[[#This Row],[Affected WTG]],'Basic Data'!$A:$A,'Basic Data'!$B:$B),"")</f>
        <v>TQGXIIPL</v>
      </c>
      <c r="I170" s="35" t="str">
        <f>IFERROR(_xlfn.XLOOKUP(Table6[[#This Row],[Affected WTG]],'Basic Data'!$A:$A,'Basic Data'!$C:$C),"")</f>
        <v>GEDA</v>
      </c>
      <c r="J170" s="260">
        <f>IFERROR(_xlfn.XLOOKUP(Table6[[#This Row],[Affected WTG]],'Basic Data'!$A:$A,'Basic Data'!$E:$E),"")</f>
        <v>3.846153846153845E-2</v>
      </c>
      <c r="K170" s="102">
        <v>55</v>
      </c>
      <c r="L170" s="35" t="str">
        <f>IFERROR(_xlfn.XLOOKUP(Table6[[#This Row],[Error Code]],'Basic Data'!$AA:$AA,'Basic Data'!$AB:$AB),"Incorrect Error Code")</f>
        <v>WTG shut down</v>
      </c>
      <c r="M170" s="35" t="s">
        <v>266</v>
      </c>
      <c r="N170" s="264"/>
      <c r="O170" s="265">
        <v>0.44305555555555554</v>
      </c>
      <c r="P170" s="265">
        <v>0.44305555555555554</v>
      </c>
      <c r="Q170" s="266">
        <v>0.47916666666666669</v>
      </c>
      <c r="R170" s="261">
        <f>IF(Table6[[#This Row],[Work Start TimeStamp]]="","",(Table6[[#This Row],[Work Start TimeStamp]]-Table6[[#This Row],[Fault Start TimeStamp]])*24)</f>
        <v>0</v>
      </c>
      <c r="S170" s="261">
        <f>(Table6[[#This Row],[Fault Clearance time]]-Table6[[#This Row],[Work Start TimeStamp]])*24</f>
        <v>0.86666666666666758</v>
      </c>
      <c r="T170" s="261">
        <f>(Table6[[#This Row],[Fault Clearance time]]-Table6[[#This Row],[Fault Start TimeStamp]])*24</f>
        <v>0.86666666666666758</v>
      </c>
      <c r="U170" s="35" t="s">
        <v>318</v>
      </c>
      <c r="V170" s="102" t="s">
        <v>268</v>
      </c>
      <c r="W170" s="267">
        <f>IFERROR(Table6[[#This Row],[Breakdown Time]]*Table6[[#This Row],[Plant Equivalent Weightage]],"")</f>
        <v>3.3333333333333361E-2</v>
      </c>
      <c r="X170" s="262" t="s">
        <v>269</v>
      </c>
      <c r="Y170" s="263" t="s">
        <v>122</v>
      </c>
      <c r="Z170" s="102">
        <v>7028</v>
      </c>
      <c r="AA170" s="257">
        <f>(Table6[[#This Row],[Paired WTG Generation for loss calculation]]/24)*Table6[[#This Row],[Breakdown Time]]</f>
        <v>253.78888888888915</v>
      </c>
      <c r="AB170" s="102"/>
      <c r="AC170" s="35"/>
      <c r="AD170" s="35"/>
    </row>
    <row r="171" spans="1:30">
      <c r="A171" s="102">
        <f t="shared" si="3"/>
        <v>170</v>
      </c>
      <c r="B171" s="257">
        <f>YEAR(Table6[[#This Row],[Date]])+IF(MONTH(Table6[[#This Row],[Date]])&gt;=4,1,0)</f>
        <v>2026</v>
      </c>
      <c r="C171" s="102">
        <f>YEAR(Table6[[#This Row],[Date]])</f>
        <v>2025</v>
      </c>
      <c r="D171" s="102" t="s">
        <v>265</v>
      </c>
      <c r="E171" s="258">
        <f>Table6[[#This Row],[Date]]-DAY(Table6[[#This Row],[Date]])+1</f>
        <v>45748</v>
      </c>
      <c r="F171" s="259">
        <v>45759</v>
      </c>
      <c r="G171" s="35" t="s">
        <v>117</v>
      </c>
      <c r="H171" s="35" t="str">
        <f>IFERROR(_xlfn.XLOOKUP(Table6[[#This Row],[Affected WTG]],'Basic Data'!$A:$A,'Basic Data'!$B:$B),"")</f>
        <v>TQGXIIPL</v>
      </c>
      <c r="I171" s="35" t="str">
        <f>IFERROR(_xlfn.XLOOKUP(Table6[[#This Row],[Affected WTG]],'Basic Data'!$A:$A,'Basic Data'!$C:$C),"")</f>
        <v>GEDA</v>
      </c>
      <c r="J171" s="260">
        <f>IFERROR(_xlfn.XLOOKUP(Table6[[#This Row],[Affected WTG]],'Basic Data'!$A:$A,'Basic Data'!$E:$E),"")</f>
        <v>3.846153846153845E-2</v>
      </c>
      <c r="K171" s="102">
        <v>741</v>
      </c>
      <c r="L171" s="35" t="str">
        <f>IFERROR(_xlfn.XLOOKUP(Table6[[#This Row],[Error Code]],'Basic Data'!$AA:$AA,'Basic Data'!$AB:$AB),"Incorrect Error Code")</f>
        <v>Battery drive trigger by HC</v>
      </c>
      <c r="M171" s="35" t="s">
        <v>266</v>
      </c>
      <c r="N171" s="264"/>
      <c r="O171" s="265">
        <v>0.31388888888888888</v>
      </c>
      <c r="P171" s="265">
        <v>0.31388888888888888</v>
      </c>
      <c r="Q171" s="266">
        <v>0.35</v>
      </c>
      <c r="R171" s="261">
        <f>IF(Table6[[#This Row],[Work Start TimeStamp]]="","",(Table6[[#This Row],[Work Start TimeStamp]]-Table6[[#This Row],[Fault Start TimeStamp]])*24)</f>
        <v>0</v>
      </c>
      <c r="S171" s="261">
        <f>(Table6[[#This Row],[Fault Clearance time]]-Table6[[#This Row],[Work Start TimeStamp]])*24</f>
        <v>0.86666666666666625</v>
      </c>
      <c r="T171" s="261">
        <f>(Table6[[#This Row],[Fault Clearance time]]-Table6[[#This Row],[Fault Start TimeStamp]])*24</f>
        <v>0.86666666666666625</v>
      </c>
      <c r="U171" s="35" t="s">
        <v>310</v>
      </c>
      <c r="V171" s="102" t="s">
        <v>268</v>
      </c>
      <c r="W171" s="267">
        <f>IFERROR(Table6[[#This Row],[Breakdown Time]]*Table6[[#This Row],[Plant Equivalent Weightage]],"")</f>
        <v>3.3333333333333305E-2</v>
      </c>
      <c r="X171" s="262" t="s">
        <v>269</v>
      </c>
      <c r="Y171" s="263" t="s">
        <v>123</v>
      </c>
      <c r="Z171" s="102">
        <v>7345</v>
      </c>
      <c r="AA171" s="257">
        <f>(Table6[[#This Row],[Paired WTG Generation for loss calculation]]/24)*Table6[[#This Row],[Breakdown Time]]</f>
        <v>265.23611111111103</v>
      </c>
      <c r="AB171" s="102"/>
      <c r="AC171" s="35"/>
      <c r="AD171" s="35"/>
    </row>
    <row r="172" spans="1:30">
      <c r="A172" s="102">
        <f t="shared" si="3"/>
        <v>171</v>
      </c>
      <c r="B172" s="257">
        <f>YEAR(Table6[[#This Row],[Date]])+IF(MONTH(Table6[[#This Row],[Date]])&gt;=4,1,0)</f>
        <v>2026</v>
      </c>
      <c r="C172" s="102">
        <f>YEAR(Table6[[#This Row],[Date]])</f>
        <v>2025</v>
      </c>
      <c r="D172" s="102" t="s">
        <v>265</v>
      </c>
      <c r="E172" s="258">
        <f>Table6[[#This Row],[Date]]-DAY(Table6[[#This Row],[Date]])+1</f>
        <v>45748</v>
      </c>
      <c r="F172" s="259">
        <v>45759</v>
      </c>
      <c r="G172" s="35" t="s">
        <v>119</v>
      </c>
      <c r="H172" s="35" t="str">
        <f>IFERROR(_xlfn.XLOOKUP(Table6[[#This Row],[Affected WTG]],'Basic Data'!$A:$A,'Basic Data'!$B:$B),"")</f>
        <v>TQGXIIPL</v>
      </c>
      <c r="I172" s="35" t="str">
        <f>IFERROR(_xlfn.XLOOKUP(Table6[[#This Row],[Affected WTG]],'Basic Data'!$A:$A,'Basic Data'!$C:$C),"")</f>
        <v>GEDA</v>
      </c>
      <c r="J172" s="260">
        <f>IFERROR(_xlfn.XLOOKUP(Table6[[#This Row],[Affected WTG]],'Basic Data'!$A:$A,'Basic Data'!$E:$E),"")</f>
        <v>3.846153846153845E-2</v>
      </c>
      <c r="K172" s="102">
        <v>55</v>
      </c>
      <c r="L172" s="35" t="str">
        <f>IFERROR(_xlfn.XLOOKUP(Table6[[#This Row],[Error Code]],'Basic Data'!$AA:$AA,'Basic Data'!$AB:$AB),"Incorrect Error Code")</f>
        <v>WTG shut down</v>
      </c>
      <c r="M172" s="35" t="s">
        <v>266</v>
      </c>
      <c r="N172" s="264"/>
      <c r="O172" s="265">
        <v>0.4826388888888889</v>
      </c>
      <c r="P172" s="265">
        <v>0.4826388888888889</v>
      </c>
      <c r="Q172" s="266">
        <v>0.4909722222222222</v>
      </c>
      <c r="R172" s="261">
        <f>IF(Table6[[#This Row],[Work Start TimeStamp]]="","",(Table6[[#This Row],[Work Start TimeStamp]]-Table6[[#This Row],[Fault Start TimeStamp]])*24)</f>
        <v>0</v>
      </c>
      <c r="S172" s="261">
        <f>(Table6[[#This Row],[Fault Clearance time]]-Table6[[#This Row],[Work Start TimeStamp]])*24</f>
        <v>0.19999999999999929</v>
      </c>
      <c r="T172" s="261">
        <f>(Table6[[#This Row],[Fault Clearance time]]-Table6[[#This Row],[Fault Start TimeStamp]])*24</f>
        <v>0.19999999999999929</v>
      </c>
      <c r="U172" s="35" t="s">
        <v>318</v>
      </c>
      <c r="V172" s="102" t="s">
        <v>268</v>
      </c>
      <c r="W172" s="267">
        <f>IFERROR(Table6[[#This Row],[Breakdown Time]]*Table6[[#This Row],[Plant Equivalent Weightage]],"")</f>
        <v>7.6923076923076624E-3</v>
      </c>
      <c r="X172" s="262" t="s">
        <v>269</v>
      </c>
      <c r="Y172" s="263" t="s">
        <v>116</v>
      </c>
      <c r="Z172" s="102">
        <v>8948</v>
      </c>
      <c r="AA172" s="257">
        <f>(Table6[[#This Row],[Paired WTG Generation for loss calculation]]/24)*Table6[[#This Row],[Breakdown Time]]</f>
        <v>74.566666666666393</v>
      </c>
      <c r="AB172" s="102"/>
      <c r="AC172" s="35"/>
      <c r="AD172" s="35"/>
    </row>
    <row r="173" spans="1:30">
      <c r="A173" s="102">
        <f t="shared" si="3"/>
        <v>172</v>
      </c>
      <c r="B173" s="257">
        <f>YEAR(Table6[[#This Row],[Date]])+IF(MONTH(Table6[[#This Row],[Date]])&gt;=4,1,0)</f>
        <v>2026</v>
      </c>
      <c r="C173" s="102">
        <f>YEAR(Table6[[#This Row],[Date]])</f>
        <v>2025</v>
      </c>
      <c r="D173" s="102" t="s">
        <v>265</v>
      </c>
      <c r="E173" s="258">
        <f>Table6[[#This Row],[Date]]-DAY(Table6[[#This Row],[Date]])+1</f>
        <v>45748</v>
      </c>
      <c r="F173" s="259">
        <v>45759</v>
      </c>
      <c r="G173" s="35" t="s">
        <v>128</v>
      </c>
      <c r="H173" s="35" t="str">
        <f>IFERROR(_xlfn.XLOOKUP(Table6[[#This Row],[Affected WTG]],'Basic Data'!$A:$A,'Basic Data'!$B:$B),"")</f>
        <v>TQGXIIPL</v>
      </c>
      <c r="I173" s="35" t="str">
        <f>IFERROR(_xlfn.XLOOKUP(Table6[[#This Row],[Affected WTG]],'Basic Data'!$A:$A,'Basic Data'!$C:$C),"")</f>
        <v>GEDA</v>
      </c>
      <c r="J173" s="260">
        <f>IFERROR(_xlfn.XLOOKUP(Table6[[#This Row],[Affected WTG]],'Basic Data'!$A:$A,'Basic Data'!$E:$E),"")</f>
        <v>3.846153846153845E-2</v>
      </c>
      <c r="K173" s="102">
        <v>55</v>
      </c>
      <c r="L173" s="35" t="str">
        <f>IFERROR(_xlfn.XLOOKUP(Table6[[#This Row],[Error Code]],'Basic Data'!$AA:$AA,'Basic Data'!$AB:$AB),"Incorrect Error Code")</f>
        <v>WTG shut down</v>
      </c>
      <c r="M173" s="35" t="s">
        <v>316</v>
      </c>
      <c r="N173" s="264"/>
      <c r="O173" s="265">
        <v>0</v>
      </c>
      <c r="P173" s="265">
        <v>0</v>
      </c>
      <c r="Q173" s="266">
        <v>0.2013888888888889</v>
      </c>
      <c r="R173" s="261">
        <f>IF(Table6[[#This Row],[Work Start TimeStamp]]="","",(Table6[[#This Row],[Work Start TimeStamp]]-Table6[[#This Row],[Fault Start TimeStamp]])*24)</f>
        <v>0</v>
      </c>
      <c r="S173" s="261">
        <f>(Table6[[#This Row],[Fault Clearance time]]-Table6[[#This Row],[Work Start TimeStamp]])*24</f>
        <v>4.8333333333333339</v>
      </c>
      <c r="T173" s="261">
        <f>(Table6[[#This Row],[Fault Clearance time]]-Table6[[#This Row],[Fault Start TimeStamp]])*24</f>
        <v>4.8333333333333339</v>
      </c>
      <c r="U173" s="35" t="s">
        <v>319</v>
      </c>
      <c r="V173" s="102" t="s">
        <v>268</v>
      </c>
      <c r="W173" s="267">
        <f>IFERROR(Table6[[#This Row],[Breakdown Time]]*Table6[[#This Row],[Plant Equivalent Weightage]],"")</f>
        <v>0.18589743589743588</v>
      </c>
      <c r="X173" s="262" t="s">
        <v>273</v>
      </c>
      <c r="Y173" s="263" t="s">
        <v>126</v>
      </c>
      <c r="Z173" s="102">
        <v>7785</v>
      </c>
      <c r="AA173" s="257">
        <f>(Table6[[#This Row],[Paired WTG Generation for loss calculation]]/24)*Table6[[#This Row],[Breakdown Time]]</f>
        <v>1567.8125000000002</v>
      </c>
      <c r="AB173" s="102"/>
      <c r="AC173" s="35"/>
      <c r="AD173" s="35"/>
    </row>
    <row r="174" spans="1:30">
      <c r="A174" s="102">
        <f t="shared" si="3"/>
        <v>173</v>
      </c>
      <c r="B174" s="257">
        <f>YEAR(Table6[[#This Row],[Date]])+IF(MONTH(Table6[[#This Row],[Date]])&gt;=4,1,0)</f>
        <v>2026</v>
      </c>
      <c r="C174" s="102">
        <f>YEAR(Table6[[#This Row],[Date]])</f>
        <v>2025</v>
      </c>
      <c r="D174" s="102" t="s">
        <v>265</v>
      </c>
      <c r="E174" s="258">
        <f>Table6[[#This Row],[Date]]-DAY(Table6[[#This Row],[Date]])+1</f>
        <v>45748</v>
      </c>
      <c r="F174" s="259">
        <v>45760</v>
      </c>
      <c r="G174" s="35" t="s">
        <v>119</v>
      </c>
      <c r="H174" s="35" t="str">
        <f>IFERROR(_xlfn.XLOOKUP(Table6[[#This Row],[Affected WTG]],'Basic Data'!$A:$A,'Basic Data'!$B:$B),"")</f>
        <v>TQGXIIPL</v>
      </c>
      <c r="I174" s="35" t="str">
        <f>IFERROR(_xlfn.XLOOKUP(Table6[[#This Row],[Affected WTG]],'Basic Data'!$A:$A,'Basic Data'!$C:$C),"")</f>
        <v>GEDA</v>
      </c>
      <c r="J174" s="260">
        <f>IFERROR(_xlfn.XLOOKUP(Table6[[#This Row],[Affected WTG]],'Basic Data'!$A:$A,'Basic Data'!$E:$E),"")</f>
        <v>3.846153846153845E-2</v>
      </c>
      <c r="K174" s="102">
        <v>3110</v>
      </c>
      <c r="L174" s="35" t="str">
        <f>IFERROR(_xlfn.XLOOKUP(Table6[[#This Row],[Error Code]],'Basic Data'!$AA:$AA,'Basic Data'!$AB:$AB),"Incorrect Error Code")</f>
        <v>Frequency converter error</v>
      </c>
      <c r="M174" s="35" t="s">
        <v>266</v>
      </c>
      <c r="N174" s="264"/>
      <c r="O174" s="265">
        <v>0.91041666666666665</v>
      </c>
      <c r="P174" s="265">
        <v>0.91041666666666665</v>
      </c>
      <c r="Q174" s="266">
        <v>0.91666666666666663</v>
      </c>
      <c r="R174" s="261">
        <f>IF(Table6[[#This Row],[Work Start TimeStamp]]="","",(Table6[[#This Row],[Work Start TimeStamp]]-Table6[[#This Row],[Fault Start TimeStamp]])*24)</f>
        <v>0</v>
      </c>
      <c r="S174" s="261">
        <f>(Table6[[#This Row],[Fault Clearance time]]-Table6[[#This Row],[Work Start TimeStamp]])*24</f>
        <v>0.14999999999999947</v>
      </c>
      <c r="T174" s="261">
        <f>(Table6[[#This Row],[Fault Clearance time]]-Table6[[#This Row],[Fault Start TimeStamp]])*24</f>
        <v>0.14999999999999947</v>
      </c>
      <c r="U174" s="35" t="s">
        <v>267</v>
      </c>
      <c r="V174" s="102" t="s">
        <v>268</v>
      </c>
      <c r="W174" s="267">
        <f>IFERROR(Table6[[#This Row],[Breakdown Time]]*Table6[[#This Row],[Plant Equivalent Weightage]],"")</f>
        <v>5.769230769230747E-3</v>
      </c>
      <c r="X174" s="262" t="s">
        <v>269</v>
      </c>
      <c r="Y174" s="263" t="s">
        <v>116</v>
      </c>
      <c r="Z174" s="102">
        <v>28616</v>
      </c>
      <c r="AA174" s="257">
        <f>(Table6[[#This Row],[Paired WTG Generation for loss calculation]]/24)*Table6[[#This Row],[Breakdown Time]]</f>
        <v>178.84999999999934</v>
      </c>
      <c r="AB174" s="102"/>
      <c r="AC174" s="35"/>
      <c r="AD174" s="35"/>
    </row>
    <row r="175" spans="1:30">
      <c r="A175" s="102">
        <f t="shared" si="3"/>
        <v>174</v>
      </c>
      <c r="B175" s="257">
        <f>YEAR(Table6[[#This Row],[Date]])+IF(MONTH(Table6[[#This Row],[Date]])&gt;=4,1,0)</f>
        <v>2026</v>
      </c>
      <c r="C175" s="102">
        <f>YEAR(Table6[[#This Row],[Date]])</f>
        <v>2025</v>
      </c>
      <c r="D175" s="102" t="s">
        <v>265</v>
      </c>
      <c r="E175" s="258">
        <f>Table6[[#This Row],[Date]]-DAY(Table6[[#This Row],[Date]])+1</f>
        <v>45748</v>
      </c>
      <c r="F175" s="259">
        <v>45760</v>
      </c>
      <c r="G175" s="35" t="s">
        <v>119</v>
      </c>
      <c r="H175" s="35" t="str">
        <f>IFERROR(_xlfn.XLOOKUP(Table6[[#This Row],[Affected WTG]],'Basic Data'!$A:$A,'Basic Data'!$B:$B),"")</f>
        <v>TQGXIIPL</v>
      </c>
      <c r="I175" s="35" t="str">
        <f>IFERROR(_xlfn.XLOOKUP(Table6[[#This Row],[Affected WTG]],'Basic Data'!$A:$A,'Basic Data'!$C:$C),"")</f>
        <v>GEDA</v>
      </c>
      <c r="J175" s="260">
        <f>IFERROR(_xlfn.XLOOKUP(Table6[[#This Row],[Affected WTG]],'Basic Data'!$A:$A,'Basic Data'!$E:$E),"")</f>
        <v>3.846153846153845E-2</v>
      </c>
      <c r="K175" s="102">
        <v>3211</v>
      </c>
      <c r="L175" s="35" t="str">
        <f>IFERROR(_xlfn.XLOOKUP(Table6[[#This Row],[Error Code]],'Basic Data'!$AA:$AA,'Basic Data'!$AB:$AB),"Incorrect Error Code")</f>
        <v>Conv. load shedding (CAN)</v>
      </c>
      <c r="M175" s="35" t="s">
        <v>266</v>
      </c>
      <c r="N175" s="264"/>
      <c r="O175" s="265">
        <v>0.9506944444444444</v>
      </c>
      <c r="P175" s="265">
        <v>0.9506944444444444</v>
      </c>
      <c r="Q175" s="266">
        <v>0.95347222222222228</v>
      </c>
      <c r="R175" s="261">
        <f>IF(Table6[[#This Row],[Work Start TimeStamp]]="","",(Table6[[#This Row],[Work Start TimeStamp]]-Table6[[#This Row],[Fault Start TimeStamp]])*24)</f>
        <v>0</v>
      </c>
      <c r="S175" s="261">
        <f>(Table6[[#This Row],[Fault Clearance time]]-Table6[[#This Row],[Work Start TimeStamp]])*24</f>
        <v>6.6666666666669094E-2</v>
      </c>
      <c r="T175" s="261">
        <f>(Table6[[#This Row],[Fault Clearance time]]-Table6[[#This Row],[Fault Start TimeStamp]])*24</f>
        <v>6.6666666666669094E-2</v>
      </c>
      <c r="U175" s="35" t="s">
        <v>267</v>
      </c>
      <c r="V175" s="102" t="s">
        <v>268</v>
      </c>
      <c r="W175" s="267">
        <f>IFERROR(Table6[[#This Row],[Breakdown Time]]*Table6[[#This Row],[Plant Equivalent Weightage]],"")</f>
        <v>2.5641025641026569E-3</v>
      </c>
      <c r="X175" s="262" t="s">
        <v>269</v>
      </c>
      <c r="Y175" s="263" t="s">
        <v>116</v>
      </c>
      <c r="Z175" s="102">
        <v>28616</v>
      </c>
      <c r="AA175" s="257">
        <f>(Table6[[#This Row],[Paired WTG Generation for loss calculation]]/24)*Table6[[#This Row],[Breakdown Time]]</f>
        <v>79.488888888891779</v>
      </c>
      <c r="AB175" s="102"/>
      <c r="AC175" s="35"/>
      <c r="AD175" s="35"/>
    </row>
    <row r="176" spans="1:30">
      <c r="A176" s="102">
        <f t="shared" si="3"/>
        <v>175</v>
      </c>
      <c r="B176" s="257">
        <f>YEAR(Table6[[#This Row],[Date]])+IF(MONTH(Table6[[#This Row],[Date]])&gt;=4,1,0)</f>
        <v>2026</v>
      </c>
      <c r="C176" s="102">
        <f>YEAR(Table6[[#This Row],[Date]])</f>
        <v>2025</v>
      </c>
      <c r="D176" s="102" t="s">
        <v>265</v>
      </c>
      <c r="E176" s="258">
        <f>Table6[[#This Row],[Date]]-DAY(Table6[[#This Row],[Date]])+1</f>
        <v>45748</v>
      </c>
      <c r="F176" s="259">
        <v>45760</v>
      </c>
      <c r="G176" s="35" t="s">
        <v>120</v>
      </c>
      <c r="H176" s="35" t="str">
        <f>IFERROR(_xlfn.XLOOKUP(Table6[[#This Row],[Affected WTG]],'Basic Data'!$A:$A,'Basic Data'!$B:$B),"")</f>
        <v>TQGXIIPL</v>
      </c>
      <c r="I176" s="35" t="str">
        <f>IFERROR(_xlfn.XLOOKUP(Table6[[#This Row],[Affected WTG]],'Basic Data'!$A:$A,'Basic Data'!$C:$C),"")</f>
        <v>GEDA</v>
      </c>
      <c r="J176" s="260">
        <f>IFERROR(_xlfn.XLOOKUP(Table6[[#This Row],[Affected WTG]],'Basic Data'!$A:$A,'Basic Data'!$E:$E),"")</f>
        <v>3.846153846153845E-2</v>
      </c>
      <c r="K176" s="102">
        <v>4520</v>
      </c>
      <c r="L176" s="35" t="str">
        <f>IFERROR(_xlfn.XLOOKUP(Table6[[#This Row],[Error Code]],'Basic Data'!$AA:$AA,'Basic Data'!$AB:$AB),"Incorrect Error Code")</f>
        <v>Tower oscillation X level 1</v>
      </c>
      <c r="M176" s="35" t="s">
        <v>266</v>
      </c>
      <c r="N176" s="264"/>
      <c r="O176" s="265">
        <v>0.31388888888888888</v>
      </c>
      <c r="P176" s="265">
        <v>0.31388888888888888</v>
      </c>
      <c r="Q176" s="266">
        <v>0.3215277777777778</v>
      </c>
      <c r="R176" s="261">
        <f>IF(Table6[[#This Row],[Work Start TimeStamp]]="","",(Table6[[#This Row],[Work Start TimeStamp]]-Table6[[#This Row],[Fault Start TimeStamp]])*24)</f>
        <v>0</v>
      </c>
      <c r="S176" s="261">
        <f>(Table6[[#This Row],[Fault Clearance time]]-Table6[[#This Row],[Work Start TimeStamp]])*24</f>
        <v>0.18333333333333401</v>
      </c>
      <c r="T176" s="261">
        <f>(Table6[[#This Row],[Fault Clearance time]]-Table6[[#This Row],[Fault Start TimeStamp]])*24</f>
        <v>0.18333333333333401</v>
      </c>
      <c r="U176" s="35" t="s">
        <v>277</v>
      </c>
      <c r="V176" s="102" t="s">
        <v>268</v>
      </c>
      <c r="W176" s="267">
        <f>IFERROR(Table6[[#This Row],[Breakdown Time]]*Table6[[#This Row],[Plant Equivalent Weightage]],"")</f>
        <v>7.0512820512820757E-3</v>
      </c>
      <c r="X176" s="262" t="s">
        <v>269</v>
      </c>
      <c r="Y176" s="263" t="s">
        <v>135</v>
      </c>
      <c r="Z176" s="102">
        <v>23356</v>
      </c>
      <c r="AA176" s="257">
        <f>(Table6[[#This Row],[Paired WTG Generation for loss calculation]]/24)*Table6[[#This Row],[Breakdown Time]]</f>
        <v>178.41388888888955</v>
      </c>
      <c r="AB176" s="102"/>
      <c r="AC176" s="35"/>
      <c r="AD176" s="35"/>
    </row>
    <row r="177" spans="1:30">
      <c r="A177" s="102">
        <f t="shared" si="3"/>
        <v>176</v>
      </c>
      <c r="B177" s="257">
        <f>YEAR(Table6[[#This Row],[Date]])+IF(MONTH(Table6[[#This Row],[Date]])&gt;=4,1,0)</f>
        <v>2026</v>
      </c>
      <c r="C177" s="102">
        <f>YEAR(Table6[[#This Row],[Date]])</f>
        <v>2025</v>
      </c>
      <c r="D177" s="102" t="s">
        <v>265</v>
      </c>
      <c r="E177" s="258">
        <f>Table6[[#This Row],[Date]]-DAY(Table6[[#This Row],[Date]])+1</f>
        <v>45748</v>
      </c>
      <c r="F177" s="259">
        <v>45760</v>
      </c>
      <c r="G177" s="35" t="s">
        <v>120</v>
      </c>
      <c r="H177" s="35" t="str">
        <f>IFERROR(_xlfn.XLOOKUP(Table6[[#This Row],[Affected WTG]],'Basic Data'!$A:$A,'Basic Data'!$B:$B),"")</f>
        <v>TQGXIIPL</v>
      </c>
      <c r="I177" s="35" t="str">
        <f>IFERROR(_xlfn.XLOOKUP(Table6[[#This Row],[Affected WTG]],'Basic Data'!$A:$A,'Basic Data'!$C:$C),"")</f>
        <v>GEDA</v>
      </c>
      <c r="J177" s="260">
        <f>IFERROR(_xlfn.XLOOKUP(Table6[[#This Row],[Affected WTG]],'Basic Data'!$A:$A,'Basic Data'!$E:$E),"")</f>
        <v>3.846153846153845E-2</v>
      </c>
      <c r="K177" s="102">
        <v>6056</v>
      </c>
      <c r="L177" s="35" t="str">
        <f>IFERROR(_xlfn.XLOOKUP(Table6[[#This Row],[Error Code]],'Basic Data'!$AA:$AA,'Basic Data'!$AB:$AB),"Incorrect Error Code")</f>
        <v>High yaw load</v>
      </c>
      <c r="M177" s="35" t="s">
        <v>266</v>
      </c>
      <c r="N177" s="264"/>
      <c r="O177" s="265">
        <v>0.63402777777777775</v>
      </c>
      <c r="P177" s="265">
        <v>0.63402777777777775</v>
      </c>
      <c r="Q177" s="266">
        <v>0.63611111111111107</v>
      </c>
      <c r="R177" s="261">
        <f>IF(Table6[[#This Row],[Work Start TimeStamp]]="","",(Table6[[#This Row],[Work Start TimeStamp]]-Table6[[#This Row],[Fault Start TimeStamp]])*24)</f>
        <v>0</v>
      </c>
      <c r="S177" s="261">
        <f>(Table6[[#This Row],[Fault Clearance time]]-Table6[[#This Row],[Work Start TimeStamp]])*24</f>
        <v>4.9999999999999822E-2</v>
      </c>
      <c r="T177" s="261">
        <f>(Table6[[#This Row],[Fault Clearance time]]-Table6[[#This Row],[Fault Start TimeStamp]])*24</f>
        <v>4.9999999999999822E-2</v>
      </c>
      <c r="U177" s="35" t="s">
        <v>267</v>
      </c>
      <c r="V177" s="102" t="s">
        <v>268</v>
      </c>
      <c r="W177" s="267">
        <f>IFERROR(Table6[[#This Row],[Breakdown Time]]*Table6[[#This Row],[Plant Equivalent Weightage]],"")</f>
        <v>1.9230769230769156E-3</v>
      </c>
      <c r="X177" s="262" t="s">
        <v>269</v>
      </c>
      <c r="Y177" s="263" t="s">
        <v>135</v>
      </c>
      <c r="Z177" s="102">
        <v>23356</v>
      </c>
      <c r="AA177" s="257">
        <f>(Table6[[#This Row],[Paired WTG Generation for loss calculation]]/24)*Table6[[#This Row],[Breakdown Time]]</f>
        <v>48.658333333333161</v>
      </c>
      <c r="AB177" s="102"/>
      <c r="AC177" s="35"/>
      <c r="AD177" s="35"/>
    </row>
    <row r="178" spans="1:30">
      <c r="A178" s="102">
        <f t="shared" si="3"/>
        <v>177</v>
      </c>
      <c r="B178" s="257">
        <f>YEAR(Table6[[#This Row],[Date]])+IF(MONTH(Table6[[#This Row],[Date]])&gt;=4,1,0)</f>
        <v>2026</v>
      </c>
      <c r="C178" s="102">
        <f>YEAR(Table6[[#This Row],[Date]])</f>
        <v>2025</v>
      </c>
      <c r="D178" s="102" t="s">
        <v>265</v>
      </c>
      <c r="E178" s="258">
        <f>Table6[[#This Row],[Date]]-DAY(Table6[[#This Row],[Date]])+1</f>
        <v>45748</v>
      </c>
      <c r="F178" s="259">
        <v>45760</v>
      </c>
      <c r="G178" s="35" t="s">
        <v>122</v>
      </c>
      <c r="H178" s="35" t="str">
        <f>IFERROR(_xlfn.XLOOKUP(Table6[[#This Row],[Affected WTG]],'Basic Data'!$A:$A,'Basic Data'!$B:$B),"")</f>
        <v>TQGXIIPL</v>
      </c>
      <c r="I178" s="35" t="str">
        <f>IFERROR(_xlfn.XLOOKUP(Table6[[#This Row],[Affected WTG]],'Basic Data'!$A:$A,'Basic Data'!$C:$C),"")</f>
        <v>GEDA</v>
      </c>
      <c r="J178" s="260">
        <f>IFERROR(_xlfn.XLOOKUP(Table6[[#This Row],[Affected WTG]],'Basic Data'!$A:$A,'Basic Data'!$E:$E),"")</f>
        <v>3.846153846153845E-2</v>
      </c>
      <c r="K178" s="102">
        <v>4520</v>
      </c>
      <c r="L178" s="35" t="str">
        <f>IFERROR(_xlfn.XLOOKUP(Table6[[#This Row],[Error Code]],'Basic Data'!$AA:$AA,'Basic Data'!$AB:$AB),"Incorrect Error Code")</f>
        <v>Tower oscillation X level 1</v>
      </c>
      <c r="M178" s="35" t="s">
        <v>278</v>
      </c>
      <c r="N178" s="264"/>
      <c r="O178" s="265">
        <v>0.34166666666666667</v>
      </c>
      <c r="P178" s="265">
        <v>0.34166666666666667</v>
      </c>
      <c r="Q178" s="266">
        <v>0.34930555555555554</v>
      </c>
      <c r="R178" s="261">
        <f>IF(Table6[[#This Row],[Work Start TimeStamp]]="","",(Table6[[#This Row],[Work Start TimeStamp]]-Table6[[#This Row],[Fault Start TimeStamp]])*24)</f>
        <v>0</v>
      </c>
      <c r="S178" s="261">
        <f>(Table6[[#This Row],[Fault Clearance time]]-Table6[[#This Row],[Work Start TimeStamp]])*24</f>
        <v>0.18333333333333268</v>
      </c>
      <c r="T178" s="261">
        <f>(Table6[[#This Row],[Fault Clearance time]]-Table6[[#This Row],[Fault Start TimeStamp]])*24</f>
        <v>0.18333333333333268</v>
      </c>
      <c r="U178" s="35" t="s">
        <v>277</v>
      </c>
      <c r="V178" s="102" t="s">
        <v>268</v>
      </c>
      <c r="W178" s="267">
        <f>IFERROR(Table6[[#This Row],[Breakdown Time]]*Table6[[#This Row],[Plant Equivalent Weightage]],"")</f>
        <v>7.0512820512820245E-3</v>
      </c>
      <c r="X178" s="262" t="s">
        <v>269</v>
      </c>
      <c r="Y178" s="263" t="s">
        <v>140</v>
      </c>
      <c r="Z178" s="102">
        <v>25025</v>
      </c>
      <c r="AA178" s="257">
        <f>(Table6[[#This Row],[Paired WTG Generation for loss calculation]]/24)*Table6[[#This Row],[Breakdown Time]]</f>
        <v>191.16319444444375</v>
      </c>
      <c r="AB178" s="102"/>
      <c r="AC178" s="35"/>
      <c r="AD178" s="35"/>
    </row>
    <row r="179" spans="1:30">
      <c r="A179" s="102">
        <f t="shared" si="3"/>
        <v>178</v>
      </c>
      <c r="B179" s="257">
        <f>YEAR(Table6[[#This Row],[Date]])+IF(MONTH(Table6[[#This Row],[Date]])&gt;=4,1,0)</f>
        <v>2026</v>
      </c>
      <c r="C179" s="102">
        <f>YEAR(Table6[[#This Row],[Date]])</f>
        <v>2025</v>
      </c>
      <c r="D179" s="102" t="s">
        <v>265</v>
      </c>
      <c r="E179" s="258">
        <f>Table6[[#This Row],[Date]]-DAY(Table6[[#This Row],[Date]])+1</f>
        <v>45748</v>
      </c>
      <c r="F179" s="259">
        <v>45760</v>
      </c>
      <c r="G179" s="35" t="s">
        <v>122</v>
      </c>
      <c r="H179" s="35" t="str">
        <f>IFERROR(_xlfn.XLOOKUP(Table6[[#This Row],[Affected WTG]],'Basic Data'!$A:$A,'Basic Data'!$B:$B),"")</f>
        <v>TQGXIIPL</v>
      </c>
      <c r="I179" s="35" t="str">
        <f>IFERROR(_xlfn.XLOOKUP(Table6[[#This Row],[Affected WTG]],'Basic Data'!$A:$A,'Basic Data'!$C:$C),"")</f>
        <v>GEDA</v>
      </c>
      <c r="J179" s="260">
        <f>IFERROR(_xlfn.XLOOKUP(Table6[[#This Row],[Affected WTG]],'Basic Data'!$A:$A,'Basic Data'!$E:$E),"")</f>
        <v>3.846153846153845E-2</v>
      </c>
      <c r="K179" s="102">
        <v>55</v>
      </c>
      <c r="L179" s="35" t="str">
        <f>IFERROR(_xlfn.XLOOKUP(Table6[[#This Row],[Error Code]],'Basic Data'!$AA:$AA,'Basic Data'!$AB:$AB),"Incorrect Error Code")</f>
        <v>WTG shut down</v>
      </c>
      <c r="M179" s="35" t="s">
        <v>300</v>
      </c>
      <c r="N179" s="264"/>
      <c r="O179" s="265">
        <v>0.77430555555555558</v>
      </c>
      <c r="P179" s="265">
        <v>0.77430555555555558</v>
      </c>
      <c r="Q179" s="266">
        <v>0.89166666666666672</v>
      </c>
      <c r="R179" s="261">
        <f>IF(Table6[[#This Row],[Work Start TimeStamp]]="","",(Table6[[#This Row],[Work Start TimeStamp]]-Table6[[#This Row],[Fault Start TimeStamp]])*24)</f>
        <v>0</v>
      </c>
      <c r="S179" s="261">
        <f>(Table6[[#This Row],[Fault Clearance time]]-Table6[[#This Row],[Work Start TimeStamp]])*24</f>
        <v>2.8166666666666673</v>
      </c>
      <c r="T179" s="261">
        <f>(Table6[[#This Row],[Fault Clearance time]]-Table6[[#This Row],[Fault Start TimeStamp]])*24</f>
        <v>2.8166666666666673</v>
      </c>
      <c r="U179" s="35" t="s">
        <v>301</v>
      </c>
      <c r="V179" s="102" t="s">
        <v>268</v>
      </c>
      <c r="W179" s="267">
        <f>IFERROR(Table6[[#This Row],[Breakdown Time]]*Table6[[#This Row],[Plant Equivalent Weightage]],"")</f>
        <v>0.10833333333333332</v>
      </c>
      <c r="X179" s="262" t="s">
        <v>296</v>
      </c>
      <c r="Y179" s="263" t="s">
        <v>140</v>
      </c>
      <c r="Z179" s="102">
        <v>25025</v>
      </c>
      <c r="AA179" s="257">
        <f>(Table6[[#This Row],[Paired WTG Generation for loss calculation]]/24)*Table6[[#This Row],[Breakdown Time]]</f>
        <v>2936.9618055555561</v>
      </c>
      <c r="AB179" s="102"/>
      <c r="AC179" s="35"/>
      <c r="AD179" s="35"/>
    </row>
    <row r="180" spans="1:30">
      <c r="A180" s="102">
        <f t="shared" si="3"/>
        <v>179</v>
      </c>
      <c r="B180" s="257">
        <f>YEAR(Table6[[#This Row],[Date]])+IF(MONTH(Table6[[#This Row],[Date]])&gt;=4,1,0)</f>
        <v>2026</v>
      </c>
      <c r="C180" s="102">
        <f>YEAR(Table6[[#This Row],[Date]])</f>
        <v>2025</v>
      </c>
      <c r="D180" s="102" t="s">
        <v>265</v>
      </c>
      <c r="E180" s="258">
        <f>Table6[[#This Row],[Date]]-DAY(Table6[[#This Row],[Date]])+1</f>
        <v>45748</v>
      </c>
      <c r="F180" s="259">
        <v>45760</v>
      </c>
      <c r="G180" s="35" t="s">
        <v>122</v>
      </c>
      <c r="H180" s="35" t="str">
        <f>IFERROR(_xlfn.XLOOKUP(Table6[[#This Row],[Affected WTG]],'Basic Data'!$A:$A,'Basic Data'!$B:$B),"")</f>
        <v>TQGXIIPL</v>
      </c>
      <c r="I180" s="35" t="str">
        <f>IFERROR(_xlfn.XLOOKUP(Table6[[#This Row],[Affected WTG]],'Basic Data'!$A:$A,'Basic Data'!$C:$C),"")</f>
        <v>GEDA</v>
      </c>
      <c r="J180" s="260">
        <f>IFERROR(_xlfn.XLOOKUP(Table6[[#This Row],[Affected WTG]],'Basic Data'!$A:$A,'Basic Data'!$E:$E),"")</f>
        <v>3.846153846153845E-2</v>
      </c>
      <c r="K180" s="102">
        <v>55</v>
      </c>
      <c r="L180" s="35" t="str">
        <f>IFERROR(_xlfn.XLOOKUP(Table6[[#This Row],[Error Code]],'Basic Data'!$AA:$AA,'Basic Data'!$AB:$AB),"Incorrect Error Code")</f>
        <v>WTG shut down</v>
      </c>
      <c r="M180" s="35" t="s">
        <v>300</v>
      </c>
      <c r="N180" s="264"/>
      <c r="O180" s="265">
        <v>0.89097222222222228</v>
      </c>
      <c r="P180" s="265">
        <v>0.89097222222222228</v>
      </c>
      <c r="Q180" s="266">
        <v>1</v>
      </c>
      <c r="R180" s="261">
        <f>IF(Table6[[#This Row],[Work Start TimeStamp]]="","",(Table6[[#This Row],[Work Start TimeStamp]]-Table6[[#This Row],[Fault Start TimeStamp]])*24)</f>
        <v>0</v>
      </c>
      <c r="S180" s="261">
        <f>(Table6[[#This Row],[Fault Clearance time]]-Table6[[#This Row],[Work Start TimeStamp]])*24</f>
        <v>2.6166666666666654</v>
      </c>
      <c r="T180" s="261">
        <f>(Table6[[#This Row],[Fault Clearance time]]-Table6[[#This Row],[Fault Start TimeStamp]])*24</f>
        <v>2.6166666666666654</v>
      </c>
      <c r="U180" s="35" t="s">
        <v>301</v>
      </c>
      <c r="V180" s="102" t="s">
        <v>268</v>
      </c>
      <c r="W180" s="267">
        <f>IFERROR(Table6[[#This Row],[Breakdown Time]]*Table6[[#This Row],[Plant Equivalent Weightage]],"")</f>
        <v>0.10064102564102556</v>
      </c>
      <c r="X180" s="262" t="s">
        <v>296</v>
      </c>
      <c r="Y180" s="263" t="s">
        <v>140</v>
      </c>
      <c r="Z180" s="102">
        <v>25025</v>
      </c>
      <c r="AA180" s="257">
        <f>(Table6[[#This Row],[Paired WTG Generation for loss calculation]]/24)*Table6[[#This Row],[Breakdown Time]]</f>
        <v>2728.4201388888873</v>
      </c>
      <c r="AB180" s="102"/>
      <c r="AC180" s="35"/>
      <c r="AD180" s="35"/>
    </row>
    <row r="181" spans="1:30">
      <c r="A181" s="102">
        <f t="shared" si="3"/>
        <v>180</v>
      </c>
      <c r="B181" s="257">
        <f>YEAR(Table6[[#This Row],[Date]])+IF(MONTH(Table6[[#This Row],[Date]])&gt;=4,1,0)</f>
        <v>2026</v>
      </c>
      <c r="C181" s="102">
        <f>YEAR(Table6[[#This Row],[Date]])</f>
        <v>2025</v>
      </c>
      <c r="D181" s="102" t="s">
        <v>265</v>
      </c>
      <c r="E181" s="258">
        <f>Table6[[#This Row],[Date]]-DAY(Table6[[#This Row],[Date]])+1</f>
        <v>45748</v>
      </c>
      <c r="F181" s="259">
        <v>45760</v>
      </c>
      <c r="G181" s="35" t="s">
        <v>123</v>
      </c>
      <c r="H181" s="35" t="str">
        <f>IFERROR(_xlfn.XLOOKUP(Table6[[#This Row],[Affected WTG]],'Basic Data'!$A:$A,'Basic Data'!$B:$B),"")</f>
        <v>TQGXIIPL</v>
      </c>
      <c r="I181" s="35" t="str">
        <f>IFERROR(_xlfn.XLOOKUP(Table6[[#This Row],[Affected WTG]],'Basic Data'!$A:$A,'Basic Data'!$C:$C),"")</f>
        <v>GEDA</v>
      </c>
      <c r="J181" s="260">
        <f>IFERROR(_xlfn.XLOOKUP(Table6[[#This Row],[Affected WTG]],'Basic Data'!$A:$A,'Basic Data'!$E:$E),"")</f>
        <v>3.846153846153845E-2</v>
      </c>
      <c r="K181" s="102">
        <v>55</v>
      </c>
      <c r="L181" s="35" t="str">
        <f>IFERROR(_xlfn.XLOOKUP(Table6[[#This Row],[Error Code]],'Basic Data'!$AA:$AA,'Basic Data'!$AB:$AB),"Incorrect Error Code")</f>
        <v>WTG shut down</v>
      </c>
      <c r="M181" s="35" t="s">
        <v>266</v>
      </c>
      <c r="N181" s="264"/>
      <c r="O181" s="265">
        <v>0.65277777777777779</v>
      </c>
      <c r="P181" s="265">
        <v>0.65277777777777779</v>
      </c>
      <c r="Q181" s="266">
        <v>0.66111111111111109</v>
      </c>
      <c r="R181" s="261">
        <f>IF(Table6[[#This Row],[Work Start TimeStamp]]="","",(Table6[[#This Row],[Work Start TimeStamp]]-Table6[[#This Row],[Fault Start TimeStamp]])*24)</f>
        <v>0</v>
      </c>
      <c r="S181" s="261">
        <f>(Table6[[#This Row],[Fault Clearance time]]-Table6[[#This Row],[Work Start TimeStamp]])*24</f>
        <v>0.19999999999999929</v>
      </c>
      <c r="T181" s="261">
        <f>(Table6[[#This Row],[Fault Clearance time]]-Table6[[#This Row],[Fault Start TimeStamp]])*24</f>
        <v>0.19999999999999929</v>
      </c>
      <c r="U181" s="35" t="s">
        <v>320</v>
      </c>
      <c r="V181" s="102" t="s">
        <v>268</v>
      </c>
      <c r="W181" s="267">
        <f>IFERROR(Table6[[#This Row],[Breakdown Time]]*Table6[[#This Row],[Plant Equivalent Weightage]],"")</f>
        <v>7.6923076923076624E-3</v>
      </c>
      <c r="X181" s="262" t="s">
        <v>296</v>
      </c>
      <c r="Y181" s="263" t="s">
        <v>117</v>
      </c>
      <c r="Z181" s="102">
        <v>25705</v>
      </c>
      <c r="AA181" s="257">
        <f>(Table6[[#This Row],[Paired WTG Generation for loss calculation]]/24)*Table6[[#This Row],[Breakdown Time]]</f>
        <v>214.20833333333258</v>
      </c>
      <c r="AB181" s="102"/>
      <c r="AC181" s="35"/>
      <c r="AD181" s="35"/>
    </row>
    <row r="182" spans="1:30">
      <c r="A182" s="102">
        <f t="shared" si="3"/>
        <v>181</v>
      </c>
      <c r="B182" s="257">
        <f>YEAR(Table6[[#This Row],[Date]])+IF(MONTH(Table6[[#This Row],[Date]])&gt;=4,1,0)</f>
        <v>2026</v>
      </c>
      <c r="C182" s="102">
        <f>YEAR(Table6[[#This Row],[Date]])</f>
        <v>2025</v>
      </c>
      <c r="D182" s="102" t="s">
        <v>265</v>
      </c>
      <c r="E182" s="258">
        <f>Table6[[#This Row],[Date]]-DAY(Table6[[#This Row],[Date]])+1</f>
        <v>45748</v>
      </c>
      <c r="F182" s="259">
        <v>45760</v>
      </c>
      <c r="G182" s="35" t="s">
        <v>124</v>
      </c>
      <c r="H182" s="35" t="str">
        <f>IFERROR(_xlfn.XLOOKUP(Table6[[#This Row],[Affected WTG]],'Basic Data'!$A:$A,'Basic Data'!$B:$B),"")</f>
        <v>TQGXIIPL</v>
      </c>
      <c r="I182" s="35" t="str">
        <f>IFERROR(_xlfn.XLOOKUP(Table6[[#This Row],[Affected WTG]],'Basic Data'!$A:$A,'Basic Data'!$C:$C),"")</f>
        <v>GEDA</v>
      </c>
      <c r="J182" s="260">
        <f>IFERROR(_xlfn.XLOOKUP(Table6[[#This Row],[Affected WTG]],'Basic Data'!$A:$A,'Basic Data'!$E:$E),"")</f>
        <v>3.846153846153845E-2</v>
      </c>
      <c r="K182" s="102">
        <v>4520</v>
      </c>
      <c r="L182" s="35" t="str">
        <f>IFERROR(_xlfn.XLOOKUP(Table6[[#This Row],[Error Code]],'Basic Data'!$AA:$AA,'Basic Data'!$AB:$AB),"Incorrect Error Code")</f>
        <v>Tower oscillation X level 1</v>
      </c>
      <c r="M182" s="35" t="s">
        <v>278</v>
      </c>
      <c r="N182" s="264"/>
      <c r="O182" s="265">
        <v>0.32500000000000001</v>
      </c>
      <c r="P182" s="265">
        <v>0.32500000000000001</v>
      </c>
      <c r="Q182" s="266">
        <v>0.33263888888888887</v>
      </c>
      <c r="R182" s="261">
        <f>IF(Table6[[#This Row],[Work Start TimeStamp]]="","",(Table6[[#This Row],[Work Start TimeStamp]]-Table6[[#This Row],[Fault Start TimeStamp]])*24)</f>
        <v>0</v>
      </c>
      <c r="S182" s="261">
        <f>(Table6[[#This Row],[Fault Clearance time]]-Table6[[#This Row],[Work Start TimeStamp]])*24</f>
        <v>0.18333333333333268</v>
      </c>
      <c r="T182" s="261">
        <f>(Table6[[#This Row],[Fault Clearance time]]-Table6[[#This Row],[Fault Start TimeStamp]])*24</f>
        <v>0.18333333333333268</v>
      </c>
      <c r="U182" s="35" t="s">
        <v>277</v>
      </c>
      <c r="V182" s="102" t="s">
        <v>268</v>
      </c>
      <c r="W182" s="267">
        <f>IFERROR(Table6[[#This Row],[Breakdown Time]]*Table6[[#This Row],[Plant Equivalent Weightage]],"")</f>
        <v>7.0512820512820245E-3</v>
      </c>
      <c r="X182" s="262" t="s">
        <v>269</v>
      </c>
      <c r="Y182" s="263" t="s">
        <v>129</v>
      </c>
      <c r="Z182" s="102">
        <v>20653</v>
      </c>
      <c r="AA182" s="257">
        <f>(Table6[[#This Row],[Paired WTG Generation for loss calculation]]/24)*Table6[[#This Row],[Breakdown Time]]</f>
        <v>157.76597222222165</v>
      </c>
      <c r="AB182" s="102"/>
      <c r="AC182" s="35"/>
      <c r="AD182" s="35"/>
    </row>
    <row r="183" spans="1:30">
      <c r="A183" s="102">
        <f t="shared" si="3"/>
        <v>182</v>
      </c>
      <c r="B183" s="257">
        <f>YEAR(Table6[[#This Row],[Date]])+IF(MONTH(Table6[[#This Row],[Date]])&gt;=4,1,0)</f>
        <v>2026</v>
      </c>
      <c r="C183" s="102">
        <f>YEAR(Table6[[#This Row],[Date]])</f>
        <v>2025</v>
      </c>
      <c r="D183" s="102" t="s">
        <v>265</v>
      </c>
      <c r="E183" s="258">
        <f>Table6[[#This Row],[Date]]-DAY(Table6[[#This Row],[Date]])+1</f>
        <v>45748</v>
      </c>
      <c r="F183" s="259">
        <v>45760</v>
      </c>
      <c r="G183" s="35" t="s">
        <v>125</v>
      </c>
      <c r="H183" s="35" t="str">
        <f>IFERROR(_xlfn.XLOOKUP(Table6[[#This Row],[Affected WTG]],'Basic Data'!$A:$A,'Basic Data'!$B:$B),"")</f>
        <v>TQGXIIPL</v>
      </c>
      <c r="I183" s="35" t="str">
        <f>IFERROR(_xlfn.XLOOKUP(Table6[[#This Row],[Affected WTG]],'Basic Data'!$A:$A,'Basic Data'!$C:$C),"")</f>
        <v>GEDA</v>
      </c>
      <c r="J183" s="260">
        <f>IFERROR(_xlfn.XLOOKUP(Table6[[#This Row],[Affected WTG]],'Basic Data'!$A:$A,'Basic Data'!$E:$E),"")</f>
        <v>3.846153846153845E-2</v>
      </c>
      <c r="K183" s="102">
        <v>3110</v>
      </c>
      <c r="L183" s="35" t="str">
        <f>IFERROR(_xlfn.XLOOKUP(Table6[[#This Row],[Error Code]],'Basic Data'!$AA:$AA,'Basic Data'!$AB:$AB),"Incorrect Error Code")</f>
        <v>Frequency converter error</v>
      </c>
      <c r="M183" s="35" t="s">
        <v>266</v>
      </c>
      <c r="N183" s="264"/>
      <c r="O183" s="265">
        <v>0.31111111111111112</v>
      </c>
      <c r="P183" s="265">
        <v>0.31111111111111112</v>
      </c>
      <c r="Q183" s="266">
        <v>0.31319444444444444</v>
      </c>
      <c r="R183" s="261">
        <f>IF(Table6[[#This Row],[Work Start TimeStamp]]="","",(Table6[[#This Row],[Work Start TimeStamp]]-Table6[[#This Row],[Fault Start TimeStamp]])*24)</f>
        <v>0</v>
      </c>
      <c r="S183" s="261">
        <f>(Table6[[#This Row],[Fault Clearance time]]-Table6[[#This Row],[Work Start TimeStamp]])*24</f>
        <v>4.9999999999999822E-2</v>
      </c>
      <c r="T183" s="261">
        <f>(Table6[[#This Row],[Fault Clearance time]]-Table6[[#This Row],[Fault Start TimeStamp]])*24</f>
        <v>4.9999999999999822E-2</v>
      </c>
      <c r="U183" s="35" t="s">
        <v>267</v>
      </c>
      <c r="V183" s="102" t="s">
        <v>268</v>
      </c>
      <c r="W183" s="267">
        <f>IFERROR(Table6[[#This Row],[Breakdown Time]]*Table6[[#This Row],[Plant Equivalent Weightage]],"")</f>
        <v>1.9230769230769156E-3</v>
      </c>
      <c r="X183" s="262" t="s">
        <v>269</v>
      </c>
      <c r="Y183" s="263" t="s">
        <v>126</v>
      </c>
      <c r="Z183" s="102">
        <v>25190</v>
      </c>
      <c r="AA183" s="257">
        <f>(Table6[[#This Row],[Paired WTG Generation for loss calculation]]/24)*Table6[[#This Row],[Breakdown Time]]</f>
        <v>52.47916666666648</v>
      </c>
      <c r="AB183" s="102"/>
      <c r="AC183" s="35"/>
      <c r="AD183" s="35"/>
    </row>
    <row r="184" spans="1:30">
      <c r="A184" s="102">
        <f t="shared" si="3"/>
        <v>183</v>
      </c>
      <c r="B184" s="257">
        <f>YEAR(Table6[[#This Row],[Date]])+IF(MONTH(Table6[[#This Row],[Date]])&gt;=4,1,0)</f>
        <v>2026</v>
      </c>
      <c r="C184" s="102">
        <f>YEAR(Table6[[#This Row],[Date]])</f>
        <v>2025</v>
      </c>
      <c r="D184" s="102" t="s">
        <v>265</v>
      </c>
      <c r="E184" s="258">
        <f>Table6[[#This Row],[Date]]-DAY(Table6[[#This Row],[Date]])+1</f>
        <v>45748</v>
      </c>
      <c r="F184" s="259">
        <v>45760</v>
      </c>
      <c r="G184" s="35" t="s">
        <v>125</v>
      </c>
      <c r="H184" s="35" t="str">
        <f>IFERROR(_xlfn.XLOOKUP(Table6[[#This Row],[Affected WTG]],'Basic Data'!$A:$A,'Basic Data'!$B:$B),"")</f>
        <v>TQGXIIPL</v>
      </c>
      <c r="I184" s="35" t="str">
        <f>IFERROR(_xlfn.XLOOKUP(Table6[[#This Row],[Affected WTG]],'Basic Data'!$A:$A,'Basic Data'!$C:$C),"")</f>
        <v>GEDA</v>
      </c>
      <c r="J184" s="260">
        <f>IFERROR(_xlfn.XLOOKUP(Table6[[#This Row],[Affected WTG]],'Basic Data'!$A:$A,'Basic Data'!$E:$E),"")</f>
        <v>3.846153846153845E-2</v>
      </c>
      <c r="K184" s="102">
        <v>3211</v>
      </c>
      <c r="L184" s="35" t="str">
        <f>IFERROR(_xlfn.XLOOKUP(Table6[[#This Row],[Error Code]],'Basic Data'!$AA:$AA,'Basic Data'!$AB:$AB),"Incorrect Error Code")</f>
        <v>Conv. load shedding (CAN)</v>
      </c>
      <c r="M184" s="35" t="s">
        <v>266</v>
      </c>
      <c r="N184" s="264"/>
      <c r="O184" s="265">
        <v>0.31666666666666665</v>
      </c>
      <c r="P184" s="265">
        <v>0.31666666666666665</v>
      </c>
      <c r="Q184" s="266">
        <v>0.32013888888888886</v>
      </c>
      <c r="R184" s="261">
        <f>IF(Table6[[#This Row],[Work Start TimeStamp]]="","",(Table6[[#This Row],[Work Start TimeStamp]]-Table6[[#This Row],[Fault Start TimeStamp]])*24)</f>
        <v>0</v>
      </c>
      <c r="S184" s="261">
        <f>(Table6[[#This Row],[Fault Clearance time]]-Table6[[#This Row],[Work Start TimeStamp]])*24</f>
        <v>8.3333333333333037E-2</v>
      </c>
      <c r="T184" s="261">
        <f>(Table6[[#This Row],[Fault Clearance time]]-Table6[[#This Row],[Fault Start TimeStamp]])*24</f>
        <v>8.3333333333333037E-2</v>
      </c>
      <c r="U184" s="35" t="s">
        <v>267</v>
      </c>
      <c r="V184" s="102" t="s">
        <v>268</v>
      </c>
      <c r="W184" s="267">
        <f>IFERROR(Table6[[#This Row],[Breakdown Time]]*Table6[[#This Row],[Plant Equivalent Weightage]],"")</f>
        <v>3.2051282051281929E-3</v>
      </c>
      <c r="X184" s="262" t="s">
        <v>269</v>
      </c>
      <c r="Y184" s="263" t="s">
        <v>126</v>
      </c>
      <c r="Z184" s="102">
        <v>25190</v>
      </c>
      <c r="AA184" s="257">
        <f>(Table6[[#This Row],[Paired WTG Generation for loss calculation]]/24)*Table6[[#This Row],[Breakdown Time]]</f>
        <v>87.465277777777459</v>
      </c>
      <c r="AB184" s="102"/>
      <c r="AC184" s="35"/>
      <c r="AD184" s="35"/>
    </row>
    <row r="185" spans="1:30">
      <c r="A185" s="102">
        <f t="shared" si="3"/>
        <v>184</v>
      </c>
      <c r="B185" s="257">
        <f>YEAR(Table6[[#This Row],[Date]])+IF(MONTH(Table6[[#This Row],[Date]])&gt;=4,1,0)</f>
        <v>2026</v>
      </c>
      <c r="C185" s="102">
        <f>YEAR(Table6[[#This Row],[Date]])</f>
        <v>2025</v>
      </c>
      <c r="D185" s="102" t="s">
        <v>265</v>
      </c>
      <c r="E185" s="258">
        <f>Table6[[#This Row],[Date]]-DAY(Table6[[#This Row],[Date]])+1</f>
        <v>45748</v>
      </c>
      <c r="F185" s="259">
        <v>45760</v>
      </c>
      <c r="G185" s="35" t="s">
        <v>125</v>
      </c>
      <c r="H185" s="35" t="str">
        <f>IFERROR(_xlfn.XLOOKUP(Table6[[#This Row],[Affected WTG]],'Basic Data'!$A:$A,'Basic Data'!$B:$B),"")</f>
        <v>TQGXIIPL</v>
      </c>
      <c r="I185" s="35" t="str">
        <f>IFERROR(_xlfn.XLOOKUP(Table6[[#This Row],[Affected WTG]],'Basic Data'!$A:$A,'Basic Data'!$C:$C),"")</f>
        <v>GEDA</v>
      </c>
      <c r="J185" s="260">
        <f>IFERROR(_xlfn.XLOOKUP(Table6[[#This Row],[Affected WTG]],'Basic Data'!$A:$A,'Basic Data'!$E:$E),"")</f>
        <v>3.846153846153845E-2</v>
      </c>
      <c r="K185" s="102">
        <v>3211</v>
      </c>
      <c r="L185" s="35" t="str">
        <f>IFERROR(_xlfn.XLOOKUP(Table6[[#This Row],[Error Code]],'Basic Data'!$AA:$AA,'Basic Data'!$AB:$AB),"Incorrect Error Code")</f>
        <v>Conv. load shedding (CAN)</v>
      </c>
      <c r="M185" s="35" t="s">
        <v>266</v>
      </c>
      <c r="N185" s="264"/>
      <c r="O185" s="265">
        <v>0.3263888888888889</v>
      </c>
      <c r="P185" s="265">
        <v>0.3263888888888889</v>
      </c>
      <c r="Q185" s="266">
        <v>0.33194444444444443</v>
      </c>
      <c r="R185" s="261">
        <f>IF(Table6[[#This Row],[Work Start TimeStamp]]="","",(Table6[[#This Row],[Work Start TimeStamp]]-Table6[[#This Row],[Fault Start TimeStamp]])*24)</f>
        <v>0</v>
      </c>
      <c r="S185" s="261">
        <f>(Table6[[#This Row],[Fault Clearance time]]-Table6[[#This Row],[Work Start TimeStamp]])*24</f>
        <v>0.13333333333333286</v>
      </c>
      <c r="T185" s="261">
        <f>(Table6[[#This Row],[Fault Clearance time]]-Table6[[#This Row],[Fault Start TimeStamp]])*24</f>
        <v>0.13333333333333286</v>
      </c>
      <c r="U185" s="35" t="s">
        <v>267</v>
      </c>
      <c r="V185" s="102" t="s">
        <v>268</v>
      </c>
      <c r="W185" s="267">
        <f>IFERROR(Table6[[#This Row],[Breakdown Time]]*Table6[[#This Row],[Plant Equivalent Weightage]],"")</f>
        <v>5.1282051282051083E-3</v>
      </c>
      <c r="X185" s="262" t="s">
        <v>269</v>
      </c>
      <c r="Y185" s="263" t="s">
        <v>126</v>
      </c>
      <c r="Z185" s="102">
        <v>25190</v>
      </c>
      <c r="AA185" s="257">
        <f>(Table6[[#This Row],[Paired WTG Generation for loss calculation]]/24)*Table6[[#This Row],[Breakdown Time]]</f>
        <v>139.94444444444395</v>
      </c>
      <c r="AB185" s="102"/>
      <c r="AC185" s="35"/>
      <c r="AD185" s="35"/>
    </row>
    <row r="186" spans="1:30">
      <c r="A186" s="102">
        <f t="shared" si="3"/>
        <v>185</v>
      </c>
      <c r="B186" s="257">
        <f>YEAR(Table6[[#This Row],[Date]])+IF(MONTH(Table6[[#This Row],[Date]])&gt;=4,1,0)</f>
        <v>2026</v>
      </c>
      <c r="C186" s="102">
        <f>YEAR(Table6[[#This Row],[Date]])</f>
        <v>2025</v>
      </c>
      <c r="D186" s="102" t="s">
        <v>265</v>
      </c>
      <c r="E186" s="258">
        <f>Table6[[#This Row],[Date]]-DAY(Table6[[#This Row],[Date]])+1</f>
        <v>45748</v>
      </c>
      <c r="F186" s="259">
        <v>45760</v>
      </c>
      <c r="G186" s="35" t="s">
        <v>125</v>
      </c>
      <c r="H186" s="35" t="str">
        <f>IFERROR(_xlfn.XLOOKUP(Table6[[#This Row],[Affected WTG]],'Basic Data'!$A:$A,'Basic Data'!$B:$B),"")</f>
        <v>TQGXIIPL</v>
      </c>
      <c r="I186" s="35" t="str">
        <f>IFERROR(_xlfn.XLOOKUP(Table6[[#This Row],[Affected WTG]],'Basic Data'!$A:$A,'Basic Data'!$C:$C),"")</f>
        <v>GEDA</v>
      </c>
      <c r="J186" s="260">
        <f>IFERROR(_xlfn.XLOOKUP(Table6[[#This Row],[Affected WTG]],'Basic Data'!$A:$A,'Basic Data'!$E:$E),"")</f>
        <v>3.846153846153845E-2</v>
      </c>
      <c r="K186" s="102">
        <v>55</v>
      </c>
      <c r="L186" s="35" t="str">
        <f>IFERROR(_xlfn.XLOOKUP(Table6[[#This Row],[Error Code]],'Basic Data'!$AA:$AA,'Basic Data'!$AB:$AB),"Incorrect Error Code")</f>
        <v>WTG shut down</v>
      </c>
      <c r="M186" s="35" t="s">
        <v>266</v>
      </c>
      <c r="N186" s="264"/>
      <c r="O186" s="265">
        <v>0.67222222222222228</v>
      </c>
      <c r="P186" s="265">
        <v>0.67222222222222228</v>
      </c>
      <c r="Q186" s="266">
        <v>0.69374999999999998</v>
      </c>
      <c r="R186" s="261">
        <f>IF(Table6[[#This Row],[Work Start TimeStamp]]="","",(Table6[[#This Row],[Work Start TimeStamp]]-Table6[[#This Row],[Fault Start TimeStamp]])*24)</f>
        <v>0</v>
      </c>
      <c r="S186" s="261">
        <f>(Table6[[#This Row],[Fault Clearance time]]-Table6[[#This Row],[Work Start TimeStamp]])*24</f>
        <v>0.51666666666666483</v>
      </c>
      <c r="T186" s="261">
        <f>(Table6[[#This Row],[Fault Clearance time]]-Table6[[#This Row],[Fault Start TimeStamp]])*24</f>
        <v>0.51666666666666483</v>
      </c>
      <c r="U186" s="35" t="s">
        <v>320</v>
      </c>
      <c r="V186" s="102" t="s">
        <v>268</v>
      </c>
      <c r="W186" s="267">
        <f>IFERROR(Table6[[#This Row],[Breakdown Time]]*Table6[[#This Row],[Plant Equivalent Weightage]],"")</f>
        <v>1.9871794871794794E-2</v>
      </c>
      <c r="X186" s="262" t="s">
        <v>296</v>
      </c>
      <c r="Y186" s="263" t="s">
        <v>126</v>
      </c>
      <c r="Z186" s="102">
        <v>25190</v>
      </c>
      <c r="AA186" s="257">
        <f>(Table6[[#This Row],[Paired WTG Generation for loss calculation]]/24)*Table6[[#This Row],[Breakdown Time]]</f>
        <v>542.28472222222024</v>
      </c>
      <c r="AB186" s="102"/>
      <c r="AC186" s="35"/>
      <c r="AD186" s="35"/>
    </row>
    <row r="187" spans="1:30">
      <c r="A187" s="102">
        <f t="shared" si="3"/>
        <v>186</v>
      </c>
      <c r="B187" s="257">
        <f>YEAR(Table6[[#This Row],[Date]])+IF(MONTH(Table6[[#This Row],[Date]])&gt;=4,1,0)</f>
        <v>2026</v>
      </c>
      <c r="C187" s="102">
        <f>YEAR(Table6[[#This Row],[Date]])</f>
        <v>2025</v>
      </c>
      <c r="D187" s="102" t="s">
        <v>265</v>
      </c>
      <c r="E187" s="258">
        <f>Table6[[#This Row],[Date]]-DAY(Table6[[#This Row],[Date]])+1</f>
        <v>45748</v>
      </c>
      <c r="F187" s="259">
        <v>45760</v>
      </c>
      <c r="G187" s="35" t="s">
        <v>127</v>
      </c>
      <c r="H187" s="35" t="str">
        <f>IFERROR(_xlfn.XLOOKUP(Table6[[#This Row],[Affected WTG]],'Basic Data'!$A:$A,'Basic Data'!$B:$B),"")</f>
        <v>TQGXIIPL</v>
      </c>
      <c r="I187" s="35" t="str">
        <f>IFERROR(_xlfn.XLOOKUP(Table6[[#This Row],[Affected WTG]],'Basic Data'!$A:$A,'Basic Data'!$C:$C),"")</f>
        <v>GEDA</v>
      </c>
      <c r="J187" s="260">
        <f>IFERROR(_xlfn.XLOOKUP(Table6[[#This Row],[Affected WTG]],'Basic Data'!$A:$A,'Basic Data'!$E:$E),"")</f>
        <v>3.846153846153845E-2</v>
      </c>
      <c r="K187" s="102">
        <v>3211</v>
      </c>
      <c r="L187" s="35" t="str">
        <f>IFERROR(_xlfn.XLOOKUP(Table6[[#This Row],[Error Code]],'Basic Data'!$AA:$AA,'Basic Data'!$AB:$AB),"Incorrect Error Code")</f>
        <v>Conv. load shedding (CAN)</v>
      </c>
      <c r="M187" s="35" t="s">
        <v>266</v>
      </c>
      <c r="N187" s="264"/>
      <c r="O187" s="265">
        <v>0.31319444444444444</v>
      </c>
      <c r="P187" s="265">
        <v>0.31319444444444444</v>
      </c>
      <c r="Q187" s="266">
        <v>0.31597222222222221</v>
      </c>
      <c r="R187" s="261">
        <f>IF(Table6[[#This Row],[Work Start TimeStamp]]="","",(Table6[[#This Row],[Work Start TimeStamp]]-Table6[[#This Row],[Fault Start TimeStamp]])*24)</f>
        <v>0</v>
      </c>
      <c r="S187" s="261">
        <f>(Table6[[#This Row],[Fault Clearance time]]-Table6[[#This Row],[Work Start TimeStamp]])*24</f>
        <v>6.666666666666643E-2</v>
      </c>
      <c r="T187" s="261">
        <f>(Table6[[#This Row],[Fault Clearance time]]-Table6[[#This Row],[Fault Start TimeStamp]])*24</f>
        <v>6.666666666666643E-2</v>
      </c>
      <c r="U187" s="35" t="s">
        <v>267</v>
      </c>
      <c r="V187" s="102" t="s">
        <v>268</v>
      </c>
      <c r="W187" s="267">
        <f>IFERROR(Table6[[#This Row],[Breakdown Time]]*Table6[[#This Row],[Plant Equivalent Weightage]],"")</f>
        <v>2.5641025641025541E-3</v>
      </c>
      <c r="X187" s="262" t="s">
        <v>269</v>
      </c>
      <c r="Y187" s="263" t="s">
        <v>125</v>
      </c>
      <c r="Z187" s="102">
        <v>23698</v>
      </c>
      <c r="AA187" s="257">
        <f>(Table6[[#This Row],[Paired WTG Generation for loss calculation]]/24)*Table6[[#This Row],[Breakdown Time]]</f>
        <v>65.827777777777541</v>
      </c>
      <c r="AB187" s="102"/>
      <c r="AC187" s="35"/>
      <c r="AD187" s="35"/>
    </row>
    <row r="188" spans="1:30">
      <c r="A188" s="102">
        <f t="shared" si="3"/>
        <v>187</v>
      </c>
      <c r="B188" s="257">
        <f>YEAR(Table6[[#This Row],[Date]])+IF(MONTH(Table6[[#This Row],[Date]])&gt;=4,1,0)</f>
        <v>2026</v>
      </c>
      <c r="C188" s="102">
        <f>YEAR(Table6[[#This Row],[Date]])</f>
        <v>2025</v>
      </c>
      <c r="D188" s="102" t="s">
        <v>265</v>
      </c>
      <c r="E188" s="258">
        <f>Table6[[#This Row],[Date]]-DAY(Table6[[#This Row],[Date]])+1</f>
        <v>45748</v>
      </c>
      <c r="F188" s="259">
        <v>45760</v>
      </c>
      <c r="G188" s="35" t="s">
        <v>127</v>
      </c>
      <c r="H188" s="35" t="str">
        <f>IFERROR(_xlfn.XLOOKUP(Table6[[#This Row],[Affected WTG]],'Basic Data'!$A:$A,'Basic Data'!$B:$B),"")</f>
        <v>TQGXIIPL</v>
      </c>
      <c r="I188" s="35" t="str">
        <f>IFERROR(_xlfn.XLOOKUP(Table6[[#This Row],[Affected WTG]],'Basic Data'!$A:$A,'Basic Data'!$C:$C),"")</f>
        <v>GEDA</v>
      </c>
      <c r="J188" s="260">
        <f>IFERROR(_xlfn.XLOOKUP(Table6[[#This Row],[Affected WTG]],'Basic Data'!$A:$A,'Basic Data'!$E:$E),"")</f>
        <v>3.846153846153845E-2</v>
      </c>
      <c r="K188" s="102">
        <v>3211</v>
      </c>
      <c r="L188" s="35" t="str">
        <f>IFERROR(_xlfn.XLOOKUP(Table6[[#This Row],[Error Code]],'Basic Data'!$AA:$AA,'Basic Data'!$AB:$AB),"Incorrect Error Code")</f>
        <v>Conv. load shedding (CAN)</v>
      </c>
      <c r="M188" s="35" t="s">
        <v>266</v>
      </c>
      <c r="N188" s="264"/>
      <c r="O188" s="265">
        <v>0.32013888888888886</v>
      </c>
      <c r="P188" s="265">
        <v>0.32013888888888886</v>
      </c>
      <c r="Q188" s="266">
        <v>0.32291666666666669</v>
      </c>
      <c r="R188" s="261">
        <f>IF(Table6[[#This Row],[Work Start TimeStamp]]="","",(Table6[[#This Row],[Work Start TimeStamp]]-Table6[[#This Row],[Fault Start TimeStamp]])*24)</f>
        <v>0</v>
      </c>
      <c r="S188" s="261">
        <f>(Table6[[#This Row],[Fault Clearance time]]-Table6[[#This Row],[Work Start TimeStamp]])*24</f>
        <v>6.6666666666667762E-2</v>
      </c>
      <c r="T188" s="261">
        <f>(Table6[[#This Row],[Fault Clearance time]]-Table6[[#This Row],[Fault Start TimeStamp]])*24</f>
        <v>6.6666666666667762E-2</v>
      </c>
      <c r="U188" s="35" t="s">
        <v>267</v>
      </c>
      <c r="V188" s="102" t="s">
        <v>268</v>
      </c>
      <c r="W188" s="267">
        <f>IFERROR(Table6[[#This Row],[Breakdown Time]]*Table6[[#This Row],[Plant Equivalent Weightage]],"")</f>
        <v>2.5641025641026053E-3</v>
      </c>
      <c r="X188" s="262" t="s">
        <v>269</v>
      </c>
      <c r="Y188" s="263" t="s">
        <v>125</v>
      </c>
      <c r="Z188" s="102">
        <v>23698</v>
      </c>
      <c r="AA188" s="257">
        <f>(Table6[[#This Row],[Paired WTG Generation for loss calculation]]/24)*Table6[[#This Row],[Breakdown Time]]</f>
        <v>65.827777777778863</v>
      </c>
      <c r="AB188" s="102"/>
      <c r="AC188" s="35"/>
      <c r="AD188" s="35"/>
    </row>
    <row r="189" spans="1:30">
      <c r="A189" s="102">
        <f t="shared" si="3"/>
        <v>188</v>
      </c>
      <c r="B189" s="257">
        <f>YEAR(Table6[[#This Row],[Date]])+IF(MONTH(Table6[[#This Row],[Date]])&gt;=4,1,0)</f>
        <v>2026</v>
      </c>
      <c r="C189" s="102">
        <f>YEAR(Table6[[#This Row],[Date]])</f>
        <v>2025</v>
      </c>
      <c r="D189" s="102" t="s">
        <v>265</v>
      </c>
      <c r="E189" s="258">
        <f>Table6[[#This Row],[Date]]-DAY(Table6[[#This Row],[Date]])+1</f>
        <v>45748</v>
      </c>
      <c r="F189" s="259">
        <v>45760</v>
      </c>
      <c r="G189" s="35" t="s">
        <v>127</v>
      </c>
      <c r="H189" s="35" t="str">
        <f>IFERROR(_xlfn.XLOOKUP(Table6[[#This Row],[Affected WTG]],'Basic Data'!$A:$A,'Basic Data'!$B:$B),"")</f>
        <v>TQGXIIPL</v>
      </c>
      <c r="I189" s="35" t="str">
        <f>IFERROR(_xlfn.XLOOKUP(Table6[[#This Row],[Affected WTG]],'Basic Data'!$A:$A,'Basic Data'!$C:$C),"")</f>
        <v>GEDA</v>
      </c>
      <c r="J189" s="260">
        <f>IFERROR(_xlfn.XLOOKUP(Table6[[#This Row],[Affected WTG]],'Basic Data'!$A:$A,'Basic Data'!$E:$E),"")</f>
        <v>3.846153846153845E-2</v>
      </c>
      <c r="K189" s="102">
        <v>6130</v>
      </c>
      <c r="L189" s="35" t="str">
        <f>IFERROR(_xlfn.XLOOKUP(Table6[[#This Row],[Error Code]],'Basic Data'!$AA:$AA,'Basic Data'!$AB:$AB),"Incorrect Error Code")</f>
        <v>Yaw speed high</v>
      </c>
      <c r="M189" s="35" t="s">
        <v>266</v>
      </c>
      <c r="N189" s="264"/>
      <c r="O189" s="265">
        <v>0.69722222222222219</v>
      </c>
      <c r="P189" s="265">
        <v>0.69722222222222219</v>
      </c>
      <c r="Q189" s="266">
        <v>0.70138888888888884</v>
      </c>
      <c r="R189" s="261">
        <f>IF(Table6[[#This Row],[Work Start TimeStamp]]="","",(Table6[[#This Row],[Work Start TimeStamp]]-Table6[[#This Row],[Fault Start TimeStamp]])*24)</f>
        <v>0</v>
      </c>
      <c r="S189" s="261">
        <f>(Table6[[#This Row],[Fault Clearance time]]-Table6[[#This Row],[Work Start TimeStamp]])*24</f>
        <v>9.9999999999999645E-2</v>
      </c>
      <c r="T189" s="261">
        <f>(Table6[[#This Row],[Fault Clearance time]]-Table6[[#This Row],[Fault Start TimeStamp]])*24</f>
        <v>9.9999999999999645E-2</v>
      </c>
      <c r="U189" s="35" t="s">
        <v>267</v>
      </c>
      <c r="V189" s="102" t="s">
        <v>268</v>
      </c>
      <c r="W189" s="267">
        <f>IFERROR(Table6[[#This Row],[Breakdown Time]]*Table6[[#This Row],[Plant Equivalent Weightage]],"")</f>
        <v>3.8461538461538312E-3</v>
      </c>
      <c r="X189" s="262" t="s">
        <v>269</v>
      </c>
      <c r="Y189" s="263" t="s">
        <v>125</v>
      </c>
      <c r="Z189" s="102">
        <v>23698</v>
      </c>
      <c r="AA189" s="257">
        <f>(Table6[[#This Row],[Paired WTG Generation for loss calculation]]/24)*Table6[[#This Row],[Breakdown Time]]</f>
        <v>98.741666666666319</v>
      </c>
      <c r="AB189" s="102"/>
      <c r="AC189" s="35"/>
      <c r="AD189" s="35"/>
    </row>
    <row r="190" spans="1:30">
      <c r="A190" s="102">
        <f t="shared" si="3"/>
        <v>189</v>
      </c>
      <c r="B190" s="257">
        <f>YEAR(Table6[[#This Row],[Date]])+IF(MONTH(Table6[[#This Row],[Date]])&gt;=4,1,0)</f>
        <v>2026</v>
      </c>
      <c r="C190" s="102">
        <f>YEAR(Table6[[#This Row],[Date]])</f>
        <v>2025</v>
      </c>
      <c r="D190" s="102" t="s">
        <v>265</v>
      </c>
      <c r="E190" s="258">
        <f>Table6[[#This Row],[Date]]-DAY(Table6[[#This Row],[Date]])+1</f>
        <v>45748</v>
      </c>
      <c r="F190" s="259">
        <v>45760</v>
      </c>
      <c r="G190" s="35" t="s">
        <v>127</v>
      </c>
      <c r="H190" s="35" t="str">
        <f>IFERROR(_xlfn.XLOOKUP(Table6[[#This Row],[Affected WTG]],'Basic Data'!$A:$A,'Basic Data'!$B:$B),"")</f>
        <v>TQGXIIPL</v>
      </c>
      <c r="I190" s="35" t="str">
        <f>IFERROR(_xlfn.XLOOKUP(Table6[[#This Row],[Affected WTG]],'Basic Data'!$A:$A,'Basic Data'!$C:$C),"")</f>
        <v>GEDA</v>
      </c>
      <c r="J190" s="260">
        <f>IFERROR(_xlfn.XLOOKUP(Table6[[#This Row],[Affected WTG]],'Basic Data'!$A:$A,'Basic Data'!$E:$E),"")</f>
        <v>3.846153846153845E-2</v>
      </c>
      <c r="K190" s="102">
        <v>55</v>
      </c>
      <c r="L190" s="35" t="str">
        <f>IFERROR(_xlfn.XLOOKUP(Table6[[#This Row],[Error Code]],'Basic Data'!$AA:$AA,'Basic Data'!$AB:$AB),"Incorrect Error Code")</f>
        <v>WTG shut down</v>
      </c>
      <c r="M190" s="35" t="s">
        <v>300</v>
      </c>
      <c r="N190" s="264"/>
      <c r="O190" s="265">
        <v>0.76875000000000004</v>
      </c>
      <c r="P190" s="265">
        <v>0.76875000000000004</v>
      </c>
      <c r="Q190" s="266">
        <v>0.80625000000000002</v>
      </c>
      <c r="R190" s="261">
        <f>IF(Table6[[#This Row],[Work Start TimeStamp]]="","",(Table6[[#This Row],[Work Start TimeStamp]]-Table6[[#This Row],[Fault Start TimeStamp]])*24)</f>
        <v>0</v>
      </c>
      <c r="S190" s="261">
        <f>(Table6[[#This Row],[Fault Clearance time]]-Table6[[#This Row],[Work Start TimeStamp]])*24</f>
        <v>0.89999999999999947</v>
      </c>
      <c r="T190" s="261">
        <f>(Table6[[#This Row],[Fault Clearance time]]-Table6[[#This Row],[Fault Start TimeStamp]])*24</f>
        <v>0.89999999999999947</v>
      </c>
      <c r="U190" s="35" t="s">
        <v>301</v>
      </c>
      <c r="V190" s="102" t="s">
        <v>268</v>
      </c>
      <c r="W190" s="267">
        <f>IFERROR(Table6[[#This Row],[Breakdown Time]]*Table6[[#This Row],[Plant Equivalent Weightage]],"")</f>
        <v>3.4615384615384583E-2</v>
      </c>
      <c r="X190" s="262" t="s">
        <v>296</v>
      </c>
      <c r="Y190" s="263" t="s">
        <v>125</v>
      </c>
      <c r="Z190" s="102">
        <v>23698</v>
      </c>
      <c r="AA190" s="257">
        <f>(Table6[[#This Row],[Paired WTG Generation for loss calculation]]/24)*Table6[[#This Row],[Breakdown Time]]</f>
        <v>888.67499999999939</v>
      </c>
      <c r="AB190" s="102"/>
      <c r="AC190" s="35"/>
      <c r="AD190" s="35"/>
    </row>
    <row r="191" spans="1:30">
      <c r="A191" s="102">
        <f t="shared" si="3"/>
        <v>190</v>
      </c>
      <c r="B191" s="257">
        <f>YEAR(Table6[[#This Row],[Date]])+IF(MONTH(Table6[[#This Row],[Date]])&gt;=4,1,0)</f>
        <v>2026</v>
      </c>
      <c r="C191" s="102">
        <f>YEAR(Table6[[#This Row],[Date]])</f>
        <v>2025</v>
      </c>
      <c r="D191" s="102" t="s">
        <v>265</v>
      </c>
      <c r="E191" s="258">
        <f>Table6[[#This Row],[Date]]-DAY(Table6[[#This Row],[Date]])+1</f>
        <v>45748</v>
      </c>
      <c r="F191" s="259">
        <v>45760</v>
      </c>
      <c r="G191" s="35" t="s">
        <v>127</v>
      </c>
      <c r="H191" s="35" t="str">
        <f>IFERROR(_xlfn.XLOOKUP(Table6[[#This Row],[Affected WTG]],'Basic Data'!$A:$A,'Basic Data'!$B:$B),"")</f>
        <v>TQGXIIPL</v>
      </c>
      <c r="I191" s="35" t="str">
        <f>IFERROR(_xlfn.XLOOKUP(Table6[[#This Row],[Affected WTG]],'Basic Data'!$A:$A,'Basic Data'!$C:$C),"")</f>
        <v>GEDA</v>
      </c>
      <c r="J191" s="260">
        <f>IFERROR(_xlfn.XLOOKUP(Table6[[#This Row],[Affected WTG]],'Basic Data'!$A:$A,'Basic Data'!$E:$E),"")</f>
        <v>3.846153846153845E-2</v>
      </c>
      <c r="K191" s="102">
        <v>55</v>
      </c>
      <c r="L191" s="35" t="str">
        <f>IFERROR(_xlfn.XLOOKUP(Table6[[#This Row],[Error Code]],'Basic Data'!$AA:$AA,'Basic Data'!$AB:$AB),"Incorrect Error Code")</f>
        <v>WTG shut down</v>
      </c>
      <c r="M191" s="35" t="s">
        <v>300</v>
      </c>
      <c r="N191" s="264"/>
      <c r="O191" s="265">
        <v>0.84236111111111112</v>
      </c>
      <c r="P191" s="265">
        <v>0.84236111111111112</v>
      </c>
      <c r="Q191" s="266">
        <v>1</v>
      </c>
      <c r="R191" s="261">
        <f>IF(Table6[[#This Row],[Work Start TimeStamp]]="","",(Table6[[#This Row],[Work Start TimeStamp]]-Table6[[#This Row],[Fault Start TimeStamp]])*24)</f>
        <v>0</v>
      </c>
      <c r="S191" s="261">
        <f>(Table6[[#This Row],[Fault Clearance time]]-Table6[[#This Row],[Work Start TimeStamp]])*24</f>
        <v>3.7833333333333332</v>
      </c>
      <c r="T191" s="261">
        <f>(Table6[[#This Row],[Fault Clearance time]]-Table6[[#This Row],[Fault Start TimeStamp]])*24</f>
        <v>3.7833333333333332</v>
      </c>
      <c r="U191" s="35" t="s">
        <v>301</v>
      </c>
      <c r="V191" s="102" t="s">
        <v>268</v>
      </c>
      <c r="W191" s="267">
        <f>IFERROR(Table6[[#This Row],[Breakdown Time]]*Table6[[#This Row],[Plant Equivalent Weightage]],"")</f>
        <v>0.14551282051282047</v>
      </c>
      <c r="X191" s="262" t="s">
        <v>296</v>
      </c>
      <c r="Y191" s="263" t="s">
        <v>125</v>
      </c>
      <c r="Z191" s="102">
        <v>23698</v>
      </c>
      <c r="AA191" s="257">
        <f>(Table6[[#This Row],[Paired WTG Generation for loss calculation]]/24)*Table6[[#This Row],[Breakdown Time]]</f>
        <v>3735.7263888888888</v>
      </c>
      <c r="AB191" s="102"/>
      <c r="AC191" s="35"/>
      <c r="AD191" s="35"/>
    </row>
    <row r="192" spans="1:30">
      <c r="A192" s="102">
        <f t="shared" si="3"/>
        <v>191</v>
      </c>
      <c r="B192" s="257">
        <f>YEAR(Table6[[#This Row],[Date]])+IF(MONTH(Table6[[#This Row],[Date]])&gt;=4,1,0)</f>
        <v>2026</v>
      </c>
      <c r="C192" s="102">
        <f>YEAR(Table6[[#This Row],[Date]])</f>
        <v>2025</v>
      </c>
      <c r="D192" s="102" t="s">
        <v>265</v>
      </c>
      <c r="E192" s="258">
        <f>Table6[[#This Row],[Date]]-DAY(Table6[[#This Row],[Date]])+1</f>
        <v>45748</v>
      </c>
      <c r="F192" s="259">
        <v>45760</v>
      </c>
      <c r="G192" s="35" t="s">
        <v>128</v>
      </c>
      <c r="H192" s="35" t="str">
        <f>IFERROR(_xlfn.XLOOKUP(Table6[[#This Row],[Affected WTG]],'Basic Data'!$A:$A,'Basic Data'!$B:$B),"")</f>
        <v>TQGXIIPL</v>
      </c>
      <c r="I192" s="35" t="str">
        <f>IFERROR(_xlfn.XLOOKUP(Table6[[#This Row],[Affected WTG]],'Basic Data'!$A:$A,'Basic Data'!$C:$C),"")</f>
        <v>GEDA</v>
      </c>
      <c r="J192" s="260">
        <f>IFERROR(_xlfn.XLOOKUP(Table6[[#This Row],[Affected WTG]],'Basic Data'!$A:$A,'Basic Data'!$E:$E),"")</f>
        <v>3.846153846153845E-2</v>
      </c>
      <c r="K192" s="102">
        <v>3211</v>
      </c>
      <c r="L192" s="35" t="str">
        <f>IFERROR(_xlfn.XLOOKUP(Table6[[#This Row],[Error Code]],'Basic Data'!$AA:$AA,'Basic Data'!$AB:$AB),"Incorrect Error Code")</f>
        <v>Conv. load shedding (CAN)</v>
      </c>
      <c r="M192" s="35" t="s">
        <v>266</v>
      </c>
      <c r="N192" s="264"/>
      <c r="O192" s="265">
        <v>0.31319444444444444</v>
      </c>
      <c r="P192" s="265">
        <v>0.31319444444444444</v>
      </c>
      <c r="Q192" s="266">
        <v>0.31666666666666665</v>
      </c>
      <c r="R192" s="261">
        <f>IF(Table6[[#This Row],[Work Start TimeStamp]]="","",(Table6[[#This Row],[Work Start TimeStamp]]-Table6[[#This Row],[Fault Start TimeStamp]])*24)</f>
        <v>0</v>
      </c>
      <c r="S192" s="261">
        <f>(Table6[[#This Row],[Fault Clearance time]]-Table6[[#This Row],[Work Start TimeStamp]])*24</f>
        <v>8.3333333333333037E-2</v>
      </c>
      <c r="T192" s="261">
        <f>(Table6[[#This Row],[Fault Clearance time]]-Table6[[#This Row],[Fault Start TimeStamp]])*24</f>
        <v>8.3333333333333037E-2</v>
      </c>
      <c r="U192" s="35" t="s">
        <v>267</v>
      </c>
      <c r="V192" s="102" t="s">
        <v>268</v>
      </c>
      <c r="W192" s="267">
        <f>IFERROR(Table6[[#This Row],[Breakdown Time]]*Table6[[#This Row],[Plant Equivalent Weightage]],"")</f>
        <v>3.2051282051281929E-3</v>
      </c>
      <c r="X192" s="262" t="s">
        <v>269</v>
      </c>
      <c r="Y192" s="263" t="s">
        <v>126</v>
      </c>
      <c r="Z192" s="102">
        <v>25190</v>
      </c>
      <c r="AA192" s="257">
        <f>(Table6[[#This Row],[Paired WTG Generation for loss calculation]]/24)*Table6[[#This Row],[Breakdown Time]]</f>
        <v>87.465277777777459</v>
      </c>
      <c r="AB192" s="102"/>
      <c r="AC192" s="35"/>
      <c r="AD192" s="35"/>
    </row>
    <row r="193" spans="1:30">
      <c r="A193" s="102">
        <f t="shared" si="3"/>
        <v>192</v>
      </c>
      <c r="B193" s="257">
        <f>YEAR(Table6[[#This Row],[Date]])+IF(MONTH(Table6[[#This Row],[Date]])&gt;=4,1,0)</f>
        <v>2026</v>
      </c>
      <c r="C193" s="102">
        <f>YEAR(Table6[[#This Row],[Date]])</f>
        <v>2025</v>
      </c>
      <c r="D193" s="102" t="s">
        <v>265</v>
      </c>
      <c r="E193" s="258">
        <f>Table6[[#This Row],[Date]]-DAY(Table6[[#This Row],[Date]])+1</f>
        <v>45748</v>
      </c>
      <c r="F193" s="259">
        <v>45760</v>
      </c>
      <c r="G193" s="35" t="s">
        <v>128</v>
      </c>
      <c r="H193" s="35" t="str">
        <f>IFERROR(_xlfn.XLOOKUP(Table6[[#This Row],[Affected WTG]],'Basic Data'!$A:$A,'Basic Data'!$B:$B),"")</f>
        <v>TQGXIIPL</v>
      </c>
      <c r="I193" s="35" t="str">
        <f>IFERROR(_xlfn.XLOOKUP(Table6[[#This Row],[Affected WTG]],'Basic Data'!$A:$A,'Basic Data'!$C:$C),"")</f>
        <v>GEDA</v>
      </c>
      <c r="J193" s="260">
        <f>IFERROR(_xlfn.XLOOKUP(Table6[[#This Row],[Affected WTG]],'Basic Data'!$A:$A,'Basic Data'!$E:$E),"")</f>
        <v>3.846153846153845E-2</v>
      </c>
      <c r="K193" s="102">
        <v>3211</v>
      </c>
      <c r="L193" s="35" t="str">
        <f>IFERROR(_xlfn.XLOOKUP(Table6[[#This Row],[Error Code]],'Basic Data'!$AA:$AA,'Basic Data'!$AB:$AB),"Incorrect Error Code")</f>
        <v>Conv. load shedding (CAN)</v>
      </c>
      <c r="M193" s="35" t="s">
        <v>266</v>
      </c>
      <c r="N193" s="264"/>
      <c r="O193" s="265">
        <v>0.31944444444444442</v>
      </c>
      <c r="P193" s="265">
        <v>0.31944444444444442</v>
      </c>
      <c r="Q193" s="266">
        <v>0.32569444444444445</v>
      </c>
      <c r="R193" s="261">
        <f>IF(Table6[[#This Row],[Work Start TimeStamp]]="","",(Table6[[#This Row],[Work Start TimeStamp]]-Table6[[#This Row],[Fault Start TimeStamp]])*24)</f>
        <v>0</v>
      </c>
      <c r="S193" s="261">
        <f>(Table6[[#This Row],[Fault Clearance time]]-Table6[[#This Row],[Work Start TimeStamp]])*24</f>
        <v>0.1500000000000008</v>
      </c>
      <c r="T193" s="261">
        <f>(Table6[[#This Row],[Fault Clearance time]]-Table6[[#This Row],[Fault Start TimeStamp]])*24</f>
        <v>0.1500000000000008</v>
      </c>
      <c r="U193" s="35" t="s">
        <v>267</v>
      </c>
      <c r="V193" s="102" t="s">
        <v>268</v>
      </c>
      <c r="W193" s="267">
        <f>IFERROR(Table6[[#This Row],[Breakdown Time]]*Table6[[#This Row],[Plant Equivalent Weightage]],"")</f>
        <v>5.7692307692307982E-3</v>
      </c>
      <c r="X193" s="262" t="s">
        <v>269</v>
      </c>
      <c r="Y193" s="263" t="s">
        <v>126</v>
      </c>
      <c r="Z193" s="102">
        <v>25190</v>
      </c>
      <c r="AA193" s="257">
        <f>(Table6[[#This Row],[Paired WTG Generation for loss calculation]]/24)*Table6[[#This Row],[Breakdown Time]]</f>
        <v>157.43750000000082</v>
      </c>
      <c r="AB193" s="102"/>
      <c r="AC193" s="35"/>
      <c r="AD193" s="35"/>
    </row>
    <row r="194" spans="1:30">
      <c r="A194" s="102">
        <f t="shared" si="3"/>
        <v>193</v>
      </c>
      <c r="B194" s="257">
        <f>YEAR(Table6[[#This Row],[Date]])+IF(MONTH(Table6[[#This Row],[Date]])&gt;=4,1,0)</f>
        <v>2026</v>
      </c>
      <c r="C194" s="102">
        <f>YEAR(Table6[[#This Row],[Date]])</f>
        <v>2025</v>
      </c>
      <c r="D194" s="102" t="s">
        <v>265</v>
      </c>
      <c r="E194" s="258">
        <f>Table6[[#This Row],[Date]]-DAY(Table6[[#This Row],[Date]])+1</f>
        <v>45748</v>
      </c>
      <c r="F194" s="259">
        <v>45760</v>
      </c>
      <c r="G194" s="35" t="s">
        <v>128</v>
      </c>
      <c r="H194" s="35" t="str">
        <f>IFERROR(_xlfn.XLOOKUP(Table6[[#This Row],[Affected WTG]],'Basic Data'!$A:$A,'Basic Data'!$B:$B),"")</f>
        <v>TQGXIIPL</v>
      </c>
      <c r="I194" s="35" t="str">
        <f>IFERROR(_xlfn.XLOOKUP(Table6[[#This Row],[Affected WTG]],'Basic Data'!$A:$A,'Basic Data'!$C:$C),"")</f>
        <v>GEDA</v>
      </c>
      <c r="J194" s="260">
        <f>IFERROR(_xlfn.XLOOKUP(Table6[[#This Row],[Affected WTG]],'Basic Data'!$A:$A,'Basic Data'!$E:$E),"")</f>
        <v>3.846153846153845E-2</v>
      </c>
      <c r="K194" s="102">
        <v>55</v>
      </c>
      <c r="L194" s="35" t="str">
        <f>IFERROR(_xlfn.XLOOKUP(Table6[[#This Row],[Error Code]],'Basic Data'!$AA:$AA,'Basic Data'!$AB:$AB),"Incorrect Error Code")</f>
        <v>WTG shut down</v>
      </c>
      <c r="M194" s="35" t="s">
        <v>266</v>
      </c>
      <c r="N194" s="264"/>
      <c r="O194" s="265">
        <v>0.6381944444444444</v>
      </c>
      <c r="P194" s="265">
        <v>0.6381944444444444</v>
      </c>
      <c r="Q194" s="266">
        <v>0.65694444444444444</v>
      </c>
      <c r="R194" s="261">
        <f>IF(Table6[[#This Row],[Work Start TimeStamp]]="","",(Table6[[#This Row],[Work Start TimeStamp]]-Table6[[#This Row],[Fault Start TimeStamp]])*24)</f>
        <v>0</v>
      </c>
      <c r="S194" s="261">
        <f>(Table6[[#This Row],[Fault Clearance time]]-Table6[[#This Row],[Work Start TimeStamp]])*24</f>
        <v>0.45000000000000107</v>
      </c>
      <c r="T194" s="261">
        <f>(Table6[[#This Row],[Fault Clearance time]]-Table6[[#This Row],[Fault Start TimeStamp]])*24</f>
        <v>0.45000000000000107</v>
      </c>
      <c r="U194" s="35" t="s">
        <v>320</v>
      </c>
      <c r="V194" s="102" t="s">
        <v>268</v>
      </c>
      <c r="W194" s="267">
        <f>IFERROR(Table6[[#This Row],[Breakdown Time]]*Table6[[#This Row],[Plant Equivalent Weightage]],"")</f>
        <v>1.7307692307692343E-2</v>
      </c>
      <c r="X194" s="262" t="s">
        <v>296</v>
      </c>
      <c r="Y194" s="263" t="s">
        <v>126</v>
      </c>
      <c r="Z194" s="102">
        <v>25190</v>
      </c>
      <c r="AA194" s="257">
        <f>(Table6[[#This Row],[Paired WTG Generation for loss calculation]]/24)*Table6[[#This Row],[Breakdown Time]]</f>
        <v>472.31250000000108</v>
      </c>
      <c r="AB194" s="102"/>
      <c r="AC194" s="35"/>
      <c r="AD194" s="35"/>
    </row>
    <row r="195" spans="1:30">
      <c r="A195" s="102">
        <f t="shared" si="3"/>
        <v>194</v>
      </c>
      <c r="B195" s="257">
        <f>YEAR(Table6[[#This Row],[Date]])+IF(MONTH(Table6[[#This Row],[Date]])&gt;=4,1,0)</f>
        <v>2026</v>
      </c>
      <c r="C195" s="102">
        <f>YEAR(Table6[[#This Row],[Date]])</f>
        <v>2025</v>
      </c>
      <c r="D195" s="102" t="s">
        <v>265</v>
      </c>
      <c r="E195" s="258">
        <f>Table6[[#This Row],[Date]]-DAY(Table6[[#This Row],[Date]])+1</f>
        <v>45748</v>
      </c>
      <c r="F195" s="259">
        <v>45760</v>
      </c>
      <c r="G195" s="35" t="s">
        <v>129</v>
      </c>
      <c r="H195" s="35" t="str">
        <f>IFERROR(_xlfn.XLOOKUP(Table6[[#This Row],[Affected WTG]],'Basic Data'!$A:$A,'Basic Data'!$B:$B),"")</f>
        <v>TQGXIIPL</v>
      </c>
      <c r="I195" s="35" t="str">
        <f>IFERROR(_xlfn.XLOOKUP(Table6[[#This Row],[Affected WTG]],'Basic Data'!$A:$A,'Basic Data'!$C:$C),"")</f>
        <v>GEDA</v>
      </c>
      <c r="J195" s="260">
        <f>IFERROR(_xlfn.XLOOKUP(Table6[[#This Row],[Affected WTG]],'Basic Data'!$A:$A,'Basic Data'!$E:$E),"")</f>
        <v>3.846153846153845E-2</v>
      </c>
      <c r="K195" s="102">
        <v>55</v>
      </c>
      <c r="L195" s="35" t="str">
        <f>IFERROR(_xlfn.XLOOKUP(Table6[[#This Row],[Error Code]],'Basic Data'!$AA:$AA,'Basic Data'!$AB:$AB),"Incorrect Error Code")</f>
        <v>WTG shut down</v>
      </c>
      <c r="M195" s="35" t="s">
        <v>271</v>
      </c>
      <c r="N195" s="264"/>
      <c r="O195" s="265">
        <v>0.33402777777777776</v>
      </c>
      <c r="P195" s="265">
        <v>0.33402777777777776</v>
      </c>
      <c r="Q195" s="266">
        <v>0.62986111111111109</v>
      </c>
      <c r="R195" s="261">
        <f>IF(Table6[[#This Row],[Work Start TimeStamp]]="","",(Table6[[#This Row],[Work Start TimeStamp]]-Table6[[#This Row],[Fault Start TimeStamp]])*24)</f>
        <v>0</v>
      </c>
      <c r="S195" s="261">
        <f>(Table6[[#This Row],[Fault Clearance time]]-Table6[[#This Row],[Work Start TimeStamp]])*24</f>
        <v>7.1</v>
      </c>
      <c r="T195" s="261">
        <f>(Table6[[#This Row],[Fault Clearance time]]-Table6[[#This Row],[Fault Start TimeStamp]])*24</f>
        <v>7.1</v>
      </c>
      <c r="U195" s="35" t="s">
        <v>272</v>
      </c>
      <c r="V195" s="102" t="s">
        <v>268</v>
      </c>
      <c r="W195" s="267">
        <f>IFERROR(Table6[[#This Row],[Breakdown Time]]*Table6[[#This Row],[Plant Equivalent Weightage]],"")</f>
        <v>0.27307692307692299</v>
      </c>
      <c r="X195" s="262" t="s">
        <v>273</v>
      </c>
      <c r="Y195" s="263" t="s">
        <v>124</v>
      </c>
      <c r="Z195" s="102">
        <v>25909</v>
      </c>
      <c r="AA195" s="257">
        <f>(Table6[[#This Row],[Paired WTG Generation for loss calculation]]/24)*Table6[[#This Row],[Breakdown Time]]</f>
        <v>7664.7458333333334</v>
      </c>
      <c r="AB195" s="102"/>
      <c r="AC195" s="35"/>
      <c r="AD195" s="35"/>
    </row>
    <row r="196" spans="1:30">
      <c r="A196" s="102">
        <f t="shared" si="3"/>
        <v>195</v>
      </c>
      <c r="B196" s="257">
        <f>YEAR(Table6[[#This Row],[Date]])+IF(MONTH(Table6[[#This Row],[Date]])&gt;=4,1,0)</f>
        <v>2026</v>
      </c>
      <c r="C196" s="102">
        <f>YEAR(Table6[[#This Row],[Date]])</f>
        <v>2025</v>
      </c>
      <c r="D196" s="102" t="s">
        <v>265</v>
      </c>
      <c r="E196" s="258">
        <f>Table6[[#This Row],[Date]]-DAY(Table6[[#This Row],[Date]])+1</f>
        <v>45748</v>
      </c>
      <c r="F196" s="259">
        <v>45760</v>
      </c>
      <c r="G196" s="35" t="s">
        <v>131</v>
      </c>
      <c r="H196" s="35" t="str">
        <f>IFERROR(_xlfn.XLOOKUP(Table6[[#This Row],[Affected WTG]],'Basic Data'!$A:$A,'Basic Data'!$B:$B),"")</f>
        <v>TQGXIIPL</v>
      </c>
      <c r="I196" s="35" t="str">
        <f>IFERROR(_xlfn.XLOOKUP(Table6[[#This Row],[Affected WTG]],'Basic Data'!$A:$A,'Basic Data'!$C:$C),"")</f>
        <v>GEDA</v>
      </c>
      <c r="J196" s="260">
        <f>IFERROR(_xlfn.XLOOKUP(Table6[[#This Row],[Affected WTG]],'Basic Data'!$A:$A,'Basic Data'!$E:$E),"")</f>
        <v>3.846153846153845E-2</v>
      </c>
      <c r="K196" s="102">
        <v>3211</v>
      </c>
      <c r="L196" s="35" t="str">
        <f>IFERROR(_xlfn.XLOOKUP(Table6[[#This Row],[Error Code]],'Basic Data'!$AA:$AA,'Basic Data'!$AB:$AB),"Incorrect Error Code")</f>
        <v>Conv. load shedding (CAN)</v>
      </c>
      <c r="M196" s="35" t="s">
        <v>266</v>
      </c>
      <c r="N196" s="264"/>
      <c r="O196" s="265">
        <v>0.91319444444444442</v>
      </c>
      <c r="P196" s="265">
        <v>0.91319444444444442</v>
      </c>
      <c r="Q196" s="266">
        <v>0.9194444444444444</v>
      </c>
      <c r="R196" s="261">
        <f>IF(Table6[[#This Row],[Work Start TimeStamp]]="","",(Table6[[#This Row],[Work Start TimeStamp]]-Table6[[#This Row],[Fault Start TimeStamp]])*24)</f>
        <v>0</v>
      </c>
      <c r="S196" s="261">
        <f>(Table6[[#This Row],[Fault Clearance time]]-Table6[[#This Row],[Work Start TimeStamp]])*24</f>
        <v>0.14999999999999947</v>
      </c>
      <c r="T196" s="261">
        <f>(Table6[[#This Row],[Fault Clearance time]]-Table6[[#This Row],[Fault Start TimeStamp]])*24</f>
        <v>0.14999999999999947</v>
      </c>
      <c r="U196" s="35" t="s">
        <v>267</v>
      </c>
      <c r="V196" s="102" t="s">
        <v>268</v>
      </c>
      <c r="W196" s="267">
        <f>IFERROR(Table6[[#This Row],[Breakdown Time]]*Table6[[#This Row],[Plant Equivalent Weightage]],"")</f>
        <v>5.769230769230747E-3</v>
      </c>
      <c r="X196" s="262" t="s">
        <v>269</v>
      </c>
      <c r="Y196" s="263" t="s">
        <v>136</v>
      </c>
      <c r="Z196" s="102">
        <v>23878</v>
      </c>
      <c r="AA196" s="257">
        <f>(Table6[[#This Row],[Paired WTG Generation for loss calculation]]/24)*Table6[[#This Row],[Breakdown Time]]</f>
        <v>149.23749999999947</v>
      </c>
      <c r="AB196" s="102"/>
      <c r="AC196" s="35"/>
      <c r="AD196" s="35"/>
    </row>
    <row r="197" spans="1:30">
      <c r="A197" s="102">
        <f t="shared" si="3"/>
        <v>196</v>
      </c>
      <c r="B197" s="257">
        <f>YEAR(Table6[[#This Row],[Date]])+IF(MONTH(Table6[[#This Row],[Date]])&gt;=4,1,0)</f>
        <v>2026</v>
      </c>
      <c r="C197" s="102">
        <f>YEAR(Table6[[#This Row],[Date]])</f>
        <v>2025</v>
      </c>
      <c r="D197" s="102" t="s">
        <v>265</v>
      </c>
      <c r="E197" s="258">
        <f>Table6[[#This Row],[Date]]-DAY(Table6[[#This Row],[Date]])+1</f>
        <v>45748</v>
      </c>
      <c r="F197" s="259">
        <v>45760</v>
      </c>
      <c r="G197" s="35" t="s">
        <v>132</v>
      </c>
      <c r="H197" s="35" t="str">
        <f>IFERROR(_xlfn.XLOOKUP(Table6[[#This Row],[Affected WTG]],'Basic Data'!$A:$A,'Basic Data'!$B:$B),"")</f>
        <v>TQGXIIPL</v>
      </c>
      <c r="I197" s="35" t="str">
        <f>IFERROR(_xlfn.XLOOKUP(Table6[[#This Row],[Affected WTG]],'Basic Data'!$A:$A,'Basic Data'!$C:$C),"")</f>
        <v>GEDA</v>
      </c>
      <c r="J197" s="260">
        <f>IFERROR(_xlfn.XLOOKUP(Table6[[#This Row],[Affected WTG]],'Basic Data'!$A:$A,'Basic Data'!$E:$E),"")</f>
        <v>3.846153846153845E-2</v>
      </c>
      <c r="K197" s="102">
        <v>152</v>
      </c>
      <c r="L197" s="35" t="str">
        <f>IFERROR(_xlfn.XLOOKUP(Table6[[#This Row],[Error Code]],'Basic Data'!$AA:$AA,'Basic Data'!$AB:$AB),"Incorrect Error Code")</f>
        <v>SLC app. not in SAFE mode</v>
      </c>
      <c r="M197" s="35" t="s">
        <v>266</v>
      </c>
      <c r="N197" s="264"/>
      <c r="O197" s="265">
        <v>0.30486111111111114</v>
      </c>
      <c r="P197" s="265">
        <v>0.30486111111111114</v>
      </c>
      <c r="Q197" s="266">
        <v>0.30763888888888891</v>
      </c>
      <c r="R197" s="261">
        <f>IF(Table6[[#This Row],[Work Start TimeStamp]]="","",(Table6[[#This Row],[Work Start TimeStamp]]-Table6[[#This Row],[Fault Start TimeStamp]])*24)</f>
        <v>0</v>
      </c>
      <c r="S197" s="261">
        <f>(Table6[[#This Row],[Fault Clearance time]]-Table6[[#This Row],[Work Start TimeStamp]])*24</f>
        <v>6.666666666666643E-2</v>
      </c>
      <c r="T197" s="261">
        <f>(Table6[[#This Row],[Fault Clearance time]]-Table6[[#This Row],[Fault Start TimeStamp]])*24</f>
        <v>6.666666666666643E-2</v>
      </c>
      <c r="U197" s="35" t="s">
        <v>321</v>
      </c>
      <c r="V197" s="102" t="s">
        <v>268</v>
      </c>
      <c r="W197" s="267">
        <f>IFERROR(Table6[[#This Row],[Breakdown Time]]*Table6[[#This Row],[Plant Equivalent Weightage]],"")</f>
        <v>2.5641025641025541E-3</v>
      </c>
      <c r="X197" s="262" t="s">
        <v>269</v>
      </c>
      <c r="Y197" s="263" t="s">
        <v>120</v>
      </c>
      <c r="Z197" s="102">
        <v>23521</v>
      </c>
      <c r="AA197" s="257">
        <f>(Table6[[#This Row],[Paired WTG Generation for loss calculation]]/24)*Table6[[#This Row],[Breakdown Time]]</f>
        <v>65.336111111110881</v>
      </c>
      <c r="AB197" s="102"/>
      <c r="AC197" s="35"/>
      <c r="AD197" s="35"/>
    </row>
    <row r="198" spans="1:30">
      <c r="A198" s="102">
        <f t="shared" si="3"/>
        <v>197</v>
      </c>
      <c r="B198" s="257">
        <f>YEAR(Table6[[#This Row],[Date]])+IF(MONTH(Table6[[#This Row],[Date]])&gt;=4,1,0)</f>
        <v>2026</v>
      </c>
      <c r="C198" s="102">
        <f>YEAR(Table6[[#This Row],[Date]])</f>
        <v>2025</v>
      </c>
      <c r="D198" s="102" t="s">
        <v>265</v>
      </c>
      <c r="E198" s="258">
        <f>Table6[[#This Row],[Date]]-DAY(Table6[[#This Row],[Date]])+1</f>
        <v>45748</v>
      </c>
      <c r="F198" s="259">
        <v>45760</v>
      </c>
      <c r="G198" s="35" t="s">
        <v>132</v>
      </c>
      <c r="H198" s="35" t="str">
        <f>IFERROR(_xlfn.XLOOKUP(Table6[[#This Row],[Affected WTG]],'Basic Data'!$A:$A,'Basic Data'!$B:$B),"")</f>
        <v>TQGXIIPL</v>
      </c>
      <c r="I198" s="35" t="str">
        <f>IFERROR(_xlfn.XLOOKUP(Table6[[#This Row],[Affected WTG]],'Basic Data'!$A:$A,'Basic Data'!$C:$C),"")</f>
        <v>GEDA</v>
      </c>
      <c r="J198" s="260">
        <f>IFERROR(_xlfn.XLOOKUP(Table6[[#This Row],[Affected WTG]],'Basic Data'!$A:$A,'Basic Data'!$E:$E),"")</f>
        <v>3.846153846153845E-2</v>
      </c>
      <c r="K198" s="102">
        <v>3110</v>
      </c>
      <c r="L198" s="35" t="str">
        <f>IFERROR(_xlfn.XLOOKUP(Table6[[#This Row],[Error Code]],'Basic Data'!$AA:$AA,'Basic Data'!$AB:$AB),"Incorrect Error Code")</f>
        <v>Frequency converter error</v>
      </c>
      <c r="M198" s="35" t="s">
        <v>266</v>
      </c>
      <c r="N198" s="264"/>
      <c r="O198" s="265">
        <v>0.85624999999999996</v>
      </c>
      <c r="P198" s="265">
        <v>0.85624999999999996</v>
      </c>
      <c r="Q198" s="266">
        <v>0.8618055555555556</v>
      </c>
      <c r="R198" s="261">
        <f>IF(Table6[[#This Row],[Work Start TimeStamp]]="","",(Table6[[#This Row],[Work Start TimeStamp]]-Table6[[#This Row],[Fault Start TimeStamp]])*24)</f>
        <v>0</v>
      </c>
      <c r="S198" s="261">
        <f>(Table6[[#This Row],[Fault Clearance time]]-Table6[[#This Row],[Work Start TimeStamp]])*24</f>
        <v>0.13333333333333552</v>
      </c>
      <c r="T198" s="261">
        <f>(Table6[[#This Row],[Fault Clearance time]]-Table6[[#This Row],[Fault Start TimeStamp]])*24</f>
        <v>0.13333333333333552</v>
      </c>
      <c r="U198" s="35" t="s">
        <v>267</v>
      </c>
      <c r="V198" s="102" t="s">
        <v>268</v>
      </c>
      <c r="W198" s="267">
        <f>IFERROR(Table6[[#This Row],[Breakdown Time]]*Table6[[#This Row],[Plant Equivalent Weightage]],"")</f>
        <v>5.1282051282052106E-3</v>
      </c>
      <c r="X198" s="262" t="s">
        <v>269</v>
      </c>
      <c r="Y198" s="263" t="s">
        <v>120</v>
      </c>
      <c r="Z198" s="102">
        <v>23521</v>
      </c>
      <c r="AA198" s="257">
        <f>(Table6[[#This Row],[Paired WTG Generation for loss calculation]]/24)*Table6[[#This Row],[Breakdown Time]]</f>
        <v>130.67222222222438</v>
      </c>
      <c r="AB198" s="102"/>
      <c r="AC198" s="35"/>
      <c r="AD198" s="35"/>
    </row>
    <row r="199" spans="1:30">
      <c r="A199" s="102">
        <f t="shared" si="3"/>
        <v>198</v>
      </c>
      <c r="B199" s="257">
        <f>YEAR(Table6[[#This Row],[Date]])+IF(MONTH(Table6[[#This Row],[Date]])&gt;=4,1,0)</f>
        <v>2026</v>
      </c>
      <c r="C199" s="102">
        <f>YEAR(Table6[[#This Row],[Date]])</f>
        <v>2025</v>
      </c>
      <c r="D199" s="102" t="s">
        <v>265</v>
      </c>
      <c r="E199" s="258">
        <f>Table6[[#This Row],[Date]]-DAY(Table6[[#This Row],[Date]])+1</f>
        <v>45748</v>
      </c>
      <c r="F199" s="259">
        <v>45760</v>
      </c>
      <c r="G199" s="35" t="s">
        <v>132</v>
      </c>
      <c r="H199" s="35" t="str">
        <f>IFERROR(_xlfn.XLOOKUP(Table6[[#This Row],[Affected WTG]],'Basic Data'!$A:$A,'Basic Data'!$B:$B),"")</f>
        <v>TQGXIIPL</v>
      </c>
      <c r="I199" s="35" t="str">
        <f>IFERROR(_xlfn.XLOOKUP(Table6[[#This Row],[Affected WTG]],'Basic Data'!$A:$A,'Basic Data'!$C:$C),"")</f>
        <v>GEDA</v>
      </c>
      <c r="J199" s="260">
        <f>IFERROR(_xlfn.XLOOKUP(Table6[[#This Row],[Affected WTG]],'Basic Data'!$A:$A,'Basic Data'!$E:$E),"")</f>
        <v>3.846153846153845E-2</v>
      </c>
      <c r="K199" s="102">
        <v>3110</v>
      </c>
      <c r="L199" s="35" t="str">
        <f>IFERROR(_xlfn.XLOOKUP(Table6[[#This Row],[Error Code]],'Basic Data'!$AA:$AA,'Basic Data'!$AB:$AB),"Incorrect Error Code")</f>
        <v>Frequency converter error</v>
      </c>
      <c r="M199" s="35" t="s">
        <v>266</v>
      </c>
      <c r="N199" s="264"/>
      <c r="O199" s="265">
        <v>0.88124999999999998</v>
      </c>
      <c r="P199" s="265">
        <v>0.88124999999999998</v>
      </c>
      <c r="Q199" s="266">
        <v>0.9</v>
      </c>
      <c r="R199" s="261">
        <f>IF(Table6[[#This Row],[Work Start TimeStamp]]="","",(Table6[[#This Row],[Work Start TimeStamp]]-Table6[[#This Row],[Fault Start TimeStamp]])*24)</f>
        <v>0</v>
      </c>
      <c r="S199" s="261">
        <f>(Table6[[#This Row],[Fault Clearance time]]-Table6[[#This Row],[Work Start TimeStamp]])*24</f>
        <v>0.45000000000000107</v>
      </c>
      <c r="T199" s="261">
        <f>(Table6[[#This Row],[Fault Clearance time]]-Table6[[#This Row],[Fault Start TimeStamp]])*24</f>
        <v>0.45000000000000107</v>
      </c>
      <c r="U199" s="35" t="s">
        <v>267</v>
      </c>
      <c r="V199" s="102" t="s">
        <v>268</v>
      </c>
      <c r="W199" s="267">
        <f>IFERROR(Table6[[#This Row],[Breakdown Time]]*Table6[[#This Row],[Plant Equivalent Weightage]],"")</f>
        <v>1.7307692307692343E-2</v>
      </c>
      <c r="X199" s="262" t="s">
        <v>269</v>
      </c>
      <c r="Y199" s="263" t="s">
        <v>120</v>
      </c>
      <c r="Z199" s="102">
        <v>23521</v>
      </c>
      <c r="AA199" s="257">
        <f>(Table6[[#This Row],[Paired WTG Generation for loss calculation]]/24)*Table6[[#This Row],[Breakdown Time]]</f>
        <v>441.01875000000103</v>
      </c>
      <c r="AB199" s="102"/>
      <c r="AC199" s="35"/>
      <c r="AD199" s="35"/>
    </row>
    <row r="200" spans="1:30">
      <c r="A200" s="102">
        <f t="shared" si="3"/>
        <v>199</v>
      </c>
      <c r="B200" s="257">
        <f>YEAR(Table6[[#This Row],[Date]])+IF(MONTH(Table6[[#This Row],[Date]])&gt;=4,1,0)</f>
        <v>2026</v>
      </c>
      <c r="C200" s="102">
        <f>YEAR(Table6[[#This Row],[Date]])</f>
        <v>2025</v>
      </c>
      <c r="D200" s="102" t="s">
        <v>265</v>
      </c>
      <c r="E200" s="258">
        <f>Table6[[#This Row],[Date]]-DAY(Table6[[#This Row],[Date]])+1</f>
        <v>45748</v>
      </c>
      <c r="F200" s="259">
        <v>45760</v>
      </c>
      <c r="G200" s="35" t="s">
        <v>132</v>
      </c>
      <c r="H200" s="35" t="str">
        <f>IFERROR(_xlfn.XLOOKUP(Table6[[#This Row],[Affected WTG]],'Basic Data'!$A:$A,'Basic Data'!$B:$B),"")</f>
        <v>TQGXIIPL</v>
      </c>
      <c r="I200" s="35" t="str">
        <f>IFERROR(_xlfn.XLOOKUP(Table6[[#This Row],[Affected WTG]],'Basic Data'!$A:$A,'Basic Data'!$C:$C),"")</f>
        <v>GEDA</v>
      </c>
      <c r="J200" s="260">
        <f>IFERROR(_xlfn.XLOOKUP(Table6[[#This Row],[Affected WTG]],'Basic Data'!$A:$A,'Basic Data'!$E:$E),"")</f>
        <v>3.846153846153845E-2</v>
      </c>
      <c r="K200" s="102">
        <v>665</v>
      </c>
      <c r="L200" s="35" t="str">
        <f>IFERROR(_xlfn.XLOOKUP(Table6[[#This Row],[Error Code]],'Basic Data'!$AA:$AA,'Basic Data'!$AB:$AB),"Incorrect Error Code")</f>
        <v>Pitch error</v>
      </c>
      <c r="M200" s="35" t="s">
        <v>266</v>
      </c>
      <c r="N200" s="264"/>
      <c r="O200" s="265">
        <v>0.97291666666666665</v>
      </c>
      <c r="P200" s="265">
        <v>0.97291666666666665</v>
      </c>
      <c r="Q200" s="266">
        <v>0.9770833333333333</v>
      </c>
      <c r="R200" s="261">
        <f>IF(Table6[[#This Row],[Work Start TimeStamp]]="","",(Table6[[#This Row],[Work Start TimeStamp]]-Table6[[#This Row],[Fault Start TimeStamp]])*24)</f>
        <v>0</v>
      </c>
      <c r="S200" s="261">
        <f>(Table6[[#This Row],[Fault Clearance time]]-Table6[[#This Row],[Work Start TimeStamp]])*24</f>
        <v>9.9999999999999645E-2</v>
      </c>
      <c r="T200" s="261">
        <f>(Table6[[#This Row],[Fault Clearance time]]-Table6[[#This Row],[Fault Start TimeStamp]])*24</f>
        <v>9.9999999999999645E-2</v>
      </c>
      <c r="U200" s="35" t="s">
        <v>267</v>
      </c>
      <c r="V200" s="102" t="s">
        <v>268</v>
      </c>
      <c r="W200" s="267">
        <f>IFERROR(Table6[[#This Row],[Breakdown Time]]*Table6[[#This Row],[Plant Equivalent Weightage]],"")</f>
        <v>3.8461538461538312E-3</v>
      </c>
      <c r="X200" s="262" t="s">
        <v>269</v>
      </c>
      <c r="Y200" s="263" t="s">
        <v>120</v>
      </c>
      <c r="Z200" s="102">
        <v>23521</v>
      </c>
      <c r="AA200" s="257">
        <f>(Table6[[#This Row],[Paired WTG Generation for loss calculation]]/24)*Table6[[#This Row],[Breakdown Time]]</f>
        <v>98.004166666666308</v>
      </c>
      <c r="AB200" s="102"/>
      <c r="AC200" s="35"/>
      <c r="AD200" s="35"/>
    </row>
    <row r="201" spans="1:30">
      <c r="A201" s="102">
        <f t="shared" si="3"/>
        <v>200</v>
      </c>
      <c r="B201" s="257">
        <f>YEAR(Table6[[#This Row],[Date]])+IF(MONTH(Table6[[#This Row],[Date]])&gt;=4,1,0)</f>
        <v>2026</v>
      </c>
      <c r="C201" s="102">
        <f>YEAR(Table6[[#This Row],[Date]])</f>
        <v>2025</v>
      </c>
      <c r="D201" s="102" t="s">
        <v>265</v>
      </c>
      <c r="E201" s="258">
        <f>Table6[[#This Row],[Date]]-DAY(Table6[[#This Row],[Date]])+1</f>
        <v>45748</v>
      </c>
      <c r="F201" s="259">
        <v>45760</v>
      </c>
      <c r="G201" s="35" t="s">
        <v>133</v>
      </c>
      <c r="H201" s="35" t="str">
        <f>IFERROR(_xlfn.XLOOKUP(Table6[[#This Row],[Affected WTG]],'Basic Data'!$A:$A,'Basic Data'!$B:$B),"")</f>
        <v>TQGXIIPL</v>
      </c>
      <c r="I201" s="35" t="str">
        <f>IFERROR(_xlfn.XLOOKUP(Table6[[#This Row],[Affected WTG]],'Basic Data'!$A:$A,'Basic Data'!$C:$C),"")</f>
        <v>GEDA</v>
      </c>
      <c r="J201" s="260">
        <f>IFERROR(_xlfn.XLOOKUP(Table6[[#This Row],[Affected WTG]],'Basic Data'!$A:$A,'Basic Data'!$E:$E),"")</f>
        <v>3.846153846153845E-2</v>
      </c>
      <c r="K201" s="102">
        <v>3110</v>
      </c>
      <c r="L201" s="35" t="str">
        <f>IFERROR(_xlfn.XLOOKUP(Table6[[#This Row],[Error Code]],'Basic Data'!$AA:$AA,'Basic Data'!$AB:$AB),"Incorrect Error Code")</f>
        <v>Frequency converter error</v>
      </c>
      <c r="M201" s="35" t="s">
        <v>266</v>
      </c>
      <c r="N201" s="264"/>
      <c r="O201" s="265">
        <v>0.31041666666666667</v>
      </c>
      <c r="P201" s="265">
        <v>0.31041666666666667</v>
      </c>
      <c r="Q201" s="266">
        <v>0.32708333333333334</v>
      </c>
      <c r="R201" s="261">
        <f>IF(Table6[[#This Row],[Work Start TimeStamp]]="","",(Table6[[#This Row],[Work Start TimeStamp]]-Table6[[#This Row],[Fault Start TimeStamp]])*24)</f>
        <v>0</v>
      </c>
      <c r="S201" s="261">
        <f>(Table6[[#This Row],[Fault Clearance time]]-Table6[[#This Row],[Work Start TimeStamp]])*24</f>
        <v>0.39999999999999991</v>
      </c>
      <c r="T201" s="261">
        <f>(Table6[[#This Row],[Fault Clearance time]]-Table6[[#This Row],[Fault Start TimeStamp]])*24</f>
        <v>0.39999999999999991</v>
      </c>
      <c r="U201" s="35" t="s">
        <v>321</v>
      </c>
      <c r="V201" s="102" t="s">
        <v>268</v>
      </c>
      <c r="W201" s="267">
        <f>IFERROR(Table6[[#This Row],[Breakdown Time]]*Table6[[#This Row],[Plant Equivalent Weightage]],"")</f>
        <v>1.5384615384615377E-2</v>
      </c>
      <c r="X201" s="262" t="s">
        <v>269</v>
      </c>
      <c r="Y201" s="263" t="s">
        <v>121</v>
      </c>
      <c r="Z201" s="102">
        <v>22036</v>
      </c>
      <c r="AA201" s="257">
        <f>(Table6[[#This Row],[Paired WTG Generation for loss calculation]]/24)*Table6[[#This Row],[Breakdown Time]]</f>
        <v>367.26666666666659</v>
      </c>
      <c r="AB201" s="102"/>
      <c r="AC201" s="35"/>
      <c r="AD201" s="35"/>
    </row>
    <row r="202" spans="1:30">
      <c r="A202" s="102">
        <f t="shared" si="3"/>
        <v>201</v>
      </c>
      <c r="B202" s="257">
        <f>YEAR(Table6[[#This Row],[Date]])+IF(MONTH(Table6[[#This Row],[Date]])&gt;=4,1,0)</f>
        <v>2026</v>
      </c>
      <c r="C202" s="102">
        <f>YEAR(Table6[[#This Row],[Date]])</f>
        <v>2025</v>
      </c>
      <c r="D202" s="102" t="s">
        <v>265</v>
      </c>
      <c r="E202" s="258">
        <f>Table6[[#This Row],[Date]]-DAY(Table6[[#This Row],[Date]])+1</f>
        <v>45748</v>
      </c>
      <c r="F202" s="259">
        <v>45760</v>
      </c>
      <c r="G202" s="35" t="s">
        <v>133</v>
      </c>
      <c r="H202" s="35" t="str">
        <f>IFERROR(_xlfn.XLOOKUP(Table6[[#This Row],[Affected WTG]],'Basic Data'!$A:$A,'Basic Data'!$B:$B),"")</f>
        <v>TQGXIIPL</v>
      </c>
      <c r="I202" s="35" t="str">
        <f>IFERROR(_xlfn.XLOOKUP(Table6[[#This Row],[Affected WTG]],'Basic Data'!$A:$A,'Basic Data'!$C:$C),"")</f>
        <v>GEDA</v>
      </c>
      <c r="J202" s="260">
        <f>IFERROR(_xlfn.XLOOKUP(Table6[[#This Row],[Affected WTG]],'Basic Data'!$A:$A,'Basic Data'!$E:$E),"")</f>
        <v>3.846153846153845E-2</v>
      </c>
      <c r="K202" s="102">
        <v>55</v>
      </c>
      <c r="L202" s="35" t="str">
        <f>IFERROR(_xlfn.XLOOKUP(Table6[[#This Row],[Error Code]],'Basic Data'!$AA:$AA,'Basic Data'!$AB:$AB),"Incorrect Error Code")</f>
        <v>WTG shut down</v>
      </c>
      <c r="M202" s="35" t="s">
        <v>266</v>
      </c>
      <c r="N202" s="264"/>
      <c r="O202" s="265">
        <v>0.32708333333333334</v>
      </c>
      <c r="P202" s="265">
        <v>0.38541666666666669</v>
      </c>
      <c r="Q202" s="266">
        <v>0.4465277777777778</v>
      </c>
      <c r="R202" s="261">
        <f>IF(Table6[[#This Row],[Work Start TimeStamp]]="","",(Table6[[#This Row],[Work Start TimeStamp]]-Table6[[#This Row],[Fault Start TimeStamp]])*24)</f>
        <v>1.4000000000000004</v>
      </c>
      <c r="S202" s="261">
        <f>(Table6[[#This Row],[Fault Clearance time]]-Table6[[#This Row],[Work Start TimeStamp]])*24</f>
        <v>1.4666666666666668</v>
      </c>
      <c r="T202" s="261">
        <f>(Table6[[#This Row],[Fault Clearance time]]-Table6[[#This Row],[Fault Start TimeStamp]])*24</f>
        <v>2.8666666666666671</v>
      </c>
      <c r="U202" s="35" t="s">
        <v>320</v>
      </c>
      <c r="V202" s="102" t="s">
        <v>268</v>
      </c>
      <c r="W202" s="267">
        <f>IFERROR(Table6[[#This Row],[Breakdown Time]]*Table6[[#This Row],[Plant Equivalent Weightage]],"")</f>
        <v>0.11025641025641024</v>
      </c>
      <c r="X202" s="262" t="s">
        <v>296</v>
      </c>
      <c r="Y202" s="263" t="s">
        <v>121</v>
      </c>
      <c r="Z202" s="102">
        <v>22036</v>
      </c>
      <c r="AA202" s="257">
        <f>(Table6[[#This Row],[Paired WTG Generation for loss calculation]]/24)*Table6[[#This Row],[Breakdown Time]]</f>
        <v>2632.077777777778</v>
      </c>
      <c r="AB202" s="102"/>
      <c r="AC202" s="35"/>
      <c r="AD202" s="35"/>
    </row>
    <row r="203" spans="1:30">
      <c r="A203" s="102">
        <f t="shared" si="3"/>
        <v>202</v>
      </c>
      <c r="B203" s="257">
        <f>YEAR(Table6[[#This Row],[Date]])+IF(MONTH(Table6[[#This Row],[Date]])&gt;=4,1,0)</f>
        <v>2026</v>
      </c>
      <c r="C203" s="102">
        <f>YEAR(Table6[[#This Row],[Date]])</f>
        <v>2025</v>
      </c>
      <c r="D203" s="102" t="s">
        <v>265</v>
      </c>
      <c r="E203" s="258">
        <f>Table6[[#This Row],[Date]]-DAY(Table6[[#This Row],[Date]])+1</f>
        <v>45748</v>
      </c>
      <c r="F203" s="259">
        <v>45760</v>
      </c>
      <c r="G203" s="35" t="s">
        <v>133</v>
      </c>
      <c r="H203" s="35" t="str">
        <f>IFERROR(_xlfn.XLOOKUP(Table6[[#This Row],[Affected WTG]],'Basic Data'!$A:$A,'Basic Data'!$B:$B),"")</f>
        <v>TQGXIIPL</v>
      </c>
      <c r="I203" s="35" t="str">
        <f>IFERROR(_xlfn.XLOOKUP(Table6[[#This Row],[Affected WTG]],'Basic Data'!$A:$A,'Basic Data'!$C:$C),"")</f>
        <v>GEDA</v>
      </c>
      <c r="J203" s="260">
        <f>IFERROR(_xlfn.XLOOKUP(Table6[[#This Row],[Affected WTG]],'Basic Data'!$A:$A,'Basic Data'!$E:$E),"")</f>
        <v>3.846153846153845E-2</v>
      </c>
      <c r="K203" s="102">
        <v>53</v>
      </c>
      <c r="L203" s="35" t="str">
        <f>IFERROR(_xlfn.XLOOKUP(Table6[[#This Row],[Error Code]],'Basic Data'!$AA:$AA,'Basic Data'!$AB:$AB),"Incorrect Error Code")</f>
        <v>Wind dir.dev. level 1</v>
      </c>
      <c r="M203" s="35" t="s">
        <v>266</v>
      </c>
      <c r="N203" s="264"/>
      <c r="O203" s="265">
        <v>0.66041666666666665</v>
      </c>
      <c r="P203" s="265">
        <v>0.66041666666666665</v>
      </c>
      <c r="Q203" s="266">
        <v>0.66249999999999998</v>
      </c>
      <c r="R203" s="261">
        <f>IF(Table6[[#This Row],[Work Start TimeStamp]]="","",(Table6[[#This Row],[Work Start TimeStamp]]-Table6[[#This Row],[Fault Start TimeStamp]])*24)</f>
        <v>0</v>
      </c>
      <c r="S203" s="261">
        <f>(Table6[[#This Row],[Fault Clearance time]]-Table6[[#This Row],[Work Start TimeStamp]])*24</f>
        <v>4.9999999999999822E-2</v>
      </c>
      <c r="T203" s="261">
        <f>(Table6[[#This Row],[Fault Clearance time]]-Table6[[#This Row],[Fault Start TimeStamp]])*24</f>
        <v>4.9999999999999822E-2</v>
      </c>
      <c r="U203" s="35" t="s">
        <v>267</v>
      </c>
      <c r="V203" s="102" t="s">
        <v>268</v>
      </c>
      <c r="W203" s="267">
        <f>IFERROR(Table6[[#This Row],[Breakdown Time]]*Table6[[#This Row],[Plant Equivalent Weightage]],"")</f>
        <v>1.9230769230769156E-3</v>
      </c>
      <c r="X203" s="262" t="s">
        <v>269</v>
      </c>
      <c r="Y203" s="263" t="s">
        <v>121</v>
      </c>
      <c r="Z203" s="102">
        <v>22036</v>
      </c>
      <c r="AA203" s="257">
        <f>(Table6[[#This Row],[Paired WTG Generation for loss calculation]]/24)*Table6[[#This Row],[Breakdown Time]]</f>
        <v>45.908333333333168</v>
      </c>
      <c r="AB203" s="102"/>
      <c r="AC203" s="35"/>
      <c r="AD203" s="35"/>
    </row>
    <row r="204" spans="1:30">
      <c r="A204" s="102">
        <f t="shared" si="3"/>
        <v>203</v>
      </c>
      <c r="B204" s="257">
        <f>YEAR(Table6[[#This Row],[Date]])+IF(MONTH(Table6[[#This Row],[Date]])&gt;=4,1,0)</f>
        <v>2026</v>
      </c>
      <c r="C204" s="102">
        <f>YEAR(Table6[[#This Row],[Date]])</f>
        <v>2025</v>
      </c>
      <c r="D204" s="102" t="s">
        <v>265</v>
      </c>
      <c r="E204" s="258">
        <f>Table6[[#This Row],[Date]]-DAY(Table6[[#This Row],[Date]])+1</f>
        <v>45748</v>
      </c>
      <c r="F204" s="259">
        <v>45760</v>
      </c>
      <c r="G204" s="35" t="s">
        <v>135</v>
      </c>
      <c r="H204" s="35" t="str">
        <f>IFERROR(_xlfn.XLOOKUP(Table6[[#This Row],[Affected WTG]],'Basic Data'!$A:$A,'Basic Data'!$B:$B),"")</f>
        <v>TQGXIIPL</v>
      </c>
      <c r="I204" s="35" t="str">
        <f>IFERROR(_xlfn.XLOOKUP(Table6[[#This Row],[Affected WTG]],'Basic Data'!$A:$A,'Basic Data'!$C:$C),"")</f>
        <v>GEDA</v>
      </c>
      <c r="J204" s="260">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266</v>
      </c>
      <c r="N204" s="264"/>
      <c r="O204" s="265">
        <v>0.29444444444444445</v>
      </c>
      <c r="P204" s="265">
        <v>0.29444444444444445</v>
      </c>
      <c r="Q204" s="266">
        <v>0.36249999999999999</v>
      </c>
      <c r="R204" s="261">
        <f>IF(Table6[[#This Row],[Work Start TimeStamp]]="","",(Table6[[#This Row],[Work Start TimeStamp]]-Table6[[#This Row],[Fault Start TimeStamp]])*24)</f>
        <v>0</v>
      </c>
      <c r="S204" s="261">
        <f>(Table6[[#This Row],[Fault Clearance time]]-Table6[[#This Row],[Work Start TimeStamp]])*24</f>
        <v>1.6333333333333329</v>
      </c>
      <c r="T204" s="261">
        <f>(Table6[[#This Row],[Fault Clearance time]]-Table6[[#This Row],[Fault Start TimeStamp]])*24</f>
        <v>1.6333333333333329</v>
      </c>
      <c r="U204" s="35" t="s">
        <v>322</v>
      </c>
      <c r="V204" s="102" t="s">
        <v>268</v>
      </c>
      <c r="W204" s="267">
        <f>IFERROR(Table6[[#This Row],[Breakdown Time]]*Table6[[#This Row],[Plant Equivalent Weightage]],"")</f>
        <v>6.2820512820512778E-2</v>
      </c>
      <c r="X204" s="262" t="s">
        <v>269</v>
      </c>
      <c r="Y204" s="263" t="s">
        <v>120</v>
      </c>
      <c r="Z204" s="102">
        <v>23521</v>
      </c>
      <c r="AA204" s="257">
        <f>(Table6[[#This Row],[Paired WTG Generation for loss calculation]]/24)*Table6[[#This Row],[Breakdown Time]]</f>
        <v>1600.7347222222218</v>
      </c>
      <c r="AB204" s="102"/>
      <c r="AC204" s="35"/>
      <c r="AD204" s="35"/>
    </row>
    <row r="205" spans="1:30">
      <c r="A205" s="102">
        <f t="shared" si="3"/>
        <v>204</v>
      </c>
      <c r="B205" s="257">
        <f>YEAR(Table6[[#This Row],[Date]])+IF(MONTH(Table6[[#This Row],[Date]])&gt;=4,1,0)</f>
        <v>2026</v>
      </c>
      <c r="C205" s="102">
        <f>YEAR(Table6[[#This Row],[Date]])</f>
        <v>2025</v>
      </c>
      <c r="D205" s="102" t="s">
        <v>265</v>
      </c>
      <c r="E205" s="258">
        <f>Table6[[#This Row],[Date]]-DAY(Table6[[#This Row],[Date]])+1</f>
        <v>45748</v>
      </c>
      <c r="F205" s="259">
        <v>45760</v>
      </c>
      <c r="G205" s="35" t="s">
        <v>138</v>
      </c>
      <c r="H205" s="35" t="str">
        <f>IFERROR(_xlfn.XLOOKUP(Table6[[#This Row],[Affected WTG]],'Basic Data'!$A:$A,'Basic Data'!$B:$B),"")</f>
        <v>TQGXIIPL</v>
      </c>
      <c r="I205" s="35" t="str">
        <f>IFERROR(_xlfn.XLOOKUP(Table6[[#This Row],[Affected WTG]],'Basic Data'!$A:$A,'Basic Data'!$C:$C),"")</f>
        <v>GEDA</v>
      </c>
      <c r="J205" s="260">
        <f>IFERROR(_xlfn.XLOOKUP(Table6[[#This Row],[Affected WTG]],'Basic Data'!$A:$A,'Basic Data'!$E:$E),"")</f>
        <v>3.846153846153845E-2</v>
      </c>
      <c r="K205" s="102">
        <v>3110</v>
      </c>
      <c r="L205" s="35" t="str">
        <f>IFERROR(_xlfn.XLOOKUP(Table6[[#This Row],[Error Code]],'Basic Data'!$AA:$AA,'Basic Data'!$AB:$AB),"Incorrect Error Code")</f>
        <v>Frequency converter error</v>
      </c>
      <c r="M205" s="35" t="s">
        <v>266</v>
      </c>
      <c r="N205" s="264"/>
      <c r="O205" s="265">
        <v>0.30833333333333335</v>
      </c>
      <c r="P205" s="265">
        <v>0.33194444444444443</v>
      </c>
      <c r="Q205" s="266">
        <v>0.38541666666666669</v>
      </c>
      <c r="R205" s="261">
        <f>IF(Table6[[#This Row],[Work Start TimeStamp]]="","",(Table6[[#This Row],[Work Start TimeStamp]]-Table6[[#This Row],[Fault Start TimeStamp]])*24)</f>
        <v>0.56666666666666599</v>
      </c>
      <c r="S205" s="261">
        <f>(Table6[[#This Row],[Fault Clearance time]]-Table6[[#This Row],[Work Start TimeStamp]])*24</f>
        <v>1.2833333333333341</v>
      </c>
      <c r="T205" s="261">
        <f>(Table6[[#This Row],[Fault Clearance time]]-Table6[[#This Row],[Fault Start TimeStamp]])*24</f>
        <v>1.85</v>
      </c>
      <c r="U205" s="35" t="s">
        <v>323</v>
      </c>
      <c r="V205" s="102" t="s">
        <v>268</v>
      </c>
      <c r="W205" s="267">
        <f>IFERROR(Table6[[#This Row],[Breakdown Time]]*Table6[[#This Row],[Plant Equivalent Weightage]],"")</f>
        <v>7.1153846153846137E-2</v>
      </c>
      <c r="X205" s="262" t="s">
        <v>269</v>
      </c>
      <c r="Y205" s="263" t="s">
        <v>134</v>
      </c>
      <c r="Z205" s="102">
        <v>24441</v>
      </c>
      <c r="AA205" s="257">
        <f>(Table6[[#This Row],[Paired WTG Generation for loss calculation]]/24)*Table6[[#This Row],[Breakdown Time]]</f>
        <v>1883.9937500000001</v>
      </c>
      <c r="AB205" s="102"/>
      <c r="AC205" s="35"/>
      <c r="AD205" s="35"/>
    </row>
    <row r="206" spans="1:30">
      <c r="A206" s="102">
        <f t="shared" ref="A206:A269" si="4">A205+1</f>
        <v>205</v>
      </c>
      <c r="B206" s="257">
        <f>YEAR(Table6[[#This Row],[Date]])+IF(MONTH(Table6[[#This Row],[Date]])&gt;=4,1,0)</f>
        <v>2026</v>
      </c>
      <c r="C206" s="102">
        <f>YEAR(Table6[[#This Row],[Date]])</f>
        <v>2025</v>
      </c>
      <c r="D206" s="102" t="s">
        <v>265</v>
      </c>
      <c r="E206" s="258">
        <f>Table6[[#This Row],[Date]]-DAY(Table6[[#This Row],[Date]])+1</f>
        <v>45748</v>
      </c>
      <c r="F206" s="259">
        <v>45760</v>
      </c>
      <c r="G206" s="35" t="s">
        <v>139</v>
      </c>
      <c r="H206" s="35" t="str">
        <f>IFERROR(_xlfn.XLOOKUP(Table6[[#This Row],[Affected WTG]],'Basic Data'!$A:$A,'Basic Data'!$B:$B),"")</f>
        <v>TQGXIIPL</v>
      </c>
      <c r="I206" s="35" t="str">
        <f>IFERROR(_xlfn.XLOOKUP(Table6[[#This Row],[Affected WTG]],'Basic Data'!$A:$A,'Basic Data'!$C:$C),"")</f>
        <v>GEDA</v>
      </c>
      <c r="J206" s="260">
        <f>IFERROR(_xlfn.XLOOKUP(Table6[[#This Row],[Affected WTG]],'Basic Data'!$A:$A,'Basic Data'!$E:$E),"")</f>
        <v>3.846153846153845E-2</v>
      </c>
      <c r="K206" s="102">
        <v>3110</v>
      </c>
      <c r="L206" s="35" t="str">
        <f>IFERROR(_xlfn.XLOOKUP(Table6[[#This Row],[Error Code]],'Basic Data'!$AA:$AA,'Basic Data'!$AB:$AB),"Incorrect Error Code")</f>
        <v>Frequency converter error</v>
      </c>
      <c r="M206" s="35" t="s">
        <v>266</v>
      </c>
      <c r="N206" s="264"/>
      <c r="O206" s="265">
        <v>0.91666666666666663</v>
      </c>
      <c r="P206" s="265">
        <v>0.91666666666666663</v>
      </c>
      <c r="Q206" s="266">
        <v>0.92083333333333328</v>
      </c>
      <c r="R206" s="261">
        <f>IF(Table6[[#This Row],[Work Start TimeStamp]]="","",(Table6[[#This Row],[Work Start TimeStamp]]-Table6[[#This Row],[Fault Start TimeStamp]])*24)</f>
        <v>0</v>
      </c>
      <c r="S206" s="261">
        <f>(Table6[[#This Row],[Fault Clearance time]]-Table6[[#This Row],[Work Start TimeStamp]])*24</f>
        <v>9.9999999999999645E-2</v>
      </c>
      <c r="T206" s="261">
        <f>(Table6[[#This Row],[Fault Clearance time]]-Table6[[#This Row],[Fault Start TimeStamp]])*24</f>
        <v>9.9999999999999645E-2</v>
      </c>
      <c r="U206" s="35" t="s">
        <v>267</v>
      </c>
      <c r="V206" s="102" t="s">
        <v>268</v>
      </c>
      <c r="W206" s="267">
        <f>IFERROR(Table6[[#This Row],[Breakdown Time]]*Table6[[#This Row],[Plant Equivalent Weightage]],"")</f>
        <v>3.8461538461538312E-3</v>
      </c>
      <c r="X206" s="262" t="s">
        <v>269</v>
      </c>
      <c r="Y206" s="263" t="s">
        <v>115</v>
      </c>
      <c r="Z206" s="102">
        <v>26489</v>
      </c>
      <c r="AA206" s="257">
        <f>(Table6[[#This Row],[Paired WTG Generation for loss calculation]]/24)*Table6[[#This Row],[Breakdown Time]]</f>
        <v>110.37083333333294</v>
      </c>
      <c r="AB206" s="102"/>
      <c r="AC206" s="35"/>
      <c r="AD206" s="35"/>
    </row>
    <row r="207" spans="1:30">
      <c r="A207" s="102">
        <f t="shared" si="4"/>
        <v>206</v>
      </c>
      <c r="B207" s="257">
        <f>YEAR(Table6[[#This Row],[Date]])+IF(MONTH(Table6[[#This Row],[Date]])&gt;=4,1,0)</f>
        <v>2026</v>
      </c>
      <c r="C207" s="102">
        <f>YEAR(Table6[[#This Row],[Date]])</f>
        <v>2025</v>
      </c>
      <c r="D207" s="102" t="s">
        <v>265</v>
      </c>
      <c r="E207" s="258">
        <f>Table6[[#This Row],[Date]]-DAY(Table6[[#This Row],[Date]])+1</f>
        <v>45748</v>
      </c>
      <c r="F207" s="259">
        <v>45760</v>
      </c>
      <c r="G207" s="35" t="s">
        <v>139</v>
      </c>
      <c r="H207" s="35" t="str">
        <f>IFERROR(_xlfn.XLOOKUP(Table6[[#This Row],[Affected WTG]],'Basic Data'!$A:$A,'Basic Data'!$B:$B),"")</f>
        <v>TQGXIIPL</v>
      </c>
      <c r="I207" s="35" t="str">
        <f>IFERROR(_xlfn.XLOOKUP(Table6[[#This Row],[Affected WTG]],'Basic Data'!$A:$A,'Basic Data'!$C:$C),"")</f>
        <v>GEDA</v>
      </c>
      <c r="J207" s="260">
        <f>IFERROR(_xlfn.XLOOKUP(Table6[[#This Row],[Affected WTG]],'Basic Data'!$A:$A,'Basic Data'!$E:$E),"")</f>
        <v>3.846153846153845E-2</v>
      </c>
      <c r="K207" s="102">
        <v>1070</v>
      </c>
      <c r="L207" s="35" t="str">
        <f>IFERROR(_xlfn.XLOOKUP(Table6[[#This Row],[Error Code]],'Basic Data'!$AA:$AA,'Basic Data'!$AB:$AB),"Incorrect Error Code")</f>
        <v>Drive train monitor level 2</v>
      </c>
      <c r="M207" s="35" t="s">
        <v>266</v>
      </c>
      <c r="N207" s="264"/>
      <c r="O207" s="265">
        <v>0.98263888888888884</v>
      </c>
      <c r="P207" s="265">
        <v>0.98263888888888884</v>
      </c>
      <c r="Q207" s="266">
        <v>0.98402777777777772</v>
      </c>
      <c r="R207" s="261">
        <f>IF(Table6[[#This Row],[Work Start TimeStamp]]="","",(Table6[[#This Row],[Work Start TimeStamp]]-Table6[[#This Row],[Fault Start TimeStamp]])*24)</f>
        <v>0</v>
      </c>
      <c r="S207" s="261">
        <f>(Table6[[#This Row],[Fault Clearance time]]-Table6[[#This Row],[Work Start TimeStamp]])*24</f>
        <v>3.3333333333333215E-2</v>
      </c>
      <c r="T207" s="261">
        <f>(Table6[[#This Row],[Fault Clearance time]]-Table6[[#This Row],[Fault Start TimeStamp]])*24</f>
        <v>3.3333333333333215E-2</v>
      </c>
      <c r="U207" s="35" t="s">
        <v>267</v>
      </c>
      <c r="V207" s="102" t="s">
        <v>268</v>
      </c>
      <c r="W207" s="267">
        <f>IFERROR(Table6[[#This Row],[Breakdown Time]]*Table6[[#This Row],[Plant Equivalent Weightage]],"")</f>
        <v>1.2820512820512771E-3</v>
      </c>
      <c r="X207" s="262" t="s">
        <v>269</v>
      </c>
      <c r="Y207" s="263" t="s">
        <v>115</v>
      </c>
      <c r="Z207" s="102">
        <v>26489</v>
      </c>
      <c r="AA207" s="257">
        <f>(Table6[[#This Row],[Paired WTG Generation for loss calculation]]/24)*Table6[[#This Row],[Breakdown Time]]</f>
        <v>36.790277777777646</v>
      </c>
      <c r="AB207" s="102"/>
      <c r="AC207" s="35"/>
      <c r="AD207" s="35"/>
    </row>
    <row r="208" spans="1:30">
      <c r="A208" s="102">
        <f t="shared" si="4"/>
        <v>207</v>
      </c>
      <c r="B208" s="257">
        <f>YEAR(Table6[[#This Row],[Date]])+IF(MONTH(Table6[[#This Row],[Date]])&gt;=4,1,0)</f>
        <v>2026</v>
      </c>
      <c r="C208" s="102">
        <f>YEAR(Table6[[#This Row],[Date]])</f>
        <v>2025</v>
      </c>
      <c r="D208" s="102" t="s">
        <v>265</v>
      </c>
      <c r="E208" s="258">
        <f>Table6[[#This Row],[Date]]-DAY(Table6[[#This Row],[Date]])+1</f>
        <v>45748</v>
      </c>
      <c r="F208" s="259">
        <v>45761</v>
      </c>
      <c r="G208" s="35" t="s">
        <v>116</v>
      </c>
      <c r="H208" s="35" t="str">
        <f>IFERROR(_xlfn.XLOOKUP(Table6[[#This Row],[Affected WTG]],'Basic Data'!$A:$A,'Basic Data'!$B:$B),"")</f>
        <v>TQGXIIPL</v>
      </c>
      <c r="I208" s="35" t="str">
        <f>IFERROR(_xlfn.XLOOKUP(Table6[[#This Row],[Affected WTG]],'Basic Data'!$A:$A,'Basic Data'!$C:$C),"")</f>
        <v>GEDA</v>
      </c>
      <c r="J208" s="260">
        <f>IFERROR(_xlfn.XLOOKUP(Table6[[#This Row],[Affected WTG]],'Basic Data'!$A:$A,'Basic Data'!$E:$E),"")</f>
        <v>3.846153846153845E-2</v>
      </c>
      <c r="K208" s="102">
        <v>6130</v>
      </c>
      <c r="L208" s="35" t="str">
        <f>IFERROR(_xlfn.XLOOKUP(Table6[[#This Row],[Error Code]],'Basic Data'!$AA:$AA,'Basic Data'!$AB:$AB),"Incorrect Error Code")</f>
        <v>Yaw speed high</v>
      </c>
      <c r="M208" s="35" t="s">
        <v>266</v>
      </c>
      <c r="N208" s="264"/>
      <c r="O208" s="265">
        <v>0.34166666666666667</v>
      </c>
      <c r="P208" s="265">
        <v>0.34166666666666667</v>
      </c>
      <c r="Q208" s="266">
        <v>0.34583333333333333</v>
      </c>
      <c r="R208" s="261">
        <f>IF(Table6[[#This Row],[Work Start TimeStamp]]="","",(Table6[[#This Row],[Work Start TimeStamp]]-Table6[[#This Row],[Fault Start TimeStamp]])*24)</f>
        <v>0</v>
      </c>
      <c r="S208" s="261">
        <f>(Table6[[#This Row],[Fault Clearance time]]-Table6[[#This Row],[Work Start TimeStamp]])*24</f>
        <v>9.9999999999999645E-2</v>
      </c>
      <c r="T208" s="261">
        <f>(Table6[[#This Row],[Fault Clearance time]]-Table6[[#This Row],[Fault Start TimeStamp]])*24</f>
        <v>9.9999999999999645E-2</v>
      </c>
      <c r="U208" s="35" t="s">
        <v>267</v>
      </c>
      <c r="V208" s="102" t="s">
        <v>268</v>
      </c>
      <c r="W208" s="267">
        <f>IFERROR(Table6[[#This Row],[Breakdown Time]]*Table6[[#This Row],[Plant Equivalent Weightage]],"")</f>
        <v>3.8461538461538312E-3</v>
      </c>
      <c r="X208" s="262" t="s">
        <v>269</v>
      </c>
      <c r="Y208" s="263" t="s">
        <v>119</v>
      </c>
      <c r="Z208" s="102">
        <v>54526</v>
      </c>
      <c r="AA208" s="257">
        <f>(Table6[[#This Row],[Paired WTG Generation for loss calculation]]/24)*Table6[[#This Row],[Breakdown Time]]</f>
        <v>227.19166666666584</v>
      </c>
      <c r="AB208" s="102"/>
      <c r="AC208" s="35"/>
      <c r="AD208" s="35"/>
    </row>
    <row r="209" spans="1:30">
      <c r="A209" s="102">
        <f t="shared" si="4"/>
        <v>208</v>
      </c>
      <c r="B209" s="257">
        <f>YEAR(Table6[[#This Row],[Date]])+IF(MONTH(Table6[[#This Row],[Date]])&gt;=4,1,0)</f>
        <v>2026</v>
      </c>
      <c r="C209" s="102">
        <f>YEAR(Table6[[#This Row],[Date]])</f>
        <v>2025</v>
      </c>
      <c r="D209" s="102" t="s">
        <v>265</v>
      </c>
      <c r="E209" s="258">
        <f>Table6[[#This Row],[Date]]-DAY(Table6[[#This Row],[Date]])+1</f>
        <v>45748</v>
      </c>
      <c r="F209" s="259">
        <v>45761</v>
      </c>
      <c r="G209" s="35" t="s">
        <v>116</v>
      </c>
      <c r="H209" s="35" t="str">
        <f>IFERROR(_xlfn.XLOOKUP(Table6[[#This Row],[Affected WTG]],'Basic Data'!$A:$A,'Basic Data'!$B:$B),"")</f>
        <v>TQGXIIPL</v>
      </c>
      <c r="I209" s="35" t="str">
        <f>IFERROR(_xlfn.XLOOKUP(Table6[[#This Row],[Affected WTG]],'Basic Data'!$A:$A,'Basic Data'!$C:$C),"")</f>
        <v>GEDA</v>
      </c>
      <c r="J209" s="260">
        <f>IFERROR(_xlfn.XLOOKUP(Table6[[#This Row],[Affected WTG]],'Basic Data'!$A:$A,'Basic Data'!$E:$E),"")</f>
        <v>3.846153846153845E-2</v>
      </c>
      <c r="K209" s="102">
        <v>6130</v>
      </c>
      <c r="L209" s="35" t="str">
        <f>IFERROR(_xlfn.XLOOKUP(Table6[[#This Row],[Error Code]],'Basic Data'!$AA:$AA,'Basic Data'!$AB:$AB),"Incorrect Error Code")</f>
        <v>Yaw speed high</v>
      </c>
      <c r="M209" s="35" t="s">
        <v>266</v>
      </c>
      <c r="N209" s="264"/>
      <c r="O209" s="265">
        <v>0.50416666666666665</v>
      </c>
      <c r="P209" s="265">
        <v>0.50416666666666665</v>
      </c>
      <c r="Q209" s="266">
        <v>0.50972222222222219</v>
      </c>
      <c r="R209" s="261">
        <f>IF(Table6[[#This Row],[Work Start TimeStamp]]="","",(Table6[[#This Row],[Work Start TimeStamp]]-Table6[[#This Row],[Fault Start TimeStamp]])*24)</f>
        <v>0</v>
      </c>
      <c r="S209" s="261">
        <f>(Table6[[#This Row],[Fault Clearance time]]-Table6[[#This Row],[Work Start TimeStamp]])*24</f>
        <v>0.13333333333333286</v>
      </c>
      <c r="T209" s="261">
        <f>(Table6[[#This Row],[Fault Clearance time]]-Table6[[#This Row],[Fault Start TimeStamp]])*24</f>
        <v>0.13333333333333286</v>
      </c>
      <c r="U209" s="35" t="s">
        <v>267</v>
      </c>
      <c r="V209" s="102" t="s">
        <v>268</v>
      </c>
      <c r="W209" s="267">
        <f>IFERROR(Table6[[#This Row],[Breakdown Time]]*Table6[[#This Row],[Plant Equivalent Weightage]],"")</f>
        <v>5.1282051282051083E-3</v>
      </c>
      <c r="X209" s="262" t="s">
        <v>269</v>
      </c>
      <c r="Y209" s="263" t="s">
        <v>119</v>
      </c>
      <c r="Z209" s="102">
        <v>54526</v>
      </c>
      <c r="AA209" s="257">
        <f>(Table6[[#This Row],[Paired WTG Generation for loss calculation]]/24)*Table6[[#This Row],[Breakdown Time]]</f>
        <v>302.92222222222114</v>
      </c>
      <c r="AB209" s="102"/>
      <c r="AC209" s="35"/>
      <c r="AD209" s="35"/>
    </row>
    <row r="210" spans="1:30">
      <c r="A210" s="102">
        <f t="shared" si="4"/>
        <v>209</v>
      </c>
      <c r="B210" s="257">
        <f>YEAR(Table6[[#This Row],[Date]])+IF(MONTH(Table6[[#This Row],[Date]])&gt;=4,1,0)</f>
        <v>2026</v>
      </c>
      <c r="C210" s="102">
        <f>YEAR(Table6[[#This Row],[Date]])</f>
        <v>2025</v>
      </c>
      <c r="D210" s="102" t="s">
        <v>265</v>
      </c>
      <c r="E210" s="258">
        <f>Table6[[#This Row],[Date]]-DAY(Table6[[#This Row],[Date]])+1</f>
        <v>45748</v>
      </c>
      <c r="F210" s="259">
        <v>45761</v>
      </c>
      <c r="G210" s="35" t="s">
        <v>117</v>
      </c>
      <c r="H210" s="35" t="str">
        <f>IFERROR(_xlfn.XLOOKUP(Table6[[#This Row],[Affected WTG]],'Basic Data'!$A:$A,'Basic Data'!$B:$B),"")</f>
        <v>TQGXIIPL</v>
      </c>
      <c r="I210" s="35" t="str">
        <f>IFERROR(_xlfn.XLOOKUP(Table6[[#This Row],[Affected WTG]],'Basic Data'!$A:$A,'Basic Data'!$C:$C),"")</f>
        <v>GEDA</v>
      </c>
      <c r="J210" s="260">
        <f>IFERROR(_xlfn.XLOOKUP(Table6[[#This Row],[Affected WTG]],'Basic Data'!$A:$A,'Basic Data'!$E:$E),"")</f>
        <v>3.846153846153845E-2</v>
      </c>
      <c r="K210" s="102">
        <v>175</v>
      </c>
      <c r="L210" s="35" t="str">
        <f>IFERROR(_xlfn.XLOOKUP(Table6[[#This Row],[Error Code]],'Basic Data'!$AA:$AA,'Basic Data'!$AB:$AB),"Incorrect Error Code")</f>
        <v>SLC error</v>
      </c>
      <c r="M210" s="35" t="s">
        <v>324</v>
      </c>
      <c r="N210" s="264"/>
      <c r="O210" s="265">
        <v>0.16597222222222222</v>
      </c>
      <c r="P210" s="265">
        <v>0.16597222222222222</v>
      </c>
      <c r="Q210" s="266">
        <v>0.2048611111111111</v>
      </c>
      <c r="R210" s="261">
        <f>IF(Table6[[#This Row],[Work Start TimeStamp]]="","",(Table6[[#This Row],[Work Start TimeStamp]]-Table6[[#This Row],[Fault Start TimeStamp]])*24)</f>
        <v>0</v>
      </c>
      <c r="S210" s="261">
        <f>(Table6[[#This Row],[Fault Clearance time]]-Table6[[#This Row],[Work Start TimeStamp]])*24</f>
        <v>0.93333333333333335</v>
      </c>
      <c r="T210" s="261">
        <f>(Table6[[#This Row],[Fault Clearance time]]-Table6[[#This Row],[Fault Start TimeStamp]])*24</f>
        <v>0.93333333333333335</v>
      </c>
      <c r="U210" s="35" t="s">
        <v>325</v>
      </c>
      <c r="V210" s="102" t="s">
        <v>268</v>
      </c>
      <c r="W210" s="267">
        <f>IFERROR(Table6[[#This Row],[Breakdown Time]]*Table6[[#This Row],[Plant Equivalent Weightage]],"")</f>
        <v>3.5897435897435888E-2</v>
      </c>
      <c r="X210" s="262" t="s">
        <v>269</v>
      </c>
      <c r="Y210" s="263" t="s">
        <v>123</v>
      </c>
      <c r="Z210" s="102">
        <v>45058</v>
      </c>
      <c r="AA210" s="257">
        <f>(Table6[[#This Row],[Paired WTG Generation for loss calculation]]/24)*Table6[[#This Row],[Breakdown Time]]</f>
        <v>1752.2555555555557</v>
      </c>
      <c r="AB210" s="102"/>
      <c r="AC210" s="35"/>
      <c r="AD210" s="35"/>
    </row>
    <row r="211" spans="1:30">
      <c r="A211" s="102">
        <f t="shared" si="4"/>
        <v>210</v>
      </c>
      <c r="B211" s="257">
        <f>YEAR(Table6[[#This Row],[Date]])+IF(MONTH(Table6[[#This Row],[Date]])&gt;=4,1,0)</f>
        <v>2026</v>
      </c>
      <c r="C211" s="102">
        <f>YEAR(Table6[[#This Row],[Date]])</f>
        <v>2025</v>
      </c>
      <c r="D211" s="102" t="s">
        <v>265</v>
      </c>
      <c r="E211" s="258">
        <f>Table6[[#This Row],[Date]]-DAY(Table6[[#This Row],[Date]])+1</f>
        <v>45748</v>
      </c>
      <c r="F211" s="259">
        <v>45761</v>
      </c>
      <c r="G211" s="35" t="s">
        <v>117</v>
      </c>
      <c r="H211" s="35" t="str">
        <f>IFERROR(_xlfn.XLOOKUP(Table6[[#This Row],[Affected WTG]],'Basic Data'!$A:$A,'Basic Data'!$B:$B),"")</f>
        <v>TQGXIIPL</v>
      </c>
      <c r="I211" s="35" t="str">
        <f>IFERROR(_xlfn.XLOOKUP(Table6[[#This Row],[Affected WTG]],'Basic Data'!$A:$A,'Basic Data'!$C:$C),"")</f>
        <v>GEDA</v>
      </c>
      <c r="J211" s="260">
        <f>IFERROR(_xlfn.XLOOKUP(Table6[[#This Row],[Affected WTG]],'Basic Data'!$A:$A,'Basic Data'!$E:$E),"")</f>
        <v>3.846153846153845E-2</v>
      </c>
      <c r="K211" s="102">
        <v>175</v>
      </c>
      <c r="L211" s="35" t="str">
        <f>IFERROR(_xlfn.XLOOKUP(Table6[[#This Row],[Error Code]],'Basic Data'!$AA:$AA,'Basic Data'!$AB:$AB),"Incorrect Error Code")</f>
        <v>SLC error</v>
      </c>
      <c r="M211" s="35" t="s">
        <v>266</v>
      </c>
      <c r="N211" s="264"/>
      <c r="O211" s="265">
        <v>0.6958333333333333</v>
      </c>
      <c r="P211" s="265">
        <v>0.6958333333333333</v>
      </c>
      <c r="Q211" s="266">
        <v>0.79097222222222219</v>
      </c>
      <c r="R211" s="261">
        <f>IF(Table6[[#This Row],[Work Start TimeStamp]]="","",(Table6[[#This Row],[Work Start TimeStamp]]-Table6[[#This Row],[Fault Start TimeStamp]])*24)</f>
        <v>0</v>
      </c>
      <c r="S211" s="261">
        <f>(Table6[[#This Row],[Fault Clearance time]]-Table6[[#This Row],[Work Start TimeStamp]])*24</f>
        <v>2.2833333333333332</v>
      </c>
      <c r="T211" s="261">
        <f>(Table6[[#This Row],[Fault Clearance time]]-Table6[[#This Row],[Fault Start TimeStamp]])*24</f>
        <v>2.2833333333333332</v>
      </c>
      <c r="U211" s="35" t="s">
        <v>326</v>
      </c>
      <c r="V211" s="102" t="s">
        <v>268</v>
      </c>
      <c r="W211" s="267">
        <f>IFERROR(Table6[[#This Row],[Breakdown Time]]*Table6[[#This Row],[Plant Equivalent Weightage]],"")</f>
        <v>8.7820512820512786E-2</v>
      </c>
      <c r="X211" s="262" t="s">
        <v>269</v>
      </c>
      <c r="Y211" s="263" t="s">
        <v>123</v>
      </c>
      <c r="Z211" s="102">
        <v>45058</v>
      </c>
      <c r="AA211" s="257">
        <f>(Table6[[#This Row],[Paired WTG Generation for loss calculation]]/24)*Table6[[#This Row],[Breakdown Time]]</f>
        <v>4286.7680555555553</v>
      </c>
      <c r="AB211" s="102"/>
      <c r="AC211" s="35"/>
      <c r="AD211" s="35"/>
    </row>
    <row r="212" spans="1:30">
      <c r="A212" s="102">
        <f t="shared" si="4"/>
        <v>211</v>
      </c>
      <c r="B212" s="257">
        <f>YEAR(Table6[[#This Row],[Date]])+IF(MONTH(Table6[[#This Row],[Date]])&gt;=4,1,0)</f>
        <v>2026</v>
      </c>
      <c r="C212" s="102">
        <f>YEAR(Table6[[#This Row],[Date]])</f>
        <v>2025</v>
      </c>
      <c r="D212" s="102" t="s">
        <v>265</v>
      </c>
      <c r="E212" s="258">
        <f>Table6[[#This Row],[Date]]-DAY(Table6[[#This Row],[Date]])+1</f>
        <v>45748</v>
      </c>
      <c r="F212" s="259">
        <v>45761</v>
      </c>
      <c r="G212" s="35" t="s">
        <v>118</v>
      </c>
      <c r="H212" s="35" t="str">
        <f>IFERROR(_xlfn.XLOOKUP(Table6[[#This Row],[Affected WTG]],'Basic Data'!$A:$A,'Basic Data'!$B:$B),"")</f>
        <v>TQGXIIPL</v>
      </c>
      <c r="I212" s="35" t="str">
        <f>IFERROR(_xlfn.XLOOKUP(Table6[[#This Row],[Affected WTG]],'Basic Data'!$A:$A,'Basic Data'!$C:$C),"")</f>
        <v>GEDA</v>
      </c>
      <c r="J212" s="260">
        <f>IFERROR(_xlfn.XLOOKUP(Table6[[#This Row],[Affected WTG]],'Basic Data'!$A:$A,'Basic Data'!$E:$E),"")</f>
        <v>3.846153846153845E-2</v>
      </c>
      <c r="K212" s="102">
        <v>1700</v>
      </c>
      <c r="L212" s="35" t="str">
        <f>IFERROR(_xlfn.XLOOKUP(Table6[[#This Row],[Error Code]],'Basic Data'!$AA:$AA,'Basic Data'!$AB:$AB),"Incorrect Error Code")</f>
        <v>High temp. gear bearing 1</v>
      </c>
      <c r="M212" s="35" t="s">
        <v>266</v>
      </c>
      <c r="N212" s="264"/>
      <c r="O212" s="265">
        <v>0.78333333333333333</v>
      </c>
      <c r="P212" s="265">
        <v>0.78333333333333333</v>
      </c>
      <c r="Q212" s="266">
        <v>0.79027777777777775</v>
      </c>
      <c r="R212" s="261">
        <f>IF(Table6[[#This Row],[Work Start TimeStamp]]="","",(Table6[[#This Row],[Work Start TimeStamp]]-Table6[[#This Row],[Fault Start TimeStamp]])*24)</f>
        <v>0</v>
      </c>
      <c r="S212" s="261">
        <f>(Table6[[#This Row],[Fault Clearance time]]-Table6[[#This Row],[Work Start TimeStamp]])*24</f>
        <v>0.16666666666666607</v>
      </c>
      <c r="T212" s="261">
        <f>(Table6[[#This Row],[Fault Clearance time]]-Table6[[#This Row],[Fault Start TimeStamp]])*24</f>
        <v>0.16666666666666607</v>
      </c>
      <c r="U212" s="35" t="s">
        <v>267</v>
      </c>
      <c r="V212" s="102" t="s">
        <v>268</v>
      </c>
      <c r="W212" s="267">
        <f>IFERROR(Table6[[#This Row],[Breakdown Time]]*Table6[[#This Row],[Plant Equivalent Weightage]],"")</f>
        <v>6.4102564102563857E-3</v>
      </c>
      <c r="X212" s="262" t="s">
        <v>269</v>
      </c>
      <c r="Y212" s="263" t="s">
        <v>121</v>
      </c>
      <c r="Z212" s="102">
        <v>52855</v>
      </c>
      <c r="AA212" s="257">
        <f>(Table6[[#This Row],[Paired WTG Generation for loss calculation]]/24)*Table6[[#This Row],[Breakdown Time]]</f>
        <v>367.04861111110978</v>
      </c>
      <c r="AB212" s="102"/>
      <c r="AC212" s="35"/>
      <c r="AD212" s="35"/>
    </row>
    <row r="213" spans="1:30">
      <c r="A213" s="102">
        <f t="shared" si="4"/>
        <v>212</v>
      </c>
      <c r="B213" s="257">
        <f>YEAR(Table6[[#This Row],[Date]])+IF(MONTH(Table6[[#This Row],[Date]])&gt;=4,1,0)</f>
        <v>2026</v>
      </c>
      <c r="C213" s="102">
        <f>YEAR(Table6[[#This Row],[Date]])</f>
        <v>2025</v>
      </c>
      <c r="D213" s="102" t="s">
        <v>265</v>
      </c>
      <c r="E213" s="258">
        <f>Table6[[#This Row],[Date]]-DAY(Table6[[#This Row],[Date]])+1</f>
        <v>45748</v>
      </c>
      <c r="F213" s="259">
        <v>45761</v>
      </c>
      <c r="G213" s="35" t="s">
        <v>119</v>
      </c>
      <c r="H213" s="35" t="str">
        <f>IFERROR(_xlfn.XLOOKUP(Table6[[#This Row],[Affected WTG]],'Basic Data'!$A:$A,'Basic Data'!$B:$B),"")</f>
        <v>TQGXIIPL</v>
      </c>
      <c r="I213" s="35" t="str">
        <f>IFERROR(_xlfn.XLOOKUP(Table6[[#This Row],[Affected WTG]],'Basic Data'!$A:$A,'Basic Data'!$C:$C),"")</f>
        <v>GEDA</v>
      </c>
      <c r="J213" s="260">
        <f>IFERROR(_xlfn.XLOOKUP(Table6[[#This Row],[Affected WTG]],'Basic Data'!$A:$A,'Basic Data'!$E:$E),"")</f>
        <v>3.846153846153845E-2</v>
      </c>
      <c r="K213" s="102">
        <v>6130</v>
      </c>
      <c r="L213" s="35" t="str">
        <f>IFERROR(_xlfn.XLOOKUP(Table6[[#This Row],[Error Code]],'Basic Data'!$AA:$AA,'Basic Data'!$AB:$AB),"Incorrect Error Code")</f>
        <v>Yaw speed high</v>
      </c>
      <c r="M213" s="35" t="s">
        <v>266</v>
      </c>
      <c r="N213" s="264"/>
      <c r="O213" s="265">
        <v>0.49930555555555556</v>
      </c>
      <c r="P213" s="265">
        <v>0.49930555555555556</v>
      </c>
      <c r="Q213" s="266">
        <v>0.50347222222222221</v>
      </c>
      <c r="R213" s="261">
        <f>IF(Table6[[#This Row],[Work Start TimeStamp]]="","",(Table6[[#This Row],[Work Start TimeStamp]]-Table6[[#This Row],[Fault Start TimeStamp]])*24)</f>
        <v>0</v>
      </c>
      <c r="S213" s="261">
        <f>(Table6[[#This Row],[Fault Clearance time]]-Table6[[#This Row],[Work Start TimeStamp]])*24</f>
        <v>9.9999999999999645E-2</v>
      </c>
      <c r="T213" s="261">
        <f>(Table6[[#This Row],[Fault Clearance time]]-Table6[[#This Row],[Fault Start TimeStamp]])*24</f>
        <v>9.9999999999999645E-2</v>
      </c>
      <c r="U213" s="35" t="s">
        <v>327</v>
      </c>
      <c r="V213" s="102" t="s">
        <v>268</v>
      </c>
      <c r="W213" s="267">
        <f>IFERROR(Table6[[#This Row],[Breakdown Time]]*Table6[[#This Row],[Plant Equivalent Weightage]],"")</f>
        <v>3.8461538461538312E-3</v>
      </c>
      <c r="X213" s="262" t="s">
        <v>269</v>
      </c>
      <c r="Y213" s="263" t="s">
        <v>116</v>
      </c>
      <c r="Z213" s="102">
        <v>54587</v>
      </c>
      <c r="AA213" s="257">
        <f>(Table6[[#This Row],[Paired WTG Generation for loss calculation]]/24)*Table6[[#This Row],[Breakdown Time]]</f>
        <v>227.44583333333253</v>
      </c>
      <c r="AB213" s="102"/>
      <c r="AC213" s="35"/>
      <c r="AD213" s="35"/>
    </row>
    <row r="214" spans="1:30">
      <c r="A214" s="102">
        <f t="shared" si="4"/>
        <v>213</v>
      </c>
      <c r="B214" s="257">
        <f>YEAR(Table6[[#This Row],[Date]])+IF(MONTH(Table6[[#This Row],[Date]])&gt;=4,1,0)</f>
        <v>2026</v>
      </c>
      <c r="C214" s="102">
        <f>YEAR(Table6[[#This Row],[Date]])</f>
        <v>2025</v>
      </c>
      <c r="D214" s="102" t="s">
        <v>265</v>
      </c>
      <c r="E214" s="258">
        <f>Table6[[#This Row],[Date]]-DAY(Table6[[#This Row],[Date]])+1</f>
        <v>45748</v>
      </c>
      <c r="F214" s="259">
        <v>45761</v>
      </c>
      <c r="G214" s="35" t="s">
        <v>121</v>
      </c>
      <c r="H214" s="35" t="str">
        <f>IFERROR(_xlfn.XLOOKUP(Table6[[#This Row],[Affected WTG]],'Basic Data'!$A:$A,'Basic Data'!$B:$B),"")</f>
        <v>TQGXIIPL</v>
      </c>
      <c r="I214" s="35" t="str">
        <f>IFERROR(_xlfn.XLOOKUP(Table6[[#This Row],[Affected WTG]],'Basic Data'!$A:$A,'Basic Data'!$C:$C),"")</f>
        <v>GEDA</v>
      </c>
      <c r="J214" s="260">
        <f>IFERROR(_xlfn.XLOOKUP(Table6[[#This Row],[Affected WTG]],'Basic Data'!$A:$A,'Basic Data'!$E:$E),"")</f>
        <v>3.846153846153845E-2</v>
      </c>
      <c r="K214" s="102">
        <v>6130</v>
      </c>
      <c r="L214" s="35" t="str">
        <f>IFERROR(_xlfn.XLOOKUP(Table6[[#This Row],[Error Code]],'Basic Data'!$AA:$AA,'Basic Data'!$AB:$AB),"Incorrect Error Code")</f>
        <v>Yaw speed high</v>
      </c>
      <c r="M214" s="35" t="s">
        <v>266</v>
      </c>
      <c r="N214" s="264"/>
      <c r="O214" s="265">
        <v>0.33750000000000002</v>
      </c>
      <c r="P214" s="265">
        <v>0.33750000000000002</v>
      </c>
      <c r="Q214" s="266">
        <v>0.33958333333333335</v>
      </c>
      <c r="R214" s="261">
        <f>IF(Table6[[#This Row],[Work Start TimeStamp]]="","",(Table6[[#This Row],[Work Start TimeStamp]]-Table6[[#This Row],[Fault Start TimeStamp]])*24)</f>
        <v>0</v>
      </c>
      <c r="S214" s="261">
        <f>(Table6[[#This Row],[Fault Clearance time]]-Table6[[#This Row],[Work Start TimeStamp]])*24</f>
        <v>4.9999999999999822E-2</v>
      </c>
      <c r="T214" s="261">
        <f>(Table6[[#This Row],[Fault Clearance time]]-Table6[[#This Row],[Fault Start TimeStamp]])*24</f>
        <v>4.9999999999999822E-2</v>
      </c>
      <c r="U214" s="35" t="s">
        <v>327</v>
      </c>
      <c r="V214" s="102" t="s">
        <v>268</v>
      </c>
      <c r="W214" s="267">
        <f>IFERROR(Table6[[#This Row],[Breakdown Time]]*Table6[[#This Row],[Plant Equivalent Weightage]],"")</f>
        <v>1.9230769230769156E-3</v>
      </c>
      <c r="X214" s="262" t="s">
        <v>269</v>
      </c>
      <c r="Y214" s="263" t="s">
        <v>118</v>
      </c>
      <c r="Z214" s="102">
        <v>55152</v>
      </c>
      <c r="AA214" s="257">
        <f>(Table6[[#This Row],[Paired WTG Generation for loss calculation]]/24)*Table6[[#This Row],[Breakdown Time]]</f>
        <v>114.89999999999959</v>
      </c>
      <c r="AB214" s="102"/>
      <c r="AC214" s="35"/>
      <c r="AD214" s="35"/>
    </row>
    <row r="215" spans="1:30">
      <c r="A215" s="102">
        <f t="shared" si="4"/>
        <v>214</v>
      </c>
      <c r="B215" s="257">
        <f>YEAR(Table6[[#This Row],[Date]])+IF(MONTH(Table6[[#This Row],[Date]])&gt;=4,1,0)</f>
        <v>2026</v>
      </c>
      <c r="C215" s="102">
        <f>YEAR(Table6[[#This Row],[Date]])</f>
        <v>2025</v>
      </c>
      <c r="D215" s="102" t="s">
        <v>265</v>
      </c>
      <c r="E215" s="258">
        <f>Table6[[#This Row],[Date]]-DAY(Table6[[#This Row],[Date]])+1</f>
        <v>45748</v>
      </c>
      <c r="F215" s="259">
        <v>45761</v>
      </c>
      <c r="G215" s="35" t="s">
        <v>122</v>
      </c>
      <c r="H215" s="35" t="str">
        <f>IFERROR(_xlfn.XLOOKUP(Table6[[#This Row],[Affected WTG]],'Basic Data'!$A:$A,'Basic Data'!$B:$B),"")</f>
        <v>TQGXIIPL</v>
      </c>
      <c r="I215" s="35" t="str">
        <f>IFERROR(_xlfn.XLOOKUP(Table6[[#This Row],[Affected WTG]],'Basic Data'!$A:$A,'Basic Data'!$C:$C),"")</f>
        <v>GEDA</v>
      </c>
      <c r="J215" s="260">
        <f>IFERROR(_xlfn.XLOOKUP(Table6[[#This Row],[Affected WTG]],'Basic Data'!$A:$A,'Basic Data'!$E:$E),"")</f>
        <v>3.846153846153845E-2</v>
      </c>
      <c r="K215" s="102">
        <v>55</v>
      </c>
      <c r="L215" s="35" t="str">
        <f>IFERROR(_xlfn.XLOOKUP(Table6[[#This Row],[Error Code]],'Basic Data'!$AA:$AA,'Basic Data'!$AB:$AB),"Incorrect Error Code")</f>
        <v>WTG shut down</v>
      </c>
      <c r="M215" s="35" t="s">
        <v>300</v>
      </c>
      <c r="N215" s="264"/>
      <c r="O215" s="265">
        <v>0</v>
      </c>
      <c r="P215" s="265">
        <v>0</v>
      </c>
      <c r="Q215" s="266">
        <v>4.6527777777777779E-2</v>
      </c>
      <c r="R215" s="261">
        <f>IF(Table6[[#This Row],[Work Start TimeStamp]]="","",(Table6[[#This Row],[Work Start TimeStamp]]-Table6[[#This Row],[Fault Start TimeStamp]])*24)</f>
        <v>0</v>
      </c>
      <c r="S215" s="261">
        <f>(Table6[[#This Row],[Fault Clearance time]]-Table6[[#This Row],[Work Start TimeStamp]])*24</f>
        <v>1.1166666666666667</v>
      </c>
      <c r="T215" s="261">
        <f>(Table6[[#This Row],[Fault Clearance time]]-Table6[[#This Row],[Fault Start TimeStamp]])*24</f>
        <v>1.1166666666666667</v>
      </c>
      <c r="U215" s="35" t="s">
        <v>301</v>
      </c>
      <c r="V215" s="102" t="s">
        <v>268</v>
      </c>
      <c r="W215" s="267">
        <f>IFERROR(Table6[[#This Row],[Breakdown Time]]*Table6[[#This Row],[Plant Equivalent Weightage]],"")</f>
        <v>4.2948717948717935E-2</v>
      </c>
      <c r="X215" s="262" t="s">
        <v>296</v>
      </c>
      <c r="Y215" s="263" t="s">
        <v>140</v>
      </c>
      <c r="Z215" s="102">
        <v>46555</v>
      </c>
      <c r="AA215" s="257">
        <f>(Table6[[#This Row],[Paired WTG Generation for loss calculation]]/24)*Table6[[#This Row],[Breakdown Time]]</f>
        <v>2166.1006944444448</v>
      </c>
      <c r="AB215" s="102"/>
      <c r="AC215" s="35"/>
      <c r="AD215" s="35"/>
    </row>
    <row r="216" spans="1:30">
      <c r="A216" s="102">
        <f t="shared" si="4"/>
        <v>215</v>
      </c>
      <c r="B216" s="257">
        <f>YEAR(Table6[[#This Row],[Date]])+IF(MONTH(Table6[[#This Row],[Date]])&gt;=4,1,0)</f>
        <v>2026</v>
      </c>
      <c r="C216" s="102">
        <f>YEAR(Table6[[#This Row],[Date]])</f>
        <v>2025</v>
      </c>
      <c r="D216" s="102" t="s">
        <v>265</v>
      </c>
      <c r="E216" s="258">
        <f>Table6[[#This Row],[Date]]-DAY(Table6[[#This Row],[Date]])+1</f>
        <v>45748</v>
      </c>
      <c r="F216" s="259">
        <v>45761</v>
      </c>
      <c r="G216" s="35" t="s">
        <v>122</v>
      </c>
      <c r="H216" s="35" t="str">
        <f>IFERROR(_xlfn.XLOOKUP(Table6[[#This Row],[Affected WTG]],'Basic Data'!$A:$A,'Basic Data'!$B:$B),"")</f>
        <v>TQGXIIPL</v>
      </c>
      <c r="I216" s="35" t="str">
        <f>IFERROR(_xlfn.XLOOKUP(Table6[[#This Row],[Affected WTG]],'Basic Data'!$A:$A,'Basic Data'!$C:$C),"")</f>
        <v>GEDA</v>
      </c>
      <c r="J216" s="260">
        <f>IFERROR(_xlfn.XLOOKUP(Table6[[#This Row],[Affected WTG]],'Basic Data'!$A:$A,'Basic Data'!$E:$E),"")</f>
        <v>3.846153846153845E-2</v>
      </c>
      <c r="K216" s="102">
        <v>6130</v>
      </c>
      <c r="L216" s="35" t="str">
        <f>IFERROR(_xlfn.XLOOKUP(Table6[[#This Row],[Error Code]],'Basic Data'!$AA:$AA,'Basic Data'!$AB:$AB),"Incorrect Error Code")</f>
        <v>Yaw speed high</v>
      </c>
      <c r="M216" s="35" t="s">
        <v>266</v>
      </c>
      <c r="N216" s="264"/>
      <c r="O216" s="265">
        <v>0.48819444444444443</v>
      </c>
      <c r="P216" s="265">
        <v>0.48819444444444443</v>
      </c>
      <c r="Q216" s="266">
        <v>0.49930555555555556</v>
      </c>
      <c r="R216" s="261">
        <f>IF(Table6[[#This Row],[Work Start TimeStamp]]="","",(Table6[[#This Row],[Work Start TimeStamp]]-Table6[[#This Row],[Fault Start TimeStamp]])*24)</f>
        <v>0</v>
      </c>
      <c r="S216" s="261">
        <f>(Table6[[#This Row],[Fault Clearance time]]-Table6[[#This Row],[Work Start TimeStamp]])*24</f>
        <v>0.26666666666666705</v>
      </c>
      <c r="T216" s="261">
        <f>(Table6[[#This Row],[Fault Clearance time]]-Table6[[#This Row],[Fault Start TimeStamp]])*24</f>
        <v>0.26666666666666705</v>
      </c>
      <c r="U216" s="35" t="s">
        <v>327</v>
      </c>
      <c r="V216" s="102" t="s">
        <v>268</v>
      </c>
      <c r="W216" s="267">
        <f>IFERROR(Table6[[#This Row],[Breakdown Time]]*Table6[[#This Row],[Plant Equivalent Weightage]],"")</f>
        <v>1.0256410256410269E-2</v>
      </c>
      <c r="X216" s="262" t="s">
        <v>269</v>
      </c>
      <c r="Y216" s="263" t="s">
        <v>140</v>
      </c>
      <c r="Z216" s="102">
        <v>46555</v>
      </c>
      <c r="AA216" s="257">
        <f>(Table6[[#This Row],[Paired WTG Generation for loss calculation]]/24)*Table6[[#This Row],[Breakdown Time]]</f>
        <v>517.27777777777851</v>
      </c>
      <c r="AB216" s="102"/>
      <c r="AC216" s="35"/>
      <c r="AD216" s="35"/>
    </row>
    <row r="217" spans="1:30">
      <c r="A217" s="102">
        <f t="shared" si="4"/>
        <v>216</v>
      </c>
      <c r="B217" s="257">
        <f>YEAR(Table6[[#This Row],[Date]])+IF(MONTH(Table6[[#This Row],[Date]])&gt;=4,1,0)</f>
        <v>2026</v>
      </c>
      <c r="C217" s="102">
        <f>YEAR(Table6[[#This Row],[Date]])</f>
        <v>2025</v>
      </c>
      <c r="D217" s="102" t="s">
        <v>265</v>
      </c>
      <c r="E217" s="258">
        <f>Table6[[#This Row],[Date]]-DAY(Table6[[#This Row],[Date]])+1</f>
        <v>45748</v>
      </c>
      <c r="F217" s="259">
        <v>45761</v>
      </c>
      <c r="G217" s="35" t="s">
        <v>126</v>
      </c>
      <c r="H217" s="35" t="str">
        <f>IFERROR(_xlfn.XLOOKUP(Table6[[#This Row],[Affected WTG]],'Basic Data'!$A:$A,'Basic Data'!$B:$B),"")</f>
        <v>TQGXIIPL</v>
      </c>
      <c r="I217" s="35" t="str">
        <f>IFERROR(_xlfn.XLOOKUP(Table6[[#This Row],[Affected WTG]],'Basic Data'!$A:$A,'Basic Data'!$C:$C),"")</f>
        <v>GEDA</v>
      </c>
      <c r="J217" s="260">
        <f>IFERROR(_xlfn.XLOOKUP(Table6[[#This Row],[Affected WTG]],'Basic Data'!$A:$A,'Basic Data'!$E:$E),"")</f>
        <v>3.846153846153845E-2</v>
      </c>
      <c r="K217" s="102">
        <v>1700</v>
      </c>
      <c r="L217" s="35" t="str">
        <f>IFERROR(_xlfn.XLOOKUP(Table6[[#This Row],[Error Code]],'Basic Data'!$AA:$AA,'Basic Data'!$AB:$AB),"Incorrect Error Code")</f>
        <v>High temp. gear bearing 1</v>
      </c>
      <c r="M217" s="35" t="s">
        <v>266</v>
      </c>
      <c r="N217" s="264"/>
      <c r="O217" s="265">
        <v>0.74444444444444446</v>
      </c>
      <c r="P217" s="265">
        <v>0.74444444444444446</v>
      </c>
      <c r="Q217" s="266">
        <v>0.75555555555555554</v>
      </c>
      <c r="R217" s="261">
        <f>IF(Table6[[#This Row],[Work Start TimeStamp]]="","",(Table6[[#This Row],[Work Start TimeStamp]]-Table6[[#This Row],[Fault Start TimeStamp]])*24)</f>
        <v>0</v>
      </c>
      <c r="S217" s="261">
        <f>(Table6[[#This Row],[Fault Clearance time]]-Table6[[#This Row],[Work Start TimeStamp]])*24</f>
        <v>0.26666666666666572</v>
      </c>
      <c r="T217" s="261">
        <f>(Table6[[#This Row],[Fault Clearance time]]-Table6[[#This Row],[Fault Start TimeStamp]])*24</f>
        <v>0.26666666666666572</v>
      </c>
      <c r="U217" s="35" t="s">
        <v>267</v>
      </c>
      <c r="V217" s="102" t="s">
        <v>268</v>
      </c>
      <c r="W217" s="267">
        <f>IFERROR(Table6[[#This Row],[Breakdown Time]]*Table6[[#This Row],[Plant Equivalent Weightage]],"")</f>
        <v>1.0256410256410217E-2</v>
      </c>
      <c r="X217" s="262" t="s">
        <v>269</v>
      </c>
      <c r="Y217" s="263" t="s">
        <v>128</v>
      </c>
      <c r="Z217" s="102">
        <v>41611</v>
      </c>
      <c r="AA217" s="257">
        <f>(Table6[[#This Row],[Paired WTG Generation for loss calculation]]/24)*Table6[[#This Row],[Breakdown Time]]</f>
        <v>462.34444444444284</v>
      </c>
      <c r="AB217" s="102"/>
      <c r="AC217" s="35"/>
      <c r="AD217" s="35"/>
    </row>
    <row r="218" spans="1:30">
      <c r="A218" s="102">
        <f t="shared" si="4"/>
        <v>217</v>
      </c>
      <c r="B218" s="257">
        <f>YEAR(Table6[[#This Row],[Date]])+IF(MONTH(Table6[[#This Row],[Date]])&gt;=4,1,0)</f>
        <v>2026</v>
      </c>
      <c r="C218" s="102">
        <f>YEAR(Table6[[#This Row],[Date]])</f>
        <v>2025</v>
      </c>
      <c r="D218" s="102" t="s">
        <v>265</v>
      </c>
      <c r="E218" s="258">
        <f>Table6[[#This Row],[Date]]-DAY(Table6[[#This Row],[Date]])+1</f>
        <v>45748</v>
      </c>
      <c r="F218" s="259">
        <v>45761</v>
      </c>
      <c r="G218" s="35" t="s">
        <v>127</v>
      </c>
      <c r="H218" s="35" t="str">
        <f>IFERROR(_xlfn.XLOOKUP(Table6[[#This Row],[Affected WTG]],'Basic Data'!$A:$A,'Basic Data'!$B:$B),"")</f>
        <v>TQGXIIPL</v>
      </c>
      <c r="I218" s="35" t="str">
        <f>IFERROR(_xlfn.XLOOKUP(Table6[[#This Row],[Affected WTG]],'Basic Data'!$A:$A,'Basic Data'!$C:$C),"")</f>
        <v>GEDA</v>
      </c>
      <c r="J218" s="260">
        <f>IFERROR(_xlfn.XLOOKUP(Table6[[#This Row],[Affected WTG]],'Basic Data'!$A:$A,'Basic Data'!$E:$E),"")</f>
        <v>3.846153846153845E-2</v>
      </c>
      <c r="K218" s="102">
        <v>55</v>
      </c>
      <c r="L218" s="35" t="str">
        <f>IFERROR(_xlfn.XLOOKUP(Table6[[#This Row],[Error Code]],'Basic Data'!$AA:$AA,'Basic Data'!$AB:$AB),"Incorrect Error Code")</f>
        <v>WTG shut down</v>
      </c>
      <c r="M218" s="35" t="s">
        <v>300</v>
      </c>
      <c r="N218" s="264"/>
      <c r="O218" s="265">
        <v>0</v>
      </c>
      <c r="P218" s="265">
        <v>0</v>
      </c>
      <c r="Q218" s="266">
        <v>2.6388888888888889E-2</v>
      </c>
      <c r="R218" s="261">
        <f>IF(Table6[[#This Row],[Work Start TimeStamp]]="","",(Table6[[#This Row],[Work Start TimeStamp]]-Table6[[#This Row],[Fault Start TimeStamp]])*24)</f>
        <v>0</v>
      </c>
      <c r="S218" s="261">
        <f>(Table6[[#This Row],[Fault Clearance time]]-Table6[[#This Row],[Work Start TimeStamp]])*24</f>
        <v>0.6333333333333333</v>
      </c>
      <c r="T218" s="261">
        <f>(Table6[[#This Row],[Fault Clearance time]]-Table6[[#This Row],[Fault Start TimeStamp]])*24</f>
        <v>0.6333333333333333</v>
      </c>
      <c r="U218" s="35" t="s">
        <v>301</v>
      </c>
      <c r="V218" s="102" t="s">
        <v>268</v>
      </c>
      <c r="W218" s="267">
        <f>IFERROR(Table6[[#This Row],[Breakdown Time]]*Table6[[#This Row],[Plant Equivalent Weightage]],"")</f>
        <v>2.4358974358974349E-2</v>
      </c>
      <c r="X218" s="262" t="s">
        <v>296</v>
      </c>
      <c r="Y218" s="263" t="s">
        <v>125</v>
      </c>
      <c r="Z218" s="102">
        <v>46926</v>
      </c>
      <c r="AA218" s="257">
        <f>(Table6[[#This Row],[Paired WTG Generation for loss calculation]]/24)*Table6[[#This Row],[Breakdown Time]]</f>
        <v>1238.325</v>
      </c>
      <c r="AB218" s="102"/>
      <c r="AC218" s="35"/>
      <c r="AD218" s="35"/>
    </row>
    <row r="219" spans="1:30">
      <c r="A219" s="102">
        <f t="shared" si="4"/>
        <v>218</v>
      </c>
      <c r="B219" s="257">
        <f>YEAR(Table6[[#This Row],[Date]])+IF(MONTH(Table6[[#This Row],[Date]])&gt;=4,1,0)</f>
        <v>2026</v>
      </c>
      <c r="C219" s="102">
        <f>YEAR(Table6[[#This Row],[Date]])</f>
        <v>2025</v>
      </c>
      <c r="D219" s="102" t="s">
        <v>265</v>
      </c>
      <c r="E219" s="258">
        <f>Table6[[#This Row],[Date]]-DAY(Table6[[#This Row],[Date]])+1</f>
        <v>45748</v>
      </c>
      <c r="F219" s="259">
        <v>45761</v>
      </c>
      <c r="G219" s="35" t="s">
        <v>127</v>
      </c>
      <c r="H219" s="35" t="str">
        <f>IFERROR(_xlfn.XLOOKUP(Table6[[#This Row],[Affected WTG]],'Basic Data'!$A:$A,'Basic Data'!$B:$B),"")</f>
        <v>TQGXIIPL</v>
      </c>
      <c r="I219" s="35" t="str">
        <f>IFERROR(_xlfn.XLOOKUP(Table6[[#This Row],[Affected WTG]],'Basic Data'!$A:$A,'Basic Data'!$C:$C),"")</f>
        <v>GEDA</v>
      </c>
      <c r="J219" s="260">
        <f>IFERROR(_xlfn.XLOOKUP(Table6[[#This Row],[Affected WTG]],'Basic Data'!$A:$A,'Basic Data'!$E:$E),"")</f>
        <v>3.846153846153845E-2</v>
      </c>
      <c r="K219" s="102">
        <v>55</v>
      </c>
      <c r="L219" s="35" t="str">
        <f>IFERROR(_xlfn.XLOOKUP(Table6[[#This Row],[Error Code]],'Basic Data'!$AA:$AA,'Basic Data'!$AB:$AB),"Incorrect Error Code")</f>
        <v>WTG shut down</v>
      </c>
      <c r="M219" s="35" t="s">
        <v>300</v>
      </c>
      <c r="N219" s="264"/>
      <c r="O219" s="265">
        <v>0.79583333333333328</v>
      </c>
      <c r="P219" s="265">
        <v>0.79583333333333328</v>
      </c>
      <c r="Q219" s="266">
        <v>0.95416666666666672</v>
      </c>
      <c r="R219" s="261">
        <f>IF(Table6[[#This Row],[Work Start TimeStamp]]="","",(Table6[[#This Row],[Work Start TimeStamp]]-Table6[[#This Row],[Fault Start TimeStamp]])*24)</f>
        <v>0</v>
      </c>
      <c r="S219" s="261">
        <f>(Table6[[#This Row],[Fault Clearance time]]-Table6[[#This Row],[Work Start TimeStamp]])*24</f>
        <v>3.8000000000000025</v>
      </c>
      <c r="T219" s="261">
        <f>(Table6[[#This Row],[Fault Clearance time]]-Table6[[#This Row],[Fault Start TimeStamp]])*24</f>
        <v>3.8000000000000025</v>
      </c>
      <c r="U219" s="35" t="s">
        <v>301</v>
      </c>
      <c r="V219" s="102" t="s">
        <v>268</v>
      </c>
      <c r="W219" s="267">
        <f>IFERROR(Table6[[#This Row],[Breakdown Time]]*Table6[[#This Row],[Plant Equivalent Weightage]],"")</f>
        <v>0.14615384615384622</v>
      </c>
      <c r="X219" s="262" t="s">
        <v>296</v>
      </c>
      <c r="Y219" s="263" t="s">
        <v>125</v>
      </c>
      <c r="Z219" s="102">
        <v>46926</v>
      </c>
      <c r="AA219" s="257">
        <f>(Table6[[#This Row],[Paired WTG Generation for loss calculation]]/24)*Table6[[#This Row],[Breakdown Time]]</f>
        <v>7429.9500000000053</v>
      </c>
      <c r="AB219" s="102"/>
      <c r="AC219" s="35"/>
      <c r="AD219" s="35"/>
    </row>
    <row r="220" spans="1:30">
      <c r="A220" s="102">
        <f t="shared" si="4"/>
        <v>219</v>
      </c>
      <c r="B220" s="257">
        <f>YEAR(Table6[[#This Row],[Date]])+IF(MONTH(Table6[[#This Row],[Date]])&gt;=4,1,0)</f>
        <v>2026</v>
      </c>
      <c r="C220" s="102">
        <f>YEAR(Table6[[#This Row],[Date]])</f>
        <v>2025</v>
      </c>
      <c r="D220" s="102" t="s">
        <v>265</v>
      </c>
      <c r="E220" s="258">
        <f>Table6[[#This Row],[Date]]-DAY(Table6[[#This Row],[Date]])+1</f>
        <v>45748</v>
      </c>
      <c r="F220" s="259">
        <v>45761</v>
      </c>
      <c r="G220" s="35" t="s">
        <v>128</v>
      </c>
      <c r="H220" s="35" t="str">
        <f>IFERROR(_xlfn.XLOOKUP(Table6[[#This Row],[Affected WTG]],'Basic Data'!$A:$A,'Basic Data'!$B:$B),"")</f>
        <v>TQGXIIPL</v>
      </c>
      <c r="I220" s="35" t="str">
        <f>IFERROR(_xlfn.XLOOKUP(Table6[[#This Row],[Affected WTG]],'Basic Data'!$A:$A,'Basic Data'!$C:$C),"")</f>
        <v>GEDA</v>
      </c>
      <c r="J220" s="260">
        <f>IFERROR(_xlfn.XLOOKUP(Table6[[#This Row],[Affected WTG]],'Basic Data'!$A:$A,'Basic Data'!$E:$E),"")</f>
        <v>3.846153846153845E-2</v>
      </c>
      <c r="K220" s="102">
        <v>4540</v>
      </c>
      <c r="L220" s="35" t="str">
        <f>IFERROR(_xlfn.XLOOKUP(Table6[[#This Row],[Error Code]],'Basic Data'!$AA:$AA,'Basic Data'!$AB:$AB),"Incorrect Error Code")</f>
        <v>Tower oscillation X level 2</v>
      </c>
      <c r="M220" s="35" t="s">
        <v>266</v>
      </c>
      <c r="N220" s="264"/>
      <c r="O220" s="265">
        <v>0.56180555555555556</v>
      </c>
      <c r="P220" s="265">
        <v>0.56180555555555556</v>
      </c>
      <c r="Q220" s="266">
        <v>0.57291666666666663</v>
      </c>
      <c r="R220" s="261">
        <f>IF(Table6[[#This Row],[Work Start TimeStamp]]="","",(Table6[[#This Row],[Work Start TimeStamp]]-Table6[[#This Row],[Fault Start TimeStamp]])*24)</f>
        <v>0</v>
      </c>
      <c r="S220" s="261">
        <f>(Table6[[#This Row],[Fault Clearance time]]-Table6[[#This Row],[Work Start TimeStamp]])*24</f>
        <v>0.26666666666666572</v>
      </c>
      <c r="T220" s="261">
        <f>(Table6[[#This Row],[Fault Clearance time]]-Table6[[#This Row],[Fault Start TimeStamp]])*24</f>
        <v>0.26666666666666572</v>
      </c>
      <c r="U220" s="35" t="s">
        <v>267</v>
      </c>
      <c r="V220" s="102" t="s">
        <v>268</v>
      </c>
      <c r="W220" s="267">
        <f>IFERROR(Table6[[#This Row],[Breakdown Time]]*Table6[[#This Row],[Plant Equivalent Weightage]],"")</f>
        <v>1.0256410256410217E-2</v>
      </c>
      <c r="X220" s="262" t="s">
        <v>269</v>
      </c>
      <c r="Y220" s="263" t="s">
        <v>126</v>
      </c>
      <c r="Z220" s="102">
        <v>44309</v>
      </c>
      <c r="AA220" s="257">
        <f>(Table6[[#This Row],[Paired WTG Generation for loss calculation]]/24)*Table6[[#This Row],[Breakdown Time]]</f>
        <v>492.32222222222043</v>
      </c>
      <c r="AB220" s="102"/>
      <c r="AC220" s="35"/>
      <c r="AD220" s="35"/>
    </row>
    <row r="221" spans="1:30">
      <c r="A221" s="102">
        <f t="shared" si="4"/>
        <v>220</v>
      </c>
      <c r="B221" s="257">
        <f>YEAR(Table6[[#This Row],[Date]])+IF(MONTH(Table6[[#This Row],[Date]])&gt;=4,1,0)</f>
        <v>2026</v>
      </c>
      <c r="C221" s="102">
        <f>YEAR(Table6[[#This Row],[Date]])</f>
        <v>2025</v>
      </c>
      <c r="D221" s="102" t="s">
        <v>265</v>
      </c>
      <c r="E221" s="258">
        <f>Table6[[#This Row],[Date]]-DAY(Table6[[#This Row],[Date]])+1</f>
        <v>45748</v>
      </c>
      <c r="F221" s="259">
        <v>45761</v>
      </c>
      <c r="G221" s="35" t="s">
        <v>129</v>
      </c>
      <c r="H221" s="35" t="str">
        <f>IFERROR(_xlfn.XLOOKUP(Table6[[#This Row],[Affected WTG]],'Basic Data'!$A:$A,'Basic Data'!$B:$B),"")</f>
        <v>TQGXIIPL</v>
      </c>
      <c r="I221" s="35" t="str">
        <f>IFERROR(_xlfn.XLOOKUP(Table6[[#This Row],[Affected WTG]],'Basic Data'!$A:$A,'Basic Data'!$C:$C),"")</f>
        <v>GEDA</v>
      </c>
      <c r="J221" s="260">
        <f>IFERROR(_xlfn.XLOOKUP(Table6[[#This Row],[Affected WTG]],'Basic Data'!$A:$A,'Basic Data'!$E:$E),"")</f>
        <v>3.846153846153845E-2</v>
      </c>
      <c r="K221" s="102">
        <v>55</v>
      </c>
      <c r="L221" s="35" t="str">
        <f>IFERROR(_xlfn.XLOOKUP(Table6[[#This Row],[Error Code]],'Basic Data'!$AA:$AA,'Basic Data'!$AB:$AB),"Incorrect Error Code")</f>
        <v>WTG shut down</v>
      </c>
      <c r="M221" s="35" t="s">
        <v>271</v>
      </c>
      <c r="N221" s="264"/>
      <c r="O221" s="265">
        <v>0.28888888888888886</v>
      </c>
      <c r="P221" s="265">
        <v>0.29583333333333334</v>
      </c>
      <c r="Q221" s="266">
        <v>0.50208333333333333</v>
      </c>
      <c r="R221" s="261">
        <f>IF(Table6[[#This Row],[Work Start TimeStamp]]="","",(Table6[[#This Row],[Work Start TimeStamp]]-Table6[[#This Row],[Fault Start TimeStamp]])*24)</f>
        <v>0.16666666666666741</v>
      </c>
      <c r="S221" s="261">
        <f>(Table6[[#This Row],[Fault Clearance time]]-Table6[[#This Row],[Work Start TimeStamp]])*24</f>
        <v>4.9499999999999993</v>
      </c>
      <c r="T221" s="261">
        <f>(Table6[[#This Row],[Fault Clearance time]]-Table6[[#This Row],[Fault Start TimeStamp]])*24</f>
        <v>5.1166666666666671</v>
      </c>
      <c r="U221" s="35" t="s">
        <v>328</v>
      </c>
      <c r="V221" s="102" t="s">
        <v>268</v>
      </c>
      <c r="W221" s="267">
        <f>IFERROR(Table6[[#This Row],[Breakdown Time]]*Table6[[#This Row],[Plant Equivalent Weightage]],"")</f>
        <v>0.19679487179487176</v>
      </c>
      <c r="X221" s="262" t="s">
        <v>273</v>
      </c>
      <c r="Y221" s="263" t="s">
        <v>124</v>
      </c>
      <c r="Z221" s="102">
        <v>42261</v>
      </c>
      <c r="AA221" s="257">
        <f>(Table6[[#This Row],[Paired WTG Generation for loss calculation]]/24)*Table6[[#This Row],[Breakdown Time]]</f>
        <v>9009.8104166666672</v>
      </c>
      <c r="AB221" s="102"/>
      <c r="AC221" s="35"/>
      <c r="AD221" s="35"/>
    </row>
    <row r="222" spans="1:30">
      <c r="A222" s="102">
        <f t="shared" si="4"/>
        <v>221</v>
      </c>
      <c r="B222" s="257">
        <f>YEAR(Table6[[#This Row],[Date]])+IF(MONTH(Table6[[#This Row],[Date]])&gt;=4,1,0)</f>
        <v>2026</v>
      </c>
      <c r="C222" s="102">
        <f>YEAR(Table6[[#This Row],[Date]])</f>
        <v>2025</v>
      </c>
      <c r="D222" s="102" t="s">
        <v>265</v>
      </c>
      <c r="E222" s="258">
        <f>Table6[[#This Row],[Date]]-DAY(Table6[[#This Row],[Date]])+1</f>
        <v>45748</v>
      </c>
      <c r="F222" s="259">
        <v>45761</v>
      </c>
      <c r="G222" s="35" t="s">
        <v>130</v>
      </c>
      <c r="H222" s="35" t="str">
        <f>IFERROR(_xlfn.XLOOKUP(Table6[[#This Row],[Affected WTG]],'Basic Data'!$A:$A,'Basic Data'!$B:$B),"")</f>
        <v>TQGXIIPL</v>
      </c>
      <c r="I222" s="35" t="str">
        <f>IFERROR(_xlfn.XLOOKUP(Table6[[#This Row],[Affected WTG]],'Basic Data'!$A:$A,'Basic Data'!$C:$C),"")</f>
        <v>GEDA</v>
      </c>
      <c r="J222" s="260">
        <f>IFERROR(_xlfn.XLOOKUP(Table6[[#This Row],[Affected WTG]],'Basic Data'!$A:$A,'Basic Data'!$E:$E),"")</f>
        <v>3.846153846153845E-2</v>
      </c>
      <c r="K222" s="102">
        <v>6130</v>
      </c>
      <c r="L222" s="35" t="str">
        <f>IFERROR(_xlfn.XLOOKUP(Table6[[#This Row],[Error Code]],'Basic Data'!$AA:$AA,'Basic Data'!$AB:$AB),"Incorrect Error Code")</f>
        <v>Yaw speed high</v>
      </c>
      <c r="M222" s="35" t="s">
        <v>266</v>
      </c>
      <c r="N222" s="264"/>
      <c r="O222" s="265">
        <v>0.52013888888888893</v>
      </c>
      <c r="P222" s="265">
        <v>0.52013888888888893</v>
      </c>
      <c r="Q222" s="266">
        <v>0.52430555555555558</v>
      </c>
      <c r="R222" s="261">
        <f>IF(Table6[[#This Row],[Work Start TimeStamp]]="","",(Table6[[#This Row],[Work Start TimeStamp]]-Table6[[#This Row],[Fault Start TimeStamp]])*24)</f>
        <v>0</v>
      </c>
      <c r="S222" s="261">
        <f>(Table6[[#This Row],[Fault Clearance time]]-Table6[[#This Row],[Work Start TimeStamp]])*24</f>
        <v>9.9999999999999645E-2</v>
      </c>
      <c r="T222" s="261">
        <f>(Table6[[#This Row],[Fault Clearance time]]-Table6[[#This Row],[Fault Start TimeStamp]])*24</f>
        <v>9.9999999999999645E-2</v>
      </c>
      <c r="U222" s="35" t="s">
        <v>327</v>
      </c>
      <c r="V222" s="102" t="s">
        <v>268</v>
      </c>
      <c r="W222" s="267">
        <f>IFERROR(Table6[[#This Row],[Breakdown Time]]*Table6[[#This Row],[Plant Equivalent Weightage]],"")</f>
        <v>3.8461538461538312E-3</v>
      </c>
      <c r="X222" s="262" t="s">
        <v>269</v>
      </c>
      <c r="Y222" s="263" t="s">
        <v>135</v>
      </c>
      <c r="Z222" s="102">
        <v>43699</v>
      </c>
      <c r="AA222" s="257">
        <f>(Table6[[#This Row],[Paired WTG Generation for loss calculation]]/24)*Table6[[#This Row],[Breakdown Time]]</f>
        <v>182.07916666666603</v>
      </c>
      <c r="AB222" s="102"/>
      <c r="AC222" s="35"/>
      <c r="AD222" s="35"/>
    </row>
    <row r="223" spans="1:30">
      <c r="A223" s="102">
        <f t="shared" si="4"/>
        <v>222</v>
      </c>
      <c r="B223" s="257">
        <f>YEAR(Table6[[#This Row],[Date]])+IF(MONTH(Table6[[#This Row],[Date]])&gt;=4,1,0)</f>
        <v>2026</v>
      </c>
      <c r="C223" s="102">
        <f>YEAR(Table6[[#This Row],[Date]])</f>
        <v>2025</v>
      </c>
      <c r="D223" s="102" t="s">
        <v>265</v>
      </c>
      <c r="E223" s="258">
        <f>Table6[[#This Row],[Date]]-DAY(Table6[[#This Row],[Date]])+1</f>
        <v>45748</v>
      </c>
      <c r="F223" s="259">
        <v>45761</v>
      </c>
      <c r="G223" s="35" t="s">
        <v>131</v>
      </c>
      <c r="H223" s="35" t="str">
        <f>IFERROR(_xlfn.XLOOKUP(Table6[[#This Row],[Affected WTG]],'Basic Data'!$A:$A,'Basic Data'!$B:$B),"")</f>
        <v>TQGXIIPL</v>
      </c>
      <c r="I223" s="35" t="str">
        <f>IFERROR(_xlfn.XLOOKUP(Table6[[#This Row],[Affected WTG]],'Basic Data'!$A:$A,'Basic Data'!$C:$C),"")</f>
        <v>GEDA</v>
      </c>
      <c r="J223" s="260">
        <f>IFERROR(_xlfn.XLOOKUP(Table6[[#This Row],[Affected WTG]],'Basic Data'!$A:$A,'Basic Data'!$E:$E),"")</f>
        <v>3.846153846153845E-2</v>
      </c>
      <c r="K223" s="102">
        <v>1070</v>
      </c>
      <c r="L223" s="35" t="str">
        <f>IFERROR(_xlfn.XLOOKUP(Table6[[#This Row],[Error Code]],'Basic Data'!$AA:$AA,'Basic Data'!$AB:$AB),"Incorrect Error Code")</f>
        <v>Drive train monitor level 2</v>
      </c>
      <c r="M223" s="35" t="s">
        <v>266</v>
      </c>
      <c r="N223" s="264"/>
      <c r="O223" s="265">
        <v>0.14166666666666666</v>
      </c>
      <c r="P223" s="265">
        <v>0.14166666666666666</v>
      </c>
      <c r="Q223" s="266">
        <v>0.15555555555555556</v>
      </c>
      <c r="R223" s="261">
        <f>IF(Table6[[#This Row],[Work Start TimeStamp]]="","",(Table6[[#This Row],[Work Start TimeStamp]]-Table6[[#This Row],[Fault Start TimeStamp]])*24)</f>
        <v>0</v>
      </c>
      <c r="S223" s="261">
        <f>(Table6[[#This Row],[Fault Clearance time]]-Table6[[#This Row],[Work Start TimeStamp]])*24</f>
        <v>0.33333333333333348</v>
      </c>
      <c r="T223" s="261">
        <f>(Table6[[#This Row],[Fault Clearance time]]-Table6[[#This Row],[Fault Start TimeStamp]])*24</f>
        <v>0.33333333333333348</v>
      </c>
      <c r="U223" s="35" t="s">
        <v>267</v>
      </c>
      <c r="V223" s="102" t="s">
        <v>268</v>
      </c>
      <c r="W223" s="267">
        <f>IFERROR(Table6[[#This Row],[Breakdown Time]]*Table6[[#This Row],[Plant Equivalent Weightage]],"")</f>
        <v>1.2820512820512822E-2</v>
      </c>
      <c r="X223" s="262" t="s">
        <v>269</v>
      </c>
      <c r="Y223" s="263" t="s">
        <v>136</v>
      </c>
      <c r="Z223" s="102">
        <v>49144</v>
      </c>
      <c r="AA223" s="257">
        <f>(Table6[[#This Row],[Paired WTG Generation for loss calculation]]/24)*Table6[[#This Row],[Breakdown Time]]</f>
        <v>682.55555555555588</v>
      </c>
      <c r="AB223" s="102"/>
      <c r="AC223" s="35"/>
      <c r="AD223" s="35"/>
    </row>
    <row r="224" spans="1:30">
      <c r="A224" s="102">
        <f t="shared" si="4"/>
        <v>223</v>
      </c>
      <c r="B224" s="257">
        <f>YEAR(Table6[[#This Row],[Date]])+IF(MONTH(Table6[[#This Row],[Date]])&gt;=4,1,0)</f>
        <v>2026</v>
      </c>
      <c r="C224" s="102">
        <f>YEAR(Table6[[#This Row],[Date]])</f>
        <v>2025</v>
      </c>
      <c r="D224" s="102" t="s">
        <v>265</v>
      </c>
      <c r="E224" s="258">
        <f>Table6[[#This Row],[Date]]-DAY(Table6[[#This Row],[Date]])+1</f>
        <v>45748</v>
      </c>
      <c r="F224" s="259">
        <v>45761</v>
      </c>
      <c r="G224" s="35" t="s">
        <v>131</v>
      </c>
      <c r="H224" s="35" t="str">
        <f>IFERROR(_xlfn.XLOOKUP(Table6[[#This Row],[Affected WTG]],'Basic Data'!$A:$A,'Basic Data'!$B:$B),"")</f>
        <v>TQGXIIPL</v>
      </c>
      <c r="I224" s="35" t="str">
        <f>IFERROR(_xlfn.XLOOKUP(Table6[[#This Row],[Affected WTG]],'Basic Data'!$A:$A,'Basic Data'!$C:$C),"")</f>
        <v>GEDA</v>
      </c>
      <c r="J224" s="260">
        <f>IFERROR(_xlfn.XLOOKUP(Table6[[#This Row],[Affected WTG]],'Basic Data'!$A:$A,'Basic Data'!$E:$E),"")</f>
        <v>3.846153846153845E-2</v>
      </c>
      <c r="K224" s="102">
        <v>55</v>
      </c>
      <c r="L224" s="35" t="str">
        <f>IFERROR(_xlfn.XLOOKUP(Table6[[#This Row],[Error Code]],'Basic Data'!$AA:$AA,'Basic Data'!$AB:$AB),"Incorrect Error Code")</f>
        <v>WTG shut down</v>
      </c>
      <c r="M224" s="35" t="s">
        <v>266</v>
      </c>
      <c r="N224" s="264"/>
      <c r="O224" s="265">
        <v>0.17430555555555555</v>
      </c>
      <c r="P224" s="265">
        <v>0.17430555555555555</v>
      </c>
      <c r="Q224" s="266">
        <v>0.17847222222222223</v>
      </c>
      <c r="R224" s="261">
        <f>IF(Table6[[#This Row],[Work Start TimeStamp]]="","",(Table6[[#This Row],[Work Start TimeStamp]]-Table6[[#This Row],[Fault Start TimeStamp]])*24)</f>
        <v>0</v>
      </c>
      <c r="S224" s="261">
        <f>(Table6[[#This Row],[Fault Clearance time]]-Table6[[#This Row],[Work Start TimeStamp]])*24</f>
        <v>0.10000000000000031</v>
      </c>
      <c r="T224" s="261">
        <f>(Table6[[#This Row],[Fault Clearance time]]-Table6[[#This Row],[Fault Start TimeStamp]])*24</f>
        <v>0.10000000000000031</v>
      </c>
      <c r="U224" s="35" t="s">
        <v>329</v>
      </c>
      <c r="V224" s="102" t="s">
        <v>268</v>
      </c>
      <c r="W224" s="267">
        <f>IFERROR(Table6[[#This Row],[Breakdown Time]]*Table6[[#This Row],[Plant Equivalent Weightage]],"")</f>
        <v>3.8461538461538568E-3</v>
      </c>
      <c r="X224" s="262" t="s">
        <v>296</v>
      </c>
      <c r="Y224" s="263" t="s">
        <v>136</v>
      </c>
      <c r="Z224" s="102">
        <v>49144</v>
      </c>
      <c r="AA224" s="257">
        <f>(Table6[[#This Row],[Paired WTG Generation for loss calculation]]/24)*Table6[[#This Row],[Breakdown Time]]</f>
        <v>204.76666666666731</v>
      </c>
      <c r="AB224" s="102"/>
      <c r="AC224" s="35"/>
      <c r="AD224" s="35"/>
    </row>
    <row r="225" spans="1:30">
      <c r="A225" s="102">
        <f t="shared" si="4"/>
        <v>224</v>
      </c>
      <c r="B225" s="257">
        <f>YEAR(Table6[[#This Row],[Date]])+IF(MONTH(Table6[[#This Row],[Date]])&gt;=4,1,0)</f>
        <v>2026</v>
      </c>
      <c r="C225" s="102">
        <f>YEAR(Table6[[#This Row],[Date]])</f>
        <v>2025</v>
      </c>
      <c r="D225" s="102" t="s">
        <v>265</v>
      </c>
      <c r="E225" s="258">
        <f>Table6[[#This Row],[Date]]-DAY(Table6[[#This Row],[Date]])+1</f>
        <v>45748</v>
      </c>
      <c r="F225" s="259">
        <v>45761</v>
      </c>
      <c r="G225" s="35" t="s">
        <v>131</v>
      </c>
      <c r="H225" s="35" t="str">
        <f>IFERROR(_xlfn.XLOOKUP(Table6[[#This Row],[Affected WTG]],'Basic Data'!$A:$A,'Basic Data'!$B:$B),"")</f>
        <v>TQGXIIPL</v>
      </c>
      <c r="I225" s="35" t="str">
        <f>IFERROR(_xlfn.XLOOKUP(Table6[[#This Row],[Affected WTG]],'Basic Data'!$A:$A,'Basic Data'!$C:$C),"")</f>
        <v>GEDA</v>
      </c>
      <c r="J225" s="260">
        <f>IFERROR(_xlfn.XLOOKUP(Table6[[#This Row],[Affected WTG]],'Basic Data'!$A:$A,'Basic Data'!$E:$E),"")</f>
        <v>3.846153846153845E-2</v>
      </c>
      <c r="K225" s="102">
        <v>6605</v>
      </c>
      <c r="L225" s="35" t="str">
        <f>IFERROR(_xlfn.XLOOKUP(Table6[[#This Row],[Error Code]],'Basic Data'!$AA:$AA,'Basic Data'!$AB:$AB),"Incorrect Error Code")</f>
        <v>Wind.dir. diff. level 2</v>
      </c>
      <c r="M225" s="35" t="s">
        <v>266</v>
      </c>
      <c r="N225" s="264"/>
      <c r="O225" s="265">
        <v>0.70902777777777781</v>
      </c>
      <c r="P225" s="265">
        <v>0.70902777777777781</v>
      </c>
      <c r="Q225" s="266">
        <v>0.75694444444444442</v>
      </c>
      <c r="R225" s="261">
        <f>IF(Table6[[#This Row],[Work Start TimeStamp]]="","",(Table6[[#This Row],[Work Start TimeStamp]]-Table6[[#This Row],[Fault Start TimeStamp]])*24)</f>
        <v>0</v>
      </c>
      <c r="S225" s="261">
        <f>(Table6[[#This Row],[Fault Clearance time]]-Table6[[#This Row],[Work Start TimeStamp]])*24</f>
        <v>1.1499999999999986</v>
      </c>
      <c r="T225" s="261">
        <f>(Table6[[#This Row],[Fault Clearance time]]-Table6[[#This Row],[Fault Start TimeStamp]])*24</f>
        <v>1.1499999999999986</v>
      </c>
      <c r="U225" s="35" t="s">
        <v>330</v>
      </c>
      <c r="V225" s="102" t="s">
        <v>268</v>
      </c>
      <c r="W225" s="267">
        <f>IFERROR(Table6[[#This Row],[Breakdown Time]]*Table6[[#This Row],[Plant Equivalent Weightage]],"")</f>
        <v>4.4230769230769164E-2</v>
      </c>
      <c r="X225" s="262" t="s">
        <v>269</v>
      </c>
      <c r="Y225" s="263" t="s">
        <v>136</v>
      </c>
      <c r="Z225" s="102">
        <v>49144</v>
      </c>
      <c r="AA225" s="257">
        <f>(Table6[[#This Row],[Paired WTG Generation for loss calculation]]/24)*Table6[[#This Row],[Breakdown Time]]</f>
        <v>2354.8166666666639</v>
      </c>
      <c r="AB225" s="102"/>
      <c r="AC225" s="35"/>
      <c r="AD225" s="35"/>
    </row>
    <row r="226" spans="1:30">
      <c r="A226" s="102">
        <f t="shared" si="4"/>
        <v>225</v>
      </c>
      <c r="B226" s="257">
        <f>YEAR(Table6[[#This Row],[Date]])+IF(MONTH(Table6[[#This Row],[Date]])&gt;=4,1,0)</f>
        <v>2026</v>
      </c>
      <c r="C226" s="102">
        <f>YEAR(Table6[[#This Row],[Date]])</f>
        <v>2025</v>
      </c>
      <c r="D226" s="102" t="s">
        <v>265</v>
      </c>
      <c r="E226" s="258">
        <f>Table6[[#This Row],[Date]]-DAY(Table6[[#This Row],[Date]])+1</f>
        <v>45748</v>
      </c>
      <c r="F226" s="259">
        <v>45761</v>
      </c>
      <c r="G226" s="35" t="s">
        <v>132</v>
      </c>
      <c r="H226" s="35" t="str">
        <f>IFERROR(_xlfn.XLOOKUP(Table6[[#This Row],[Affected WTG]],'Basic Data'!$A:$A,'Basic Data'!$B:$B),"")</f>
        <v>TQGXIIPL</v>
      </c>
      <c r="I226" s="35" t="str">
        <f>IFERROR(_xlfn.XLOOKUP(Table6[[#This Row],[Affected WTG]],'Basic Data'!$A:$A,'Basic Data'!$C:$C),"")</f>
        <v>GEDA</v>
      </c>
      <c r="J226" s="260">
        <f>IFERROR(_xlfn.XLOOKUP(Table6[[#This Row],[Affected WTG]],'Basic Data'!$A:$A,'Basic Data'!$E:$E),"")</f>
        <v>3.846153846153845E-2</v>
      </c>
      <c r="K226" s="102">
        <v>6130</v>
      </c>
      <c r="L226" s="35" t="str">
        <f>IFERROR(_xlfn.XLOOKUP(Table6[[#This Row],[Error Code]],'Basic Data'!$AA:$AA,'Basic Data'!$AB:$AB),"Incorrect Error Code")</f>
        <v>Yaw speed high</v>
      </c>
      <c r="M226" s="35" t="s">
        <v>266</v>
      </c>
      <c r="N226" s="264"/>
      <c r="O226" s="265">
        <v>0.62708333333333333</v>
      </c>
      <c r="P226" s="265">
        <v>0.62708333333333333</v>
      </c>
      <c r="Q226" s="266">
        <v>0.63124999999999998</v>
      </c>
      <c r="R226" s="261">
        <f>IF(Table6[[#This Row],[Work Start TimeStamp]]="","",(Table6[[#This Row],[Work Start TimeStamp]]-Table6[[#This Row],[Fault Start TimeStamp]])*24)</f>
        <v>0</v>
      </c>
      <c r="S226" s="261">
        <f>(Table6[[#This Row],[Fault Clearance time]]-Table6[[#This Row],[Work Start TimeStamp]])*24</f>
        <v>9.9999999999999645E-2</v>
      </c>
      <c r="T226" s="261">
        <f>(Table6[[#This Row],[Fault Clearance time]]-Table6[[#This Row],[Fault Start TimeStamp]])*24</f>
        <v>9.9999999999999645E-2</v>
      </c>
      <c r="U226" s="35" t="s">
        <v>267</v>
      </c>
      <c r="V226" s="102" t="s">
        <v>268</v>
      </c>
      <c r="W226" s="267">
        <f>IFERROR(Table6[[#This Row],[Breakdown Time]]*Table6[[#This Row],[Plant Equivalent Weightage]],"")</f>
        <v>3.8461538461538312E-3</v>
      </c>
      <c r="X226" s="262" t="s">
        <v>269</v>
      </c>
      <c r="Y226" s="263" t="s">
        <v>120</v>
      </c>
      <c r="Z226" s="102">
        <v>43979</v>
      </c>
      <c r="AA226" s="257">
        <f>(Table6[[#This Row],[Paired WTG Generation for loss calculation]]/24)*Table6[[#This Row],[Breakdown Time]]</f>
        <v>183.24583333333268</v>
      </c>
      <c r="AB226" s="102"/>
      <c r="AC226" s="35"/>
      <c r="AD226" s="35"/>
    </row>
    <row r="227" spans="1:30">
      <c r="A227" s="102">
        <f t="shared" si="4"/>
        <v>226</v>
      </c>
      <c r="B227" s="257">
        <f>YEAR(Table6[[#This Row],[Date]])+IF(MONTH(Table6[[#This Row],[Date]])&gt;=4,1,0)</f>
        <v>2026</v>
      </c>
      <c r="C227" s="102">
        <f>YEAR(Table6[[#This Row],[Date]])</f>
        <v>2025</v>
      </c>
      <c r="D227" s="102" t="s">
        <v>265</v>
      </c>
      <c r="E227" s="258">
        <f>Table6[[#This Row],[Date]]-DAY(Table6[[#This Row],[Date]])+1</f>
        <v>45748</v>
      </c>
      <c r="F227" s="259">
        <v>45761</v>
      </c>
      <c r="G227" s="35" t="s">
        <v>133</v>
      </c>
      <c r="H227" s="35" t="str">
        <f>IFERROR(_xlfn.XLOOKUP(Table6[[#This Row],[Affected WTG]],'Basic Data'!$A:$A,'Basic Data'!$B:$B),"")</f>
        <v>TQGXIIPL</v>
      </c>
      <c r="I227" s="35" t="str">
        <f>IFERROR(_xlfn.XLOOKUP(Table6[[#This Row],[Affected WTG]],'Basic Data'!$A:$A,'Basic Data'!$C:$C),"")</f>
        <v>GEDA</v>
      </c>
      <c r="J227" s="260">
        <f>IFERROR(_xlfn.XLOOKUP(Table6[[#This Row],[Affected WTG]],'Basic Data'!$A:$A,'Basic Data'!$E:$E),"")</f>
        <v>3.846153846153845E-2</v>
      </c>
      <c r="K227" s="102">
        <v>1700</v>
      </c>
      <c r="L227" s="35" t="str">
        <f>IFERROR(_xlfn.XLOOKUP(Table6[[#This Row],[Error Code]],'Basic Data'!$AA:$AA,'Basic Data'!$AB:$AB),"Incorrect Error Code")</f>
        <v>High temp. gear bearing 1</v>
      </c>
      <c r="M227" s="35" t="s">
        <v>266</v>
      </c>
      <c r="N227" s="264"/>
      <c r="O227" s="265">
        <v>0.73055555555555551</v>
      </c>
      <c r="P227" s="265">
        <v>0.73055555555555551</v>
      </c>
      <c r="Q227" s="266">
        <v>0.75902777777777775</v>
      </c>
      <c r="R227" s="261">
        <f>IF(Table6[[#This Row],[Work Start TimeStamp]]="","",(Table6[[#This Row],[Work Start TimeStamp]]-Table6[[#This Row],[Fault Start TimeStamp]])*24)</f>
        <v>0</v>
      </c>
      <c r="S227" s="261">
        <f>(Table6[[#This Row],[Fault Clearance time]]-Table6[[#This Row],[Work Start TimeStamp]])*24</f>
        <v>0.68333333333333357</v>
      </c>
      <c r="T227" s="261">
        <f>(Table6[[#This Row],[Fault Clearance time]]-Table6[[#This Row],[Fault Start TimeStamp]])*24</f>
        <v>0.68333333333333357</v>
      </c>
      <c r="U227" s="35" t="s">
        <v>331</v>
      </c>
      <c r="V227" s="102" t="s">
        <v>268</v>
      </c>
      <c r="W227" s="267">
        <f>IFERROR(Table6[[#This Row],[Breakdown Time]]*Table6[[#This Row],[Plant Equivalent Weightage]],"")</f>
        <v>2.6282051282051282E-2</v>
      </c>
      <c r="X227" s="262" t="s">
        <v>269</v>
      </c>
      <c r="Y227" s="263" t="s">
        <v>121</v>
      </c>
      <c r="Z227" s="102">
        <v>52855</v>
      </c>
      <c r="AA227" s="257">
        <f>(Table6[[#This Row],[Paired WTG Generation for loss calculation]]/24)*Table6[[#This Row],[Breakdown Time]]</f>
        <v>1504.8993055555559</v>
      </c>
      <c r="AB227" s="102"/>
      <c r="AC227" s="35"/>
      <c r="AD227" s="35"/>
    </row>
    <row r="228" spans="1:30">
      <c r="A228" s="102">
        <f t="shared" si="4"/>
        <v>227</v>
      </c>
      <c r="B228" s="257">
        <f>YEAR(Table6[[#This Row],[Date]])+IF(MONTH(Table6[[#This Row],[Date]])&gt;=4,1,0)</f>
        <v>2026</v>
      </c>
      <c r="C228" s="102">
        <f>YEAR(Table6[[#This Row],[Date]])</f>
        <v>2025</v>
      </c>
      <c r="D228" s="102" t="s">
        <v>265</v>
      </c>
      <c r="E228" s="258">
        <f>Table6[[#This Row],[Date]]-DAY(Table6[[#This Row],[Date]])+1</f>
        <v>45748</v>
      </c>
      <c r="F228" s="259">
        <v>45761</v>
      </c>
      <c r="G228" s="35" t="s">
        <v>136</v>
      </c>
      <c r="H228" s="35" t="str">
        <f>IFERROR(_xlfn.XLOOKUP(Table6[[#This Row],[Affected WTG]],'Basic Data'!$A:$A,'Basic Data'!$B:$B),"")</f>
        <v>TQGXIIPL</v>
      </c>
      <c r="I228" s="35" t="str">
        <f>IFERROR(_xlfn.XLOOKUP(Table6[[#This Row],[Affected WTG]],'Basic Data'!$A:$A,'Basic Data'!$C:$C),"")</f>
        <v>GEDA</v>
      </c>
      <c r="J228" s="260">
        <f>IFERROR(_xlfn.XLOOKUP(Table6[[#This Row],[Affected WTG]],'Basic Data'!$A:$A,'Basic Data'!$E:$E),"")</f>
        <v>3.846153846153845E-2</v>
      </c>
      <c r="K228" s="102">
        <v>6130</v>
      </c>
      <c r="L228" s="35" t="str">
        <f>IFERROR(_xlfn.XLOOKUP(Table6[[#This Row],[Error Code]],'Basic Data'!$AA:$AA,'Basic Data'!$AB:$AB),"Incorrect Error Code")</f>
        <v>Yaw speed high</v>
      </c>
      <c r="M228" s="35" t="s">
        <v>266</v>
      </c>
      <c r="N228" s="264"/>
      <c r="O228" s="265">
        <v>0.53333333333333333</v>
      </c>
      <c r="P228" s="265">
        <v>0.53333333333333333</v>
      </c>
      <c r="Q228" s="266">
        <v>0.53749999999999998</v>
      </c>
      <c r="R228" s="261">
        <f>IF(Table6[[#This Row],[Work Start TimeStamp]]="","",(Table6[[#This Row],[Work Start TimeStamp]]-Table6[[#This Row],[Fault Start TimeStamp]])*24)</f>
        <v>0</v>
      </c>
      <c r="S228" s="261">
        <f>(Table6[[#This Row],[Fault Clearance time]]-Table6[[#This Row],[Work Start TimeStamp]])*24</f>
        <v>9.9999999999999645E-2</v>
      </c>
      <c r="T228" s="261">
        <f>(Table6[[#This Row],[Fault Clearance time]]-Table6[[#This Row],[Fault Start TimeStamp]])*24</f>
        <v>9.9999999999999645E-2</v>
      </c>
      <c r="U228" s="35" t="s">
        <v>267</v>
      </c>
      <c r="V228" s="102" t="s">
        <v>268</v>
      </c>
      <c r="W228" s="267">
        <f>IFERROR(Table6[[#This Row],[Breakdown Time]]*Table6[[#This Row],[Plant Equivalent Weightage]],"")</f>
        <v>3.8461538461538312E-3</v>
      </c>
      <c r="X228" s="262" t="s">
        <v>269</v>
      </c>
      <c r="Y228" s="263" t="s">
        <v>120</v>
      </c>
      <c r="Z228" s="102">
        <v>43979</v>
      </c>
      <c r="AA228" s="257">
        <f>(Table6[[#This Row],[Paired WTG Generation for loss calculation]]/24)*Table6[[#This Row],[Breakdown Time]]</f>
        <v>183.24583333333268</v>
      </c>
      <c r="AB228" s="102"/>
      <c r="AC228" s="35"/>
      <c r="AD228" s="35"/>
    </row>
    <row r="229" spans="1:30">
      <c r="A229" s="102">
        <f t="shared" si="4"/>
        <v>228</v>
      </c>
      <c r="B229" s="257">
        <f>YEAR(Table6[[#This Row],[Date]])+IF(MONTH(Table6[[#This Row],[Date]])&gt;=4,1,0)</f>
        <v>2026</v>
      </c>
      <c r="C229" s="102">
        <f>YEAR(Table6[[#This Row],[Date]])</f>
        <v>2025</v>
      </c>
      <c r="D229" s="102" t="s">
        <v>265</v>
      </c>
      <c r="E229" s="258">
        <f>Table6[[#This Row],[Date]]-DAY(Table6[[#This Row],[Date]])+1</f>
        <v>45748</v>
      </c>
      <c r="F229" s="259">
        <v>45761</v>
      </c>
      <c r="G229" s="35" t="s">
        <v>138</v>
      </c>
      <c r="H229" s="35" t="str">
        <f>IFERROR(_xlfn.XLOOKUP(Table6[[#This Row],[Affected WTG]],'Basic Data'!$A:$A,'Basic Data'!$B:$B),"")</f>
        <v>TQGXIIPL</v>
      </c>
      <c r="I229" s="35" t="str">
        <f>IFERROR(_xlfn.XLOOKUP(Table6[[#This Row],[Affected WTG]],'Basic Data'!$A:$A,'Basic Data'!$C:$C),"")</f>
        <v>GEDA</v>
      </c>
      <c r="J229" s="260">
        <f>IFERROR(_xlfn.XLOOKUP(Table6[[#This Row],[Affected WTG]],'Basic Data'!$A:$A,'Basic Data'!$E:$E),"")</f>
        <v>3.846153846153845E-2</v>
      </c>
      <c r="K229" s="102">
        <v>6130</v>
      </c>
      <c r="L229" s="35" t="str">
        <f>IFERROR(_xlfn.XLOOKUP(Table6[[#This Row],[Error Code]],'Basic Data'!$AA:$AA,'Basic Data'!$AB:$AB),"Incorrect Error Code")</f>
        <v>Yaw speed high</v>
      </c>
      <c r="M229" s="35" t="s">
        <v>266</v>
      </c>
      <c r="N229" s="264"/>
      <c r="O229" s="265">
        <v>0.65694444444444444</v>
      </c>
      <c r="P229" s="265">
        <v>0.65694444444444444</v>
      </c>
      <c r="Q229" s="266">
        <v>0.65972222222222221</v>
      </c>
      <c r="R229" s="261">
        <f>IF(Table6[[#This Row],[Work Start TimeStamp]]="","",(Table6[[#This Row],[Work Start TimeStamp]]-Table6[[#This Row],[Fault Start TimeStamp]])*24)</f>
        <v>0</v>
      </c>
      <c r="S229" s="261">
        <f>(Table6[[#This Row],[Fault Clearance time]]-Table6[[#This Row],[Work Start TimeStamp]])*24</f>
        <v>6.666666666666643E-2</v>
      </c>
      <c r="T229" s="261">
        <f>(Table6[[#This Row],[Fault Clearance time]]-Table6[[#This Row],[Fault Start TimeStamp]])*24</f>
        <v>6.666666666666643E-2</v>
      </c>
      <c r="U229" s="35" t="s">
        <v>267</v>
      </c>
      <c r="V229" s="102" t="s">
        <v>268</v>
      </c>
      <c r="W229" s="267">
        <f>IFERROR(Table6[[#This Row],[Breakdown Time]]*Table6[[#This Row],[Plant Equivalent Weightage]],"")</f>
        <v>2.5641025641025541E-3</v>
      </c>
      <c r="X229" s="262" t="s">
        <v>269</v>
      </c>
      <c r="Y229" s="263" t="s">
        <v>134</v>
      </c>
      <c r="Z229" s="102">
        <v>47867</v>
      </c>
      <c r="AA229" s="257">
        <f>(Table6[[#This Row],[Paired WTG Generation for loss calculation]]/24)*Table6[[#This Row],[Breakdown Time]]</f>
        <v>132.96388888888842</v>
      </c>
      <c r="AB229" s="102"/>
      <c r="AC229" s="35"/>
      <c r="AD229" s="35"/>
    </row>
    <row r="230" spans="1:30">
      <c r="A230" s="102">
        <f t="shared" si="4"/>
        <v>229</v>
      </c>
      <c r="B230" s="257">
        <f>YEAR(Table6[[#This Row],[Date]])+IF(MONTH(Table6[[#This Row],[Date]])&gt;=4,1,0)</f>
        <v>2026</v>
      </c>
      <c r="C230" s="102">
        <f>YEAR(Table6[[#This Row],[Date]])</f>
        <v>2025</v>
      </c>
      <c r="D230" s="102" t="s">
        <v>265</v>
      </c>
      <c r="E230" s="258">
        <f>Table6[[#This Row],[Date]]-DAY(Table6[[#This Row],[Date]])+1</f>
        <v>45748</v>
      </c>
      <c r="F230" s="259">
        <v>45761</v>
      </c>
      <c r="G230" s="35" t="s">
        <v>139</v>
      </c>
      <c r="H230" s="35" t="str">
        <f>IFERROR(_xlfn.XLOOKUP(Table6[[#This Row],[Affected WTG]],'Basic Data'!$A:$A,'Basic Data'!$B:$B),"")</f>
        <v>TQGXIIPL</v>
      </c>
      <c r="I230" s="35" t="str">
        <f>IFERROR(_xlfn.XLOOKUP(Table6[[#This Row],[Affected WTG]],'Basic Data'!$A:$A,'Basic Data'!$C:$C),"")</f>
        <v>GEDA</v>
      </c>
      <c r="J230" s="260">
        <f>IFERROR(_xlfn.XLOOKUP(Table6[[#This Row],[Affected WTG]],'Basic Data'!$A:$A,'Basic Data'!$E:$E),"")</f>
        <v>3.846153846153845E-2</v>
      </c>
      <c r="K230" s="102">
        <v>1070</v>
      </c>
      <c r="L230" s="35" t="str">
        <f>IFERROR(_xlfn.XLOOKUP(Table6[[#This Row],[Error Code]],'Basic Data'!$AA:$AA,'Basic Data'!$AB:$AB),"Incorrect Error Code")</f>
        <v>Drive train monitor level 2</v>
      </c>
      <c r="M230" s="35" t="s">
        <v>266</v>
      </c>
      <c r="N230" s="264"/>
      <c r="O230" s="265">
        <v>9.7222222222222224E-3</v>
      </c>
      <c r="P230" s="265">
        <v>9.7222222222222224E-3</v>
      </c>
      <c r="Q230" s="266">
        <v>1.8055555555555554E-2</v>
      </c>
      <c r="R230" s="261">
        <f>IF(Table6[[#This Row],[Work Start TimeStamp]]="","",(Table6[[#This Row],[Work Start TimeStamp]]-Table6[[#This Row],[Fault Start TimeStamp]])*24)</f>
        <v>0</v>
      </c>
      <c r="S230" s="261">
        <f>(Table6[[#This Row],[Fault Clearance time]]-Table6[[#This Row],[Work Start TimeStamp]])*24</f>
        <v>0.19999999999999996</v>
      </c>
      <c r="T230" s="261">
        <f>(Table6[[#This Row],[Fault Clearance time]]-Table6[[#This Row],[Fault Start TimeStamp]])*24</f>
        <v>0.19999999999999996</v>
      </c>
      <c r="U230" s="35" t="s">
        <v>329</v>
      </c>
      <c r="V230" s="102" t="s">
        <v>268</v>
      </c>
      <c r="W230" s="267">
        <f>IFERROR(Table6[[#This Row],[Breakdown Time]]*Table6[[#This Row],[Plant Equivalent Weightage]],"")</f>
        <v>7.6923076923076884E-3</v>
      </c>
      <c r="X230" s="262" t="s">
        <v>269</v>
      </c>
      <c r="Y230" s="263" t="s">
        <v>115</v>
      </c>
      <c r="Z230" s="102">
        <v>49494</v>
      </c>
      <c r="AA230" s="257">
        <f>(Table6[[#This Row],[Paired WTG Generation for loss calculation]]/24)*Table6[[#This Row],[Breakdown Time]]</f>
        <v>412.44999999999993</v>
      </c>
      <c r="AB230" s="102"/>
      <c r="AC230" s="35"/>
      <c r="AD230" s="35"/>
    </row>
    <row r="231" spans="1:30">
      <c r="A231" s="102">
        <f t="shared" si="4"/>
        <v>230</v>
      </c>
      <c r="B231" s="257">
        <f>YEAR(Table6[[#This Row],[Date]])+IF(MONTH(Table6[[#This Row],[Date]])&gt;=4,1,0)</f>
        <v>2026</v>
      </c>
      <c r="C231" s="102">
        <f>YEAR(Table6[[#This Row],[Date]])</f>
        <v>2025</v>
      </c>
      <c r="D231" s="102" t="s">
        <v>265</v>
      </c>
      <c r="E231" s="258">
        <f>Table6[[#This Row],[Date]]-DAY(Table6[[#This Row],[Date]])+1</f>
        <v>45748</v>
      </c>
      <c r="F231" s="259">
        <v>45761</v>
      </c>
      <c r="G231" s="35" t="s">
        <v>139</v>
      </c>
      <c r="H231" s="35" t="str">
        <f>IFERROR(_xlfn.XLOOKUP(Table6[[#This Row],[Affected WTG]],'Basic Data'!$A:$A,'Basic Data'!$B:$B),"")</f>
        <v>TQGXIIPL</v>
      </c>
      <c r="I231" s="35" t="str">
        <f>IFERROR(_xlfn.XLOOKUP(Table6[[#This Row],[Affected WTG]],'Basic Data'!$A:$A,'Basic Data'!$C:$C),"")</f>
        <v>GEDA</v>
      </c>
      <c r="J231" s="260">
        <f>IFERROR(_xlfn.XLOOKUP(Table6[[#This Row],[Affected WTG]],'Basic Data'!$A:$A,'Basic Data'!$E:$E),"")</f>
        <v>3.846153846153845E-2</v>
      </c>
      <c r="K231" s="102">
        <v>55</v>
      </c>
      <c r="L231" s="35" t="str">
        <f>IFERROR(_xlfn.XLOOKUP(Table6[[#This Row],[Error Code]],'Basic Data'!$AA:$AA,'Basic Data'!$AB:$AB),"Incorrect Error Code")</f>
        <v>WTG shut down</v>
      </c>
      <c r="M231" s="35" t="s">
        <v>266</v>
      </c>
      <c r="N231" s="264"/>
      <c r="O231" s="265">
        <v>0.41666666666666669</v>
      </c>
      <c r="P231" s="265">
        <v>0.41666666666666669</v>
      </c>
      <c r="Q231" s="266">
        <v>0.43472222222222223</v>
      </c>
      <c r="R231" s="261">
        <f>IF(Table6[[#This Row],[Work Start TimeStamp]]="","",(Table6[[#This Row],[Work Start TimeStamp]]-Table6[[#This Row],[Fault Start TimeStamp]])*24)</f>
        <v>0</v>
      </c>
      <c r="S231" s="261">
        <f>(Table6[[#This Row],[Fault Clearance time]]-Table6[[#This Row],[Work Start TimeStamp]])*24</f>
        <v>0.43333333333333313</v>
      </c>
      <c r="T231" s="261">
        <f>(Table6[[#This Row],[Fault Clearance time]]-Table6[[#This Row],[Fault Start TimeStamp]])*24</f>
        <v>0.43333333333333313</v>
      </c>
      <c r="U231" s="35" t="s">
        <v>320</v>
      </c>
      <c r="V231" s="102" t="s">
        <v>268</v>
      </c>
      <c r="W231" s="267">
        <f>IFERROR(Table6[[#This Row],[Breakdown Time]]*Table6[[#This Row],[Plant Equivalent Weightage]],"")</f>
        <v>1.6666666666666653E-2</v>
      </c>
      <c r="X231" s="262" t="s">
        <v>296</v>
      </c>
      <c r="Y231" s="263" t="s">
        <v>115</v>
      </c>
      <c r="Z231" s="102">
        <v>49494</v>
      </c>
      <c r="AA231" s="257">
        <f>(Table6[[#This Row],[Paired WTG Generation for loss calculation]]/24)*Table6[[#This Row],[Breakdown Time]]</f>
        <v>893.6416666666662</v>
      </c>
      <c r="AB231" s="102"/>
      <c r="AC231" s="35"/>
      <c r="AD231" s="35"/>
    </row>
    <row r="232" spans="1:30">
      <c r="A232" s="102">
        <f t="shared" si="4"/>
        <v>231</v>
      </c>
      <c r="B232" s="257">
        <f>YEAR(Table6[[#This Row],[Date]])+IF(MONTH(Table6[[#This Row],[Date]])&gt;=4,1,0)</f>
        <v>2026</v>
      </c>
      <c r="C232" s="102">
        <f>YEAR(Table6[[#This Row],[Date]])</f>
        <v>2025</v>
      </c>
      <c r="D232" s="102" t="s">
        <v>265</v>
      </c>
      <c r="E232" s="258">
        <f>Table6[[#This Row],[Date]]-DAY(Table6[[#This Row],[Date]])+1</f>
        <v>45748</v>
      </c>
      <c r="F232" s="259">
        <v>45761</v>
      </c>
      <c r="G232" s="35" t="s">
        <v>139</v>
      </c>
      <c r="H232" s="35" t="str">
        <f>IFERROR(_xlfn.XLOOKUP(Table6[[#This Row],[Affected WTG]],'Basic Data'!$A:$A,'Basic Data'!$B:$B),"")</f>
        <v>TQGXIIPL</v>
      </c>
      <c r="I232" s="35" t="str">
        <f>IFERROR(_xlfn.XLOOKUP(Table6[[#This Row],[Affected WTG]],'Basic Data'!$A:$A,'Basic Data'!$C:$C),"")</f>
        <v>GEDA</v>
      </c>
      <c r="J232" s="260">
        <f>IFERROR(_xlfn.XLOOKUP(Table6[[#This Row],[Affected WTG]],'Basic Data'!$A:$A,'Basic Data'!$E:$E),"")</f>
        <v>3.846153846153845E-2</v>
      </c>
      <c r="K232" s="102">
        <v>1700</v>
      </c>
      <c r="L232" s="35" t="str">
        <f>IFERROR(_xlfn.XLOOKUP(Table6[[#This Row],[Error Code]],'Basic Data'!$AA:$AA,'Basic Data'!$AB:$AB),"Incorrect Error Code")</f>
        <v>High temp. gear bearing 1</v>
      </c>
      <c r="M232" s="35" t="s">
        <v>266</v>
      </c>
      <c r="N232" s="264"/>
      <c r="O232" s="265">
        <v>0.70625000000000004</v>
      </c>
      <c r="P232" s="265">
        <v>0.70625000000000004</v>
      </c>
      <c r="Q232" s="266">
        <v>0.75208333333333333</v>
      </c>
      <c r="R232" s="261">
        <f>IF(Table6[[#This Row],[Work Start TimeStamp]]="","",(Table6[[#This Row],[Work Start TimeStamp]]-Table6[[#This Row],[Fault Start TimeStamp]])*24)</f>
        <v>0</v>
      </c>
      <c r="S232" s="261">
        <f>(Table6[[#This Row],[Fault Clearance time]]-Table6[[#This Row],[Work Start TimeStamp]])*24</f>
        <v>1.0999999999999988</v>
      </c>
      <c r="T232" s="261">
        <f>(Table6[[#This Row],[Fault Clearance time]]-Table6[[#This Row],[Fault Start TimeStamp]])*24</f>
        <v>1.0999999999999988</v>
      </c>
      <c r="U232" s="35" t="s">
        <v>331</v>
      </c>
      <c r="V232" s="102" t="s">
        <v>268</v>
      </c>
      <c r="W232" s="267">
        <f>IFERROR(Table6[[#This Row],[Breakdown Time]]*Table6[[#This Row],[Plant Equivalent Weightage]],"")</f>
        <v>4.2307692307692248E-2</v>
      </c>
      <c r="X232" s="262" t="s">
        <v>269</v>
      </c>
      <c r="Y232" s="263" t="s">
        <v>115</v>
      </c>
      <c r="Z232" s="102">
        <v>49494</v>
      </c>
      <c r="AA232" s="257">
        <f>(Table6[[#This Row],[Paired WTG Generation for loss calculation]]/24)*Table6[[#This Row],[Breakdown Time]]</f>
        <v>2268.4749999999976</v>
      </c>
      <c r="AB232" s="102"/>
      <c r="AC232" s="35"/>
      <c r="AD232" s="35"/>
    </row>
    <row r="233" spans="1:30">
      <c r="A233" s="102">
        <f t="shared" si="4"/>
        <v>232</v>
      </c>
      <c r="B233" s="257">
        <f>YEAR(Table6[[#This Row],[Date]])+IF(MONTH(Table6[[#This Row],[Date]])&gt;=4,1,0)</f>
        <v>2026</v>
      </c>
      <c r="C233" s="102">
        <f>YEAR(Table6[[#This Row],[Date]])</f>
        <v>2025</v>
      </c>
      <c r="D233" s="102" t="s">
        <v>265</v>
      </c>
      <c r="E233" s="258">
        <f>Table6[[#This Row],[Date]]-DAY(Table6[[#This Row],[Date]])+1</f>
        <v>45748</v>
      </c>
      <c r="F233" s="259">
        <v>45761</v>
      </c>
      <c r="G233" s="35" t="s">
        <v>139</v>
      </c>
      <c r="H233" s="35" t="str">
        <f>IFERROR(_xlfn.XLOOKUP(Table6[[#This Row],[Affected WTG]],'Basic Data'!$A:$A,'Basic Data'!$B:$B),"")</f>
        <v>TQGXIIPL</v>
      </c>
      <c r="I233" s="35" t="str">
        <f>IFERROR(_xlfn.XLOOKUP(Table6[[#This Row],[Affected WTG]],'Basic Data'!$A:$A,'Basic Data'!$C:$C),"")</f>
        <v>GEDA</v>
      </c>
      <c r="J233" s="260">
        <f>IFERROR(_xlfn.XLOOKUP(Table6[[#This Row],[Affected WTG]],'Basic Data'!$A:$A,'Basic Data'!$E:$E),"")</f>
        <v>3.846153846153845E-2</v>
      </c>
      <c r="K233" s="102">
        <v>55</v>
      </c>
      <c r="L233" s="35" t="str">
        <f>IFERROR(_xlfn.XLOOKUP(Table6[[#This Row],[Error Code]],'Basic Data'!$AA:$AA,'Basic Data'!$AB:$AB),"Incorrect Error Code")</f>
        <v>WTG shut down</v>
      </c>
      <c r="M233" s="35" t="s">
        <v>300</v>
      </c>
      <c r="N233" s="264"/>
      <c r="O233" s="265">
        <v>0.76736111111111116</v>
      </c>
      <c r="P233" s="265">
        <v>0.76736111111111116</v>
      </c>
      <c r="Q233" s="266">
        <v>0.96319444444444446</v>
      </c>
      <c r="R233" s="261">
        <f>IF(Table6[[#This Row],[Work Start TimeStamp]]="","",(Table6[[#This Row],[Work Start TimeStamp]]-Table6[[#This Row],[Fault Start TimeStamp]])*24)</f>
        <v>0</v>
      </c>
      <c r="S233" s="261">
        <f>(Table6[[#This Row],[Fault Clearance time]]-Table6[[#This Row],[Work Start TimeStamp]])*24</f>
        <v>4.6999999999999993</v>
      </c>
      <c r="T233" s="261">
        <f>(Table6[[#This Row],[Fault Clearance time]]-Table6[[#This Row],[Fault Start TimeStamp]])*24</f>
        <v>4.6999999999999993</v>
      </c>
      <c r="U233" s="35" t="s">
        <v>301</v>
      </c>
      <c r="V233" s="102" t="s">
        <v>268</v>
      </c>
      <c r="W233" s="267">
        <f>IFERROR(Table6[[#This Row],[Breakdown Time]]*Table6[[#This Row],[Plant Equivalent Weightage]],"")</f>
        <v>0.18076923076923068</v>
      </c>
      <c r="X233" s="262" t="s">
        <v>296</v>
      </c>
      <c r="Y233" s="263" t="s">
        <v>115</v>
      </c>
      <c r="Z233" s="102">
        <v>49494</v>
      </c>
      <c r="AA233" s="257">
        <f>(Table6[[#This Row],[Paired WTG Generation for loss calculation]]/24)*Table6[[#This Row],[Breakdown Time]]</f>
        <v>9692.5749999999989</v>
      </c>
      <c r="AB233" s="102"/>
      <c r="AC233" s="35"/>
      <c r="AD233" s="35"/>
    </row>
    <row r="234" spans="1:30">
      <c r="A234" s="102">
        <f t="shared" si="4"/>
        <v>233</v>
      </c>
      <c r="B234" s="257">
        <f>YEAR(Table6[[#This Row],[Date]])+IF(MONTH(Table6[[#This Row],[Date]])&gt;=4,1,0)</f>
        <v>2026</v>
      </c>
      <c r="C234" s="102">
        <f>YEAR(Table6[[#This Row],[Date]])</f>
        <v>2025</v>
      </c>
      <c r="D234" s="102" t="s">
        <v>265</v>
      </c>
      <c r="E234" s="258">
        <f>Table6[[#This Row],[Date]]-DAY(Table6[[#This Row],[Date]])+1</f>
        <v>45748</v>
      </c>
      <c r="F234" s="259">
        <v>45762</v>
      </c>
      <c r="G234" s="35" t="s">
        <v>119</v>
      </c>
      <c r="H234" s="35" t="str">
        <f>IFERROR(_xlfn.XLOOKUP(Table6[[#This Row],[Affected WTG]],'Basic Data'!$A:$A,'Basic Data'!$B:$B),"")</f>
        <v>TQGXIIPL</v>
      </c>
      <c r="I234" s="35" t="str">
        <f>IFERROR(_xlfn.XLOOKUP(Table6[[#This Row],[Affected WTG]],'Basic Data'!$A:$A,'Basic Data'!$C:$C),"")</f>
        <v>GEDA</v>
      </c>
      <c r="J234" s="260">
        <f>IFERROR(_xlfn.XLOOKUP(Table6[[#This Row],[Affected WTG]],'Basic Data'!$A:$A,'Basic Data'!$E:$E),"")</f>
        <v>3.846153846153845E-2</v>
      </c>
      <c r="K234" s="102">
        <v>3211</v>
      </c>
      <c r="L234" s="35" t="str">
        <f>IFERROR(_xlfn.XLOOKUP(Table6[[#This Row],[Error Code]],'Basic Data'!$AA:$AA,'Basic Data'!$AB:$AB),"Incorrect Error Code")</f>
        <v>Conv. load shedding (CAN)</v>
      </c>
      <c r="M234" s="35" t="s">
        <v>266</v>
      </c>
      <c r="N234" s="264"/>
      <c r="O234" s="265">
        <v>0.11180555555555556</v>
      </c>
      <c r="P234" s="265">
        <v>0.11180555555555556</v>
      </c>
      <c r="Q234" s="266">
        <v>0.11736111111111111</v>
      </c>
      <c r="R234" s="261">
        <f>IF(Table6[[#This Row],[Work Start TimeStamp]]="","",(Table6[[#This Row],[Work Start TimeStamp]]-Table6[[#This Row],[Fault Start TimeStamp]])*24)</f>
        <v>0</v>
      </c>
      <c r="S234" s="261">
        <f>(Table6[[#This Row],[Fault Clearance time]]-Table6[[#This Row],[Work Start TimeStamp]])*24</f>
        <v>0.13333333333333319</v>
      </c>
      <c r="T234" s="261">
        <f>(Table6[[#This Row],[Fault Clearance time]]-Table6[[#This Row],[Fault Start TimeStamp]])*24</f>
        <v>0.13333333333333319</v>
      </c>
      <c r="U234" s="35" t="s">
        <v>267</v>
      </c>
      <c r="V234" s="102" t="s">
        <v>268</v>
      </c>
      <c r="W234" s="267">
        <f>IFERROR(Table6[[#This Row],[Breakdown Time]]*Table6[[#This Row],[Plant Equivalent Weightage]],"")</f>
        <v>5.1282051282051213E-3</v>
      </c>
      <c r="X234" s="262" t="s">
        <v>269</v>
      </c>
      <c r="Y234" s="263" t="s">
        <v>116</v>
      </c>
      <c r="Z234" s="102">
        <v>48545</v>
      </c>
      <c r="AA234" s="257">
        <f>(Table6[[#This Row],[Paired WTG Generation for loss calculation]]/24)*Table6[[#This Row],[Breakdown Time]]</f>
        <v>269.69444444444417</v>
      </c>
      <c r="AB234" s="102"/>
      <c r="AC234" s="35"/>
      <c r="AD234" s="35"/>
    </row>
    <row r="235" spans="1:30">
      <c r="A235" s="102">
        <f t="shared" si="4"/>
        <v>234</v>
      </c>
      <c r="B235" s="257">
        <f>YEAR(Table6[[#This Row],[Date]])+IF(MONTH(Table6[[#This Row],[Date]])&gt;=4,1,0)</f>
        <v>2026</v>
      </c>
      <c r="C235" s="102">
        <f>YEAR(Table6[[#This Row],[Date]])</f>
        <v>2025</v>
      </c>
      <c r="D235" s="102" t="s">
        <v>265</v>
      </c>
      <c r="E235" s="258">
        <f>Table6[[#This Row],[Date]]-DAY(Table6[[#This Row],[Date]])+1</f>
        <v>45748</v>
      </c>
      <c r="F235" s="259">
        <v>45762</v>
      </c>
      <c r="G235" s="35" t="s">
        <v>119</v>
      </c>
      <c r="H235" s="35" t="str">
        <f>IFERROR(_xlfn.XLOOKUP(Table6[[#This Row],[Affected WTG]],'Basic Data'!$A:$A,'Basic Data'!$B:$B),"")</f>
        <v>TQGXIIPL</v>
      </c>
      <c r="I235" s="35" t="str">
        <f>IFERROR(_xlfn.XLOOKUP(Table6[[#This Row],[Affected WTG]],'Basic Data'!$A:$A,'Basic Data'!$C:$C),"")</f>
        <v>GEDA</v>
      </c>
      <c r="J235" s="260">
        <f>IFERROR(_xlfn.XLOOKUP(Table6[[#This Row],[Affected WTG]],'Basic Data'!$A:$A,'Basic Data'!$E:$E),"")</f>
        <v>3.846153846153845E-2</v>
      </c>
      <c r="K235" s="102">
        <v>3010</v>
      </c>
      <c r="L235" s="35" t="str">
        <f>IFERROR(_xlfn.XLOOKUP(Table6[[#This Row],[Error Code]],'Basic Data'!$AA:$AA,'Basic Data'!$AB:$AB),"Incorrect Error Code")</f>
        <v>Conv. comm.error</v>
      </c>
      <c r="M235" s="35" t="s">
        <v>266</v>
      </c>
      <c r="N235" s="264"/>
      <c r="O235" s="265">
        <v>0.12152777777777778</v>
      </c>
      <c r="P235" s="265">
        <v>0.12152777777777778</v>
      </c>
      <c r="Q235" s="266">
        <v>0.12986111111111112</v>
      </c>
      <c r="R235" s="261">
        <f>IF(Table6[[#This Row],[Work Start TimeStamp]]="","",(Table6[[#This Row],[Work Start TimeStamp]]-Table6[[#This Row],[Fault Start TimeStamp]])*24)</f>
        <v>0</v>
      </c>
      <c r="S235" s="261">
        <f>(Table6[[#This Row],[Fault Clearance time]]-Table6[[#This Row],[Work Start TimeStamp]])*24</f>
        <v>0.20000000000000029</v>
      </c>
      <c r="T235" s="261">
        <f>(Table6[[#This Row],[Fault Clearance time]]-Table6[[#This Row],[Fault Start TimeStamp]])*24</f>
        <v>0.20000000000000029</v>
      </c>
      <c r="U235" s="35" t="s">
        <v>267</v>
      </c>
      <c r="V235" s="102" t="s">
        <v>268</v>
      </c>
      <c r="W235" s="267">
        <f>IFERROR(Table6[[#This Row],[Breakdown Time]]*Table6[[#This Row],[Plant Equivalent Weightage]],"")</f>
        <v>7.6923076923077014E-3</v>
      </c>
      <c r="X235" s="262" t="s">
        <v>269</v>
      </c>
      <c r="Y235" s="263" t="s">
        <v>116</v>
      </c>
      <c r="Z235" s="102">
        <v>48545</v>
      </c>
      <c r="AA235" s="257">
        <f>(Table6[[#This Row],[Paired WTG Generation for loss calculation]]/24)*Table6[[#This Row],[Breakdown Time]]</f>
        <v>404.54166666666725</v>
      </c>
      <c r="AB235" s="102"/>
      <c r="AC235" s="35"/>
      <c r="AD235" s="35"/>
    </row>
    <row r="236" spans="1:30">
      <c r="A236" s="102">
        <f t="shared" si="4"/>
        <v>235</v>
      </c>
      <c r="B236" s="257">
        <f>YEAR(Table6[[#This Row],[Date]])+IF(MONTH(Table6[[#This Row],[Date]])&gt;=4,1,0)</f>
        <v>2026</v>
      </c>
      <c r="C236" s="102">
        <f>YEAR(Table6[[#This Row],[Date]])</f>
        <v>2025</v>
      </c>
      <c r="D236" s="102" t="s">
        <v>265</v>
      </c>
      <c r="E236" s="258">
        <f>Table6[[#This Row],[Date]]-DAY(Table6[[#This Row],[Date]])+1</f>
        <v>45748</v>
      </c>
      <c r="F236" s="259">
        <v>45762</v>
      </c>
      <c r="G236" s="35" t="s">
        <v>119</v>
      </c>
      <c r="H236" s="35" t="str">
        <f>IFERROR(_xlfn.XLOOKUP(Table6[[#This Row],[Affected WTG]],'Basic Data'!$A:$A,'Basic Data'!$B:$B),"")</f>
        <v>TQGXIIPL</v>
      </c>
      <c r="I236" s="35" t="str">
        <f>IFERROR(_xlfn.XLOOKUP(Table6[[#This Row],[Affected WTG]],'Basic Data'!$A:$A,'Basic Data'!$C:$C),"")</f>
        <v>GEDA</v>
      </c>
      <c r="J236" s="260">
        <f>IFERROR(_xlfn.XLOOKUP(Table6[[#This Row],[Affected WTG]],'Basic Data'!$A:$A,'Basic Data'!$E:$E),"")</f>
        <v>3.846153846153845E-2</v>
      </c>
      <c r="K236" s="102">
        <v>55</v>
      </c>
      <c r="L236" s="35" t="str">
        <f>IFERROR(_xlfn.XLOOKUP(Table6[[#This Row],[Error Code]],'Basic Data'!$AA:$AA,'Basic Data'!$AB:$AB),"Incorrect Error Code")</f>
        <v>WTG shut down</v>
      </c>
      <c r="M236" s="35" t="s">
        <v>300</v>
      </c>
      <c r="N236" s="264"/>
      <c r="O236" s="265">
        <v>0.14583333333333334</v>
      </c>
      <c r="P236" s="265">
        <v>0.14583333333333334</v>
      </c>
      <c r="Q236" s="266">
        <v>0.34930555555555554</v>
      </c>
      <c r="R236" s="261">
        <f>IF(Table6[[#This Row],[Work Start TimeStamp]]="","",(Table6[[#This Row],[Work Start TimeStamp]]-Table6[[#This Row],[Fault Start TimeStamp]])*24)</f>
        <v>0</v>
      </c>
      <c r="S236" s="261">
        <f>(Table6[[#This Row],[Fault Clearance time]]-Table6[[#This Row],[Work Start TimeStamp]])*24</f>
        <v>4.8833333333333329</v>
      </c>
      <c r="T236" s="261">
        <f>(Table6[[#This Row],[Fault Clearance time]]-Table6[[#This Row],[Fault Start TimeStamp]])*24</f>
        <v>4.8833333333333329</v>
      </c>
      <c r="U236" s="35" t="s">
        <v>301</v>
      </c>
      <c r="V236" s="102" t="s">
        <v>268</v>
      </c>
      <c r="W236" s="267">
        <f>IFERROR(Table6[[#This Row],[Breakdown Time]]*Table6[[#This Row],[Plant Equivalent Weightage]],"")</f>
        <v>0.18782051282051274</v>
      </c>
      <c r="X236" s="262" t="s">
        <v>296</v>
      </c>
      <c r="Y236" s="263" t="s">
        <v>116</v>
      </c>
      <c r="Z236" s="102">
        <v>48545</v>
      </c>
      <c r="AA236" s="257">
        <f>(Table6[[#This Row],[Paired WTG Generation for loss calculation]]/24)*Table6[[#This Row],[Breakdown Time]]</f>
        <v>9877.5590277777756</v>
      </c>
      <c r="AB236" s="102"/>
      <c r="AC236" s="35"/>
      <c r="AD236" s="35"/>
    </row>
    <row r="237" spans="1:30">
      <c r="A237" s="102">
        <f t="shared" si="4"/>
        <v>236</v>
      </c>
      <c r="B237" s="257">
        <f>YEAR(Table6[[#This Row],[Date]])+IF(MONTH(Table6[[#This Row],[Date]])&gt;=4,1,0)</f>
        <v>2026</v>
      </c>
      <c r="C237" s="102">
        <f>YEAR(Table6[[#This Row],[Date]])</f>
        <v>2025</v>
      </c>
      <c r="D237" s="102" t="s">
        <v>265</v>
      </c>
      <c r="E237" s="258">
        <f>Table6[[#This Row],[Date]]-DAY(Table6[[#This Row],[Date]])+1</f>
        <v>45748</v>
      </c>
      <c r="F237" s="259">
        <v>45762</v>
      </c>
      <c r="G237" s="35" t="s">
        <v>120</v>
      </c>
      <c r="H237" s="35" t="str">
        <f>IFERROR(_xlfn.XLOOKUP(Table6[[#This Row],[Affected WTG]],'Basic Data'!$A:$A,'Basic Data'!$B:$B),"")</f>
        <v>TQGXIIPL</v>
      </c>
      <c r="I237" s="35" t="str">
        <f>IFERROR(_xlfn.XLOOKUP(Table6[[#This Row],[Affected WTG]],'Basic Data'!$A:$A,'Basic Data'!$C:$C),"")</f>
        <v>GEDA</v>
      </c>
      <c r="J237" s="260">
        <f>IFERROR(_xlfn.XLOOKUP(Table6[[#This Row],[Affected WTG]],'Basic Data'!$A:$A,'Basic Data'!$E:$E),"")</f>
        <v>3.846153846153845E-2</v>
      </c>
      <c r="K237" s="102">
        <v>6130</v>
      </c>
      <c r="L237" s="35" t="str">
        <f>IFERROR(_xlfn.XLOOKUP(Table6[[#This Row],[Error Code]],'Basic Data'!$AA:$AA,'Basic Data'!$AB:$AB),"Incorrect Error Code")</f>
        <v>Yaw speed high</v>
      </c>
      <c r="M237" s="35" t="s">
        <v>278</v>
      </c>
      <c r="N237" s="264"/>
      <c r="O237" s="265">
        <v>0.3659722222222222</v>
      </c>
      <c r="P237" s="265">
        <v>0.3659722222222222</v>
      </c>
      <c r="Q237" s="266">
        <v>0.37013888888888891</v>
      </c>
      <c r="R237" s="261">
        <f>IF(Table6[[#This Row],[Work Start TimeStamp]]="","",(Table6[[#This Row],[Work Start TimeStamp]]-Table6[[#This Row],[Fault Start TimeStamp]])*24)</f>
        <v>0</v>
      </c>
      <c r="S237" s="261">
        <f>(Table6[[#This Row],[Fault Clearance time]]-Table6[[#This Row],[Work Start TimeStamp]])*24</f>
        <v>0.10000000000000098</v>
      </c>
      <c r="T237" s="261">
        <f>(Table6[[#This Row],[Fault Clearance time]]-Table6[[#This Row],[Fault Start TimeStamp]])*24</f>
        <v>0.10000000000000098</v>
      </c>
      <c r="U237" s="35" t="s">
        <v>277</v>
      </c>
      <c r="V237" s="102" t="s">
        <v>268</v>
      </c>
      <c r="W237" s="267">
        <f>IFERROR(Table6[[#This Row],[Breakdown Time]]*Table6[[#This Row],[Plant Equivalent Weightage]],"")</f>
        <v>3.8461538461538824E-3</v>
      </c>
      <c r="X237" s="262" t="s">
        <v>269</v>
      </c>
      <c r="Y237" s="263" t="s">
        <v>135</v>
      </c>
      <c r="Z237" s="102">
        <v>46010</v>
      </c>
      <c r="AA237" s="257">
        <f>(Table6[[#This Row],[Paired WTG Generation for loss calculation]]/24)*Table6[[#This Row],[Breakdown Time]]</f>
        <v>191.70833333333519</v>
      </c>
      <c r="AB237" s="102"/>
      <c r="AC237" s="35"/>
      <c r="AD237" s="35"/>
    </row>
    <row r="238" spans="1:30">
      <c r="A238" s="102">
        <f t="shared" si="4"/>
        <v>237</v>
      </c>
      <c r="B238" s="257">
        <f>YEAR(Table6[[#This Row],[Date]])+IF(MONTH(Table6[[#This Row],[Date]])&gt;=4,1,0)</f>
        <v>2026</v>
      </c>
      <c r="C238" s="102">
        <f>YEAR(Table6[[#This Row],[Date]])</f>
        <v>2025</v>
      </c>
      <c r="D238" s="102" t="s">
        <v>265</v>
      </c>
      <c r="E238" s="258">
        <f>Table6[[#This Row],[Date]]-DAY(Table6[[#This Row],[Date]])+1</f>
        <v>45748</v>
      </c>
      <c r="F238" s="259">
        <v>45762</v>
      </c>
      <c r="G238" s="35" t="s">
        <v>123</v>
      </c>
      <c r="H238" s="35" t="str">
        <f>IFERROR(_xlfn.XLOOKUP(Table6[[#This Row],[Affected WTG]],'Basic Data'!$A:$A,'Basic Data'!$B:$B),"")</f>
        <v>TQGXIIPL</v>
      </c>
      <c r="I238" s="35" t="str">
        <f>IFERROR(_xlfn.XLOOKUP(Table6[[#This Row],[Affected WTG]],'Basic Data'!$A:$A,'Basic Data'!$C:$C),"")</f>
        <v>GEDA</v>
      </c>
      <c r="J238" s="260">
        <f>IFERROR(_xlfn.XLOOKUP(Table6[[#This Row],[Affected WTG]],'Basic Data'!$A:$A,'Basic Data'!$E:$E),"")</f>
        <v>3.846153846153845E-2</v>
      </c>
      <c r="K238" s="102">
        <v>55</v>
      </c>
      <c r="L238" s="35" t="str">
        <f>IFERROR(_xlfn.XLOOKUP(Table6[[#This Row],[Error Code]],'Basic Data'!$AA:$AA,'Basic Data'!$AB:$AB),"Incorrect Error Code")</f>
        <v>WTG shut down</v>
      </c>
      <c r="M238" s="35" t="s">
        <v>300</v>
      </c>
      <c r="N238" s="264"/>
      <c r="O238" s="265">
        <v>0.13055555555555556</v>
      </c>
      <c r="P238" s="265">
        <v>0.13055555555555556</v>
      </c>
      <c r="Q238" s="266">
        <v>0.34583333333333333</v>
      </c>
      <c r="R238" s="261">
        <f>IF(Table6[[#This Row],[Work Start TimeStamp]]="","",(Table6[[#This Row],[Work Start TimeStamp]]-Table6[[#This Row],[Fault Start TimeStamp]])*24)</f>
        <v>0</v>
      </c>
      <c r="S238" s="261">
        <f>(Table6[[#This Row],[Fault Clearance time]]-Table6[[#This Row],[Work Start TimeStamp]])*24</f>
        <v>5.1666666666666661</v>
      </c>
      <c r="T238" s="261">
        <f>(Table6[[#This Row],[Fault Clearance time]]-Table6[[#This Row],[Fault Start TimeStamp]])*24</f>
        <v>5.1666666666666661</v>
      </c>
      <c r="U238" s="35" t="s">
        <v>301</v>
      </c>
      <c r="V238" s="102" t="s">
        <v>268</v>
      </c>
      <c r="W238" s="267">
        <f>IFERROR(Table6[[#This Row],[Breakdown Time]]*Table6[[#This Row],[Plant Equivalent Weightage]],"")</f>
        <v>0.19871794871794862</v>
      </c>
      <c r="X238" s="262" t="s">
        <v>296</v>
      </c>
      <c r="Y238" s="263" t="s">
        <v>117</v>
      </c>
      <c r="Z238" s="102">
        <v>39223</v>
      </c>
      <c r="AA238" s="257">
        <f>(Table6[[#This Row],[Paired WTG Generation for loss calculation]]/24)*Table6[[#This Row],[Breakdown Time]]</f>
        <v>8443.8402777777774</v>
      </c>
      <c r="AB238" s="102"/>
      <c r="AC238" s="35"/>
      <c r="AD238" s="35"/>
    </row>
    <row r="239" spans="1:30">
      <c r="A239" s="102">
        <f t="shared" si="4"/>
        <v>238</v>
      </c>
      <c r="B239" s="257">
        <f>YEAR(Table6[[#This Row],[Date]])+IF(MONTH(Table6[[#This Row],[Date]])&gt;=4,1,0)</f>
        <v>2026</v>
      </c>
      <c r="C239" s="102">
        <f>YEAR(Table6[[#This Row],[Date]])</f>
        <v>2025</v>
      </c>
      <c r="D239" s="102" t="s">
        <v>265</v>
      </c>
      <c r="E239" s="258">
        <f>Table6[[#This Row],[Date]]-DAY(Table6[[#This Row],[Date]])+1</f>
        <v>45748</v>
      </c>
      <c r="F239" s="259">
        <v>45762</v>
      </c>
      <c r="G239" s="35" t="s">
        <v>124</v>
      </c>
      <c r="H239" s="35" t="str">
        <f>IFERROR(_xlfn.XLOOKUP(Table6[[#This Row],[Affected WTG]],'Basic Data'!$A:$A,'Basic Data'!$B:$B),"")</f>
        <v>TQGXIIPL</v>
      </c>
      <c r="I239" s="35" t="str">
        <f>IFERROR(_xlfn.XLOOKUP(Table6[[#This Row],[Affected WTG]],'Basic Data'!$A:$A,'Basic Data'!$C:$C),"")</f>
        <v>GEDA</v>
      </c>
      <c r="J239" s="260">
        <f>IFERROR(_xlfn.XLOOKUP(Table6[[#This Row],[Affected WTG]],'Basic Data'!$A:$A,'Basic Data'!$E:$E),"")</f>
        <v>3.846153846153845E-2</v>
      </c>
      <c r="K239" s="102">
        <v>55</v>
      </c>
      <c r="L239" s="35" t="str">
        <f>IFERROR(_xlfn.XLOOKUP(Table6[[#This Row],[Error Code]],'Basic Data'!$AA:$AA,'Basic Data'!$AB:$AB),"Incorrect Error Code")</f>
        <v>WTG shut down</v>
      </c>
      <c r="M239" s="35" t="s">
        <v>266</v>
      </c>
      <c r="N239" s="264"/>
      <c r="O239" s="265">
        <v>0.53888888888888886</v>
      </c>
      <c r="P239" s="265">
        <v>0.53888888888888886</v>
      </c>
      <c r="Q239" s="266">
        <v>0.56111111111111112</v>
      </c>
      <c r="R239" s="261">
        <f>IF(Table6[[#This Row],[Work Start TimeStamp]]="","",(Table6[[#This Row],[Work Start TimeStamp]]-Table6[[#This Row],[Fault Start TimeStamp]])*24)</f>
        <v>0</v>
      </c>
      <c r="S239" s="261">
        <f>(Table6[[#This Row],[Fault Clearance time]]-Table6[[#This Row],[Work Start TimeStamp]])*24</f>
        <v>0.5333333333333341</v>
      </c>
      <c r="T239" s="261">
        <f>(Table6[[#This Row],[Fault Clearance time]]-Table6[[#This Row],[Fault Start TimeStamp]])*24</f>
        <v>0.5333333333333341</v>
      </c>
      <c r="U239" s="35" t="s">
        <v>332</v>
      </c>
      <c r="V239" s="102" t="s">
        <v>268</v>
      </c>
      <c r="W239" s="267">
        <f>IFERROR(Table6[[#This Row],[Breakdown Time]]*Table6[[#This Row],[Plant Equivalent Weightage]],"")</f>
        <v>2.0512820512820537E-2</v>
      </c>
      <c r="X239" s="262" t="s">
        <v>296</v>
      </c>
      <c r="Y239" s="263" t="s">
        <v>129</v>
      </c>
      <c r="Z239" s="102">
        <v>44736</v>
      </c>
      <c r="AA239" s="257">
        <f>(Table6[[#This Row],[Paired WTG Generation for loss calculation]]/24)*Table6[[#This Row],[Breakdown Time]]</f>
        <v>994.1333333333348</v>
      </c>
      <c r="AB239" s="102"/>
      <c r="AC239" s="35"/>
      <c r="AD239" s="35"/>
    </row>
    <row r="240" spans="1:30">
      <c r="A240" s="102">
        <f t="shared" si="4"/>
        <v>239</v>
      </c>
      <c r="B240" s="257">
        <f>YEAR(Table6[[#This Row],[Date]])+IF(MONTH(Table6[[#This Row],[Date]])&gt;=4,1,0)</f>
        <v>2026</v>
      </c>
      <c r="C240" s="102">
        <f>YEAR(Table6[[#This Row],[Date]])</f>
        <v>2025</v>
      </c>
      <c r="D240" s="102" t="s">
        <v>265</v>
      </c>
      <c r="E240" s="258">
        <f>Table6[[#This Row],[Date]]-DAY(Table6[[#This Row],[Date]])+1</f>
        <v>45748</v>
      </c>
      <c r="F240" s="259">
        <v>45762</v>
      </c>
      <c r="G240" s="35" t="s">
        <v>124</v>
      </c>
      <c r="H240" s="35" t="str">
        <f>IFERROR(_xlfn.XLOOKUP(Table6[[#This Row],[Affected WTG]],'Basic Data'!$A:$A,'Basic Data'!$B:$B),"")</f>
        <v>TQGXIIPL</v>
      </c>
      <c r="I240" s="35" t="str">
        <f>IFERROR(_xlfn.XLOOKUP(Table6[[#This Row],[Affected WTG]],'Basic Data'!$A:$A,'Basic Data'!$C:$C),"")</f>
        <v>GEDA</v>
      </c>
      <c r="J240" s="260">
        <f>IFERROR(_xlfn.XLOOKUP(Table6[[#This Row],[Affected WTG]],'Basic Data'!$A:$A,'Basic Data'!$E:$E),"")</f>
        <v>3.846153846153845E-2</v>
      </c>
      <c r="K240" s="102">
        <v>6130</v>
      </c>
      <c r="L240" s="35" t="str">
        <f>IFERROR(_xlfn.XLOOKUP(Table6[[#This Row],[Error Code]],'Basic Data'!$AA:$AA,'Basic Data'!$AB:$AB),"Incorrect Error Code")</f>
        <v>Yaw speed high</v>
      </c>
      <c r="M240" s="35" t="s">
        <v>266</v>
      </c>
      <c r="N240" s="264"/>
      <c r="O240" s="265">
        <v>0.6694444444444444</v>
      </c>
      <c r="P240" s="265">
        <v>0.6694444444444444</v>
      </c>
      <c r="Q240" s="266">
        <v>0.67291666666666672</v>
      </c>
      <c r="R240" s="261">
        <f>IF(Table6[[#This Row],[Work Start TimeStamp]]="","",(Table6[[#This Row],[Work Start TimeStamp]]-Table6[[#This Row],[Fault Start TimeStamp]])*24)</f>
        <v>0</v>
      </c>
      <c r="S240" s="261">
        <f>(Table6[[#This Row],[Fault Clearance time]]-Table6[[#This Row],[Work Start TimeStamp]])*24</f>
        <v>8.3333333333335702E-2</v>
      </c>
      <c r="T240" s="261">
        <f>(Table6[[#This Row],[Fault Clearance time]]-Table6[[#This Row],[Fault Start TimeStamp]])*24</f>
        <v>8.3333333333335702E-2</v>
      </c>
      <c r="U240" s="35" t="s">
        <v>277</v>
      </c>
      <c r="V240" s="102" t="s">
        <v>268</v>
      </c>
      <c r="W240" s="267">
        <f>IFERROR(Table6[[#This Row],[Breakdown Time]]*Table6[[#This Row],[Plant Equivalent Weightage]],"")</f>
        <v>3.2051282051282952E-3</v>
      </c>
      <c r="X240" s="262" t="s">
        <v>269</v>
      </c>
      <c r="Y240" s="263" t="s">
        <v>129</v>
      </c>
      <c r="Z240" s="102">
        <v>44736</v>
      </c>
      <c r="AA240" s="257">
        <f>(Table6[[#This Row],[Paired WTG Generation for loss calculation]]/24)*Table6[[#This Row],[Breakdown Time]]</f>
        <v>155.33333333333775</v>
      </c>
      <c r="AB240" s="102"/>
      <c r="AC240" s="35"/>
      <c r="AD240" s="35"/>
    </row>
    <row r="241" spans="1:30">
      <c r="A241" s="102">
        <f t="shared" si="4"/>
        <v>240</v>
      </c>
      <c r="B241" s="257">
        <f>YEAR(Table6[[#This Row],[Date]])+IF(MONTH(Table6[[#This Row],[Date]])&gt;=4,1,0)</f>
        <v>2026</v>
      </c>
      <c r="C241" s="102">
        <f>YEAR(Table6[[#This Row],[Date]])</f>
        <v>2025</v>
      </c>
      <c r="D241" s="102" t="s">
        <v>265</v>
      </c>
      <c r="E241" s="258">
        <f>Table6[[#This Row],[Date]]-DAY(Table6[[#This Row],[Date]])+1</f>
        <v>45748</v>
      </c>
      <c r="F241" s="259">
        <v>45762</v>
      </c>
      <c r="G241" s="35" t="s">
        <v>125</v>
      </c>
      <c r="H241" s="35" t="str">
        <f>IFERROR(_xlfn.XLOOKUP(Table6[[#This Row],[Affected WTG]],'Basic Data'!$A:$A,'Basic Data'!$B:$B),"")</f>
        <v>TQGXIIPL</v>
      </c>
      <c r="I241" s="35" t="str">
        <f>IFERROR(_xlfn.XLOOKUP(Table6[[#This Row],[Affected WTG]],'Basic Data'!$A:$A,'Basic Data'!$C:$C),"")</f>
        <v>GEDA</v>
      </c>
      <c r="J241" s="260">
        <f>IFERROR(_xlfn.XLOOKUP(Table6[[#This Row],[Affected WTG]],'Basic Data'!$A:$A,'Basic Data'!$E:$E),"")</f>
        <v>3.846153846153845E-2</v>
      </c>
      <c r="K241" s="102">
        <v>6130</v>
      </c>
      <c r="L241" s="35" t="str">
        <f>IFERROR(_xlfn.XLOOKUP(Table6[[#This Row],[Error Code]],'Basic Data'!$AA:$AA,'Basic Data'!$AB:$AB),"Incorrect Error Code")</f>
        <v>Yaw speed high</v>
      </c>
      <c r="M241" s="35" t="s">
        <v>266</v>
      </c>
      <c r="N241" s="264"/>
      <c r="O241" s="265">
        <v>0.58611111111111114</v>
      </c>
      <c r="P241" s="265">
        <v>0.58611111111111114</v>
      </c>
      <c r="Q241" s="266">
        <v>0.59027777777777779</v>
      </c>
      <c r="R241" s="261">
        <f>IF(Table6[[#This Row],[Work Start TimeStamp]]="","",(Table6[[#This Row],[Work Start TimeStamp]]-Table6[[#This Row],[Fault Start TimeStamp]])*24)</f>
        <v>0</v>
      </c>
      <c r="S241" s="261">
        <f>(Table6[[#This Row],[Fault Clearance time]]-Table6[[#This Row],[Work Start TimeStamp]])*24</f>
        <v>9.9999999999999645E-2</v>
      </c>
      <c r="T241" s="261">
        <f>(Table6[[#This Row],[Fault Clearance time]]-Table6[[#This Row],[Fault Start TimeStamp]])*24</f>
        <v>9.9999999999999645E-2</v>
      </c>
      <c r="U241" s="35" t="s">
        <v>277</v>
      </c>
      <c r="V241" s="102" t="s">
        <v>268</v>
      </c>
      <c r="W241" s="267">
        <f>IFERROR(Table6[[#This Row],[Breakdown Time]]*Table6[[#This Row],[Plant Equivalent Weightage]],"")</f>
        <v>3.8461538461538312E-3</v>
      </c>
      <c r="X241" s="262" t="s">
        <v>269</v>
      </c>
      <c r="Y241" s="263" t="s">
        <v>126</v>
      </c>
      <c r="Z241" s="102">
        <v>40662</v>
      </c>
      <c r="AA241" s="257">
        <f>(Table6[[#This Row],[Paired WTG Generation for loss calculation]]/24)*Table6[[#This Row],[Breakdown Time]]</f>
        <v>169.42499999999939</v>
      </c>
      <c r="AB241" s="102"/>
      <c r="AC241" s="35"/>
      <c r="AD241" s="35"/>
    </row>
    <row r="242" spans="1:30">
      <c r="A242" s="102">
        <f t="shared" si="4"/>
        <v>241</v>
      </c>
      <c r="B242" s="257">
        <f>YEAR(Table6[[#This Row],[Date]])+IF(MONTH(Table6[[#This Row],[Date]])&gt;=4,1,0)</f>
        <v>2026</v>
      </c>
      <c r="C242" s="102">
        <f>YEAR(Table6[[#This Row],[Date]])</f>
        <v>2025</v>
      </c>
      <c r="D242" s="102" t="s">
        <v>265</v>
      </c>
      <c r="E242" s="258">
        <f>Table6[[#This Row],[Date]]-DAY(Table6[[#This Row],[Date]])+1</f>
        <v>45748</v>
      </c>
      <c r="F242" s="259">
        <v>45762</v>
      </c>
      <c r="G242" s="35" t="s">
        <v>130</v>
      </c>
      <c r="H242" s="35" t="str">
        <f>IFERROR(_xlfn.XLOOKUP(Table6[[#This Row],[Affected WTG]],'Basic Data'!$A:$A,'Basic Data'!$B:$B),"")</f>
        <v>TQGXIIPL</v>
      </c>
      <c r="I242" s="35" t="str">
        <f>IFERROR(_xlfn.XLOOKUP(Table6[[#This Row],[Affected WTG]],'Basic Data'!$A:$A,'Basic Data'!$C:$C),"")</f>
        <v>GEDA</v>
      </c>
      <c r="J242" s="260">
        <f>IFERROR(_xlfn.XLOOKUP(Table6[[#This Row],[Affected WTG]],'Basic Data'!$A:$A,'Basic Data'!$E:$E),"")</f>
        <v>3.846153846153845E-2</v>
      </c>
      <c r="K242" s="102">
        <v>55</v>
      </c>
      <c r="L242" s="35" t="str">
        <f>IFERROR(_xlfn.XLOOKUP(Table6[[#This Row],[Error Code]],'Basic Data'!$AA:$AA,'Basic Data'!$AB:$AB),"Incorrect Error Code")</f>
        <v>WTG shut down</v>
      </c>
      <c r="M242" s="35" t="s">
        <v>271</v>
      </c>
      <c r="N242" s="264"/>
      <c r="O242" s="265">
        <v>0.29305555555555557</v>
      </c>
      <c r="P242" s="265">
        <v>0.30069444444444443</v>
      </c>
      <c r="Q242" s="266">
        <v>0.53333333333333333</v>
      </c>
      <c r="R242" s="261">
        <f>IF(Table6[[#This Row],[Work Start TimeStamp]]="","",(Table6[[#This Row],[Work Start TimeStamp]]-Table6[[#This Row],[Fault Start TimeStamp]])*24)</f>
        <v>0.18333333333333268</v>
      </c>
      <c r="S242" s="261">
        <f>(Table6[[#This Row],[Fault Clearance time]]-Table6[[#This Row],[Work Start TimeStamp]])*24</f>
        <v>5.5833333333333339</v>
      </c>
      <c r="T242" s="261">
        <f>(Table6[[#This Row],[Fault Clearance time]]-Table6[[#This Row],[Fault Start TimeStamp]])*24</f>
        <v>5.7666666666666657</v>
      </c>
      <c r="U242" s="35" t="s">
        <v>333</v>
      </c>
      <c r="V242" s="102" t="s">
        <v>268</v>
      </c>
      <c r="W242" s="267">
        <f>IFERROR(Table6[[#This Row],[Breakdown Time]]*Table6[[#This Row],[Plant Equivalent Weightage]],"")</f>
        <v>0.2217948717948717</v>
      </c>
      <c r="X242" s="262" t="s">
        <v>273</v>
      </c>
      <c r="Y242" s="263" t="s">
        <v>135</v>
      </c>
      <c r="Z242" s="102">
        <v>46010</v>
      </c>
      <c r="AA242" s="257">
        <f>(Table6[[#This Row],[Paired WTG Generation for loss calculation]]/24)*Table6[[#This Row],[Breakdown Time]]</f>
        <v>11055.180555555553</v>
      </c>
      <c r="AB242" s="102"/>
      <c r="AC242" s="35"/>
      <c r="AD242" s="35"/>
    </row>
    <row r="243" spans="1:30">
      <c r="A243" s="102">
        <f t="shared" si="4"/>
        <v>242</v>
      </c>
      <c r="B243" s="257">
        <f>YEAR(Table6[[#This Row],[Date]])+IF(MONTH(Table6[[#This Row],[Date]])&gt;=4,1,0)</f>
        <v>2026</v>
      </c>
      <c r="C243" s="102">
        <f>YEAR(Table6[[#This Row],[Date]])</f>
        <v>2025</v>
      </c>
      <c r="D243" s="102" t="s">
        <v>265</v>
      </c>
      <c r="E243" s="258">
        <f>Table6[[#This Row],[Date]]-DAY(Table6[[#This Row],[Date]])+1</f>
        <v>45748</v>
      </c>
      <c r="F243" s="259">
        <v>45762</v>
      </c>
      <c r="G243" s="35" t="s">
        <v>130</v>
      </c>
      <c r="H243" s="35" t="str">
        <f>IFERROR(_xlfn.XLOOKUP(Table6[[#This Row],[Affected WTG]],'Basic Data'!$A:$A,'Basic Data'!$B:$B),"")</f>
        <v>TQGXIIPL</v>
      </c>
      <c r="I243" s="35" t="str">
        <f>IFERROR(_xlfn.XLOOKUP(Table6[[#This Row],[Affected WTG]],'Basic Data'!$A:$A,'Basic Data'!$C:$C),"")</f>
        <v>GEDA</v>
      </c>
      <c r="J243" s="260">
        <f>IFERROR(_xlfn.XLOOKUP(Table6[[#This Row],[Affected WTG]],'Basic Data'!$A:$A,'Basic Data'!$E:$E),"")</f>
        <v>3.846153846153845E-2</v>
      </c>
      <c r="K243" s="102">
        <v>665</v>
      </c>
      <c r="L243" s="35" t="str">
        <f>IFERROR(_xlfn.XLOOKUP(Table6[[#This Row],[Error Code]],'Basic Data'!$AA:$AA,'Basic Data'!$AB:$AB),"Incorrect Error Code")</f>
        <v>Pitch error</v>
      </c>
      <c r="M243" s="35" t="s">
        <v>266</v>
      </c>
      <c r="N243" s="264"/>
      <c r="O243" s="265">
        <v>0.62986111111111109</v>
      </c>
      <c r="P243" s="265">
        <v>0.62986111111111109</v>
      </c>
      <c r="Q243" s="266">
        <v>0.63402777777777775</v>
      </c>
      <c r="R243" s="261">
        <f>IF(Table6[[#This Row],[Work Start TimeStamp]]="","",(Table6[[#This Row],[Work Start TimeStamp]]-Table6[[#This Row],[Fault Start TimeStamp]])*24)</f>
        <v>0</v>
      </c>
      <c r="S243" s="261">
        <f>(Table6[[#This Row],[Fault Clearance time]]-Table6[[#This Row],[Work Start TimeStamp]])*24</f>
        <v>9.9999999999999645E-2</v>
      </c>
      <c r="T243" s="261">
        <f>(Table6[[#This Row],[Fault Clearance time]]-Table6[[#This Row],[Fault Start TimeStamp]])*24</f>
        <v>9.9999999999999645E-2</v>
      </c>
      <c r="U243" s="35" t="s">
        <v>267</v>
      </c>
      <c r="V243" s="102" t="s">
        <v>268</v>
      </c>
      <c r="W243" s="267">
        <f>IFERROR(Table6[[#This Row],[Breakdown Time]]*Table6[[#This Row],[Plant Equivalent Weightage]],"")</f>
        <v>3.8461538461538312E-3</v>
      </c>
      <c r="X243" s="262" t="s">
        <v>269</v>
      </c>
      <c r="Y243" s="263" t="s">
        <v>135</v>
      </c>
      <c r="Z243" s="102">
        <v>46010</v>
      </c>
      <c r="AA243" s="257">
        <f>(Table6[[#This Row],[Paired WTG Generation for loss calculation]]/24)*Table6[[#This Row],[Breakdown Time]]</f>
        <v>191.70833333333263</v>
      </c>
      <c r="AB243" s="102"/>
      <c r="AC243" s="35"/>
      <c r="AD243" s="35"/>
    </row>
    <row r="244" spans="1:30">
      <c r="A244" s="102">
        <f t="shared" si="4"/>
        <v>243</v>
      </c>
      <c r="B244" s="257">
        <f>YEAR(Table6[[#This Row],[Date]])+IF(MONTH(Table6[[#This Row],[Date]])&gt;=4,1,0)</f>
        <v>2026</v>
      </c>
      <c r="C244" s="102">
        <f>YEAR(Table6[[#This Row],[Date]])</f>
        <v>2025</v>
      </c>
      <c r="D244" s="102" t="s">
        <v>265</v>
      </c>
      <c r="E244" s="258">
        <f>Table6[[#This Row],[Date]]-DAY(Table6[[#This Row],[Date]])+1</f>
        <v>45748</v>
      </c>
      <c r="F244" s="259">
        <v>45762</v>
      </c>
      <c r="G244" s="35" t="s">
        <v>131</v>
      </c>
      <c r="H244" s="35" t="str">
        <f>IFERROR(_xlfn.XLOOKUP(Table6[[#This Row],[Affected WTG]],'Basic Data'!$A:$A,'Basic Data'!$B:$B),"")</f>
        <v>TQGXIIPL</v>
      </c>
      <c r="I244" s="35" t="str">
        <f>IFERROR(_xlfn.XLOOKUP(Table6[[#This Row],[Affected WTG]],'Basic Data'!$A:$A,'Basic Data'!$C:$C),"")</f>
        <v>GEDA</v>
      </c>
      <c r="J244" s="260">
        <f>IFERROR(_xlfn.XLOOKUP(Table6[[#This Row],[Affected WTG]],'Basic Data'!$A:$A,'Basic Data'!$E:$E),"")</f>
        <v>3.846153846153845E-2</v>
      </c>
      <c r="K244" s="102">
        <v>3211</v>
      </c>
      <c r="L244" s="35" t="str">
        <f>IFERROR(_xlfn.XLOOKUP(Table6[[#This Row],[Error Code]],'Basic Data'!$AA:$AA,'Basic Data'!$AB:$AB),"Incorrect Error Code")</f>
        <v>Conv. load shedding (CAN)</v>
      </c>
      <c r="M244" s="35" t="s">
        <v>266</v>
      </c>
      <c r="N244" s="264"/>
      <c r="O244" s="265">
        <v>0.18333333333333332</v>
      </c>
      <c r="P244" s="265">
        <v>0.18333333333333332</v>
      </c>
      <c r="Q244" s="266">
        <v>0.19513888888888889</v>
      </c>
      <c r="R244" s="261">
        <f>IF(Table6[[#This Row],[Work Start TimeStamp]]="","",(Table6[[#This Row],[Work Start TimeStamp]]-Table6[[#This Row],[Fault Start TimeStamp]])*24)</f>
        <v>0</v>
      </c>
      <c r="S244" s="261">
        <f>(Table6[[#This Row],[Fault Clearance time]]-Table6[[#This Row],[Work Start TimeStamp]])*24</f>
        <v>0.28333333333333366</v>
      </c>
      <c r="T244" s="261">
        <f>(Table6[[#This Row],[Fault Clearance time]]-Table6[[#This Row],[Fault Start TimeStamp]])*24</f>
        <v>0.28333333333333366</v>
      </c>
      <c r="U244" s="35" t="s">
        <v>267</v>
      </c>
      <c r="V244" s="102" t="s">
        <v>268</v>
      </c>
      <c r="W244" s="267">
        <f>IFERROR(Table6[[#This Row],[Breakdown Time]]*Table6[[#This Row],[Plant Equivalent Weightage]],"")</f>
        <v>1.0897435897435907E-2</v>
      </c>
      <c r="X244" s="262" t="s">
        <v>269</v>
      </c>
      <c r="Y244" s="263" t="s">
        <v>136</v>
      </c>
      <c r="Z244" s="102">
        <v>50084</v>
      </c>
      <c r="AA244" s="257">
        <f>(Table6[[#This Row],[Paired WTG Generation for loss calculation]]/24)*Table6[[#This Row],[Breakdown Time]]</f>
        <v>591.26944444444518</v>
      </c>
      <c r="AB244" s="102"/>
      <c r="AC244" s="35"/>
      <c r="AD244" s="35"/>
    </row>
    <row r="245" spans="1:30">
      <c r="A245" s="102">
        <f t="shared" si="4"/>
        <v>244</v>
      </c>
      <c r="B245" s="257">
        <f>YEAR(Table6[[#This Row],[Date]])+IF(MONTH(Table6[[#This Row],[Date]])&gt;=4,1,0)</f>
        <v>2026</v>
      </c>
      <c r="C245" s="102">
        <f>YEAR(Table6[[#This Row],[Date]])</f>
        <v>2025</v>
      </c>
      <c r="D245" s="102" t="s">
        <v>265</v>
      </c>
      <c r="E245" s="258">
        <f>Table6[[#This Row],[Date]]-DAY(Table6[[#This Row],[Date]])+1</f>
        <v>45748</v>
      </c>
      <c r="F245" s="259">
        <v>45762</v>
      </c>
      <c r="G245" s="35" t="s">
        <v>131</v>
      </c>
      <c r="H245" s="35" t="str">
        <f>IFERROR(_xlfn.XLOOKUP(Table6[[#This Row],[Affected WTG]],'Basic Data'!$A:$A,'Basic Data'!$B:$B),"")</f>
        <v>TQGXIIPL</v>
      </c>
      <c r="I245" s="35" t="str">
        <f>IFERROR(_xlfn.XLOOKUP(Table6[[#This Row],[Affected WTG]],'Basic Data'!$A:$A,'Basic Data'!$C:$C),"")</f>
        <v>GEDA</v>
      </c>
      <c r="J245" s="260">
        <f>IFERROR(_xlfn.XLOOKUP(Table6[[#This Row],[Affected WTG]],'Basic Data'!$A:$A,'Basic Data'!$E:$E),"")</f>
        <v>3.846153846153845E-2</v>
      </c>
      <c r="K245" s="102">
        <v>55</v>
      </c>
      <c r="L245" s="35" t="str">
        <f>IFERROR(_xlfn.XLOOKUP(Table6[[#This Row],[Error Code]],'Basic Data'!$AA:$AA,'Basic Data'!$AB:$AB),"Incorrect Error Code")</f>
        <v>WTG shut down</v>
      </c>
      <c r="M245" s="35" t="s">
        <v>291</v>
      </c>
      <c r="N245" s="264"/>
      <c r="O245" s="265">
        <v>0.35555555555555557</v>
      </c>
      <c r="P245" s="265">
        <v>0.37222222222222223</v>
      </c>
      <c r="Q245" s="266">
        <v>1</v>
      </c>
      <c r="R245" s="261">
        <f>IF(Table6[[#This Row],[Work Start TimeStamp]]="","",(Table6[[#This Row],[Work Start TimeStamp]]-Table6[[#This Row],[Fault Start TimeStamp]])*24)</f>
        <v>0.39999999999999991</v>
      </c>
      <c r="S245" s="261">
        <f>(Table6[[#This Row],[Fault Clearance time]]-Table6[[#This Row],[Work Start TimeStamp]])*24</f>
        <v>15.066666666666666</v>
      </c>
      <c r="T245" s="261">
        <f>(Table6[[#This Row],[Fault Clearance time]]-Table6[[#This Row],[Fault Start TimeStamp]])*24</f>
        <v>15.466666666666665</v>
      </c>
      <c r="U245" s="35" t="s">
        <v>334</v>
      </c>
      <c r="V245" s="102" t="s">
        <v>289</v>
      </c>
      <c r="W245" s="267">
        <f>IFERROR(Table6[[#This Row],[Breakdown Time]]*Table6[[#This Row],[Plant Equivalent Weightage]],"")</f>
        <v>0.59487179487179465</v>
      </c>
      <c r="X245" s="262" t="s">
        <v>296</v>
      </c>
      <c r="Y245" s="263" t="s">
        <v>136</v>
      </c>
      <c r="Z245" s="102">
        <v>50084</v>
      </c>
      <c r="AA245" s="257">
        <f>(Table6[[#This Row],[Paired WTG Generation for loss calculation]]/24)*Table6[[#This Row],[Breakdown Time]]</f>
        <v>32276.355555555554</v>
      </c>
      <c r="AB245" s="102"/>
      <c r="AC245" s="35"/>
      <c r="AD245" s="35"/>
    </row>
    <row r="246" spans="1:30">
      <c r="A246" s="102">
        <f t="shared" si="4"/>
        <v>245</v>
      </c>
      <c r="B246" s="257">
        <f>YEAR(Table6[[#This Row],[Date]])+IF(MONTH(Table6[[#This Row],[Date]])&gt;=4,1,0)</f>
        <v>2026</v>
      </c>
      <c r="C246" s="102">
        <f>YEAR(Table6[[#This Row],[Date]])</f>
        <v>2025</v>
      </c>
      <c r="D246" s="102" t="s">
        <v>265</v>
      </c>
      <c r="E246" s="258">
        <f>Table6[[#This Row],[Date]]-DAY(Table6[[#This Row],[Date]])+1</f>
        <v>45748</v>
      </c>
      <c r="F246" s="259">
        <v>45762</v>
      </c>
      <c r="G246" s="35" t="s">
        <v>133</v>
      </c>
      <c r="H246" s="35" t="str">
        <f>IFERROR(_xlfn.XLOOKUP(Table6[[#This Row],[Affected WTG]],'Basic Data'!$A:$A,'Basic Data'!$B:$B),"")</f>
        <v>TQGXIIPL</v>
      </c>
      <c r="I246" s="35" t="str">
        <f>IFERROR(_xlfn.XLOOKUP(Table6[[#This Row],[Affected WTG]],'Basic Data'!$A:$A,'Basic Data'!$C:$C),"")</f>
        <v>GEDA</v>
      </c>
      <c r="J246" s="260">
        <f>IFERROR(_xlfn.XLOOKUP(Table6[[#This Row],[Affected WTG]],'Basic Data'!$A:$A,'Basic Data'!$E:$E),"")</f>
        <v>3.846153846153845E-2</v>
      </c>
      <c r="K246" s="102">
        <v>1700</v>
      </c>
      <c r="L246" s="35" t="str">
        <f>IFERROR(_xlfn.XLOOKUP(Table6[[#This Row],[Error Code]],'Basic Data'!$AA:$AA,'Basic Data'!$AB:$AB),"Incorrect Error Code")</f>
        <v>High temp. gear bearing 1</v>
      </c>
      <c r="M246" s="35" t="s">
        <v>266</v>
      </c>
      <c r="N246" s="264"/>
      <c r="O246" s="265">
        <v>0.79861111111111116</v>
      </c>
      <c r="P246" s="265">
        <v>0.79861111111111116</v>
      </c>
      <c r="Q246" s="266">
        <v>0.80763888888888891</v>
      </c>
      <c r="R246" s="261">
        <f>IF(Table6[[#This Row],[Work Start TimeStamp]]="","",(Table6[[#This Row],[Work Start TimeStamp]]-Table6[[#This Row],[Fault Start TimeStamp]])*24)</f>
        <v>0</v>
      </c>
      <c r="S246" s="261">
        <f>(Table6[[#This Row],[Fault Clearance time]]-Table6[[#This Row],[Work Start TimeStamp]])*24</f>
        <v>0.2166666666666659</v>
      </c>
      <c r="T246" s="261">
        <f>(Table6[[#This Row],[Fault Clearance time]]-Table6[[#This Row],[Fault Start TimeStamp]])*24</f>
        <v>0.2166666666666659</v>
      </c>
      <c r="U246" s="35" t="s">
        <v>267</v>
      </c>
      <c r="V246" s="102" t="s">
        <v>268</v>
      </c>
      <c r="W246" s="267">
        <f>IFERROR(Table6[[#This Row],[Breakdown Time]]*Table6[[#This Row],[Plant Equivalent Weightage]],"")</f>
        <v>8.333333333333302E-3</v>
      </c>
      <c r="X246" s="262" t="s">
        <v>269</v>
      </c>
      <c r="Y246" s="263" t="s">
        <v>121</v>
      </c>
      <c r="Z246" s="102">
        <v>44148</v>
      </c>
      <c r="AA246" s="257">
        <f>(Table6[[#This Row],[Paired WTG Generation for loss calculation]]/24)*Table6[[#This Row],[Breakdown Time]]</f>
        <v>398.55833333333192</v>
      </c>
      <c r="AB246" s="102"/>
      <c r="AC246" s="35"/>
      <c r="AD246" s="35"/>
    </row>
    <row r="247" spans="1:30">
      <c r="A247" s="102">
        <f t="shared" si="4"/>
        <v>246</v>
      </c>
      <c r="B247" s="257">
        <f>YEAR(Table6[[#This Row],[Date]])+IF(MONTH(Table6[[#This Row],[Date]])&gt;=4,1,0)</f>
        <v>2026</v>
      </c>
      <c r="C247" s="102">
        <f>YEAR(Table6[[#This Row],[Date]])</f>
        <v>2025</v>
      </c>
      <c r="D247" s="102" t="s">
        <v>265</v>
      </c>
      <c r="E247" s="258">
        <f>Table6[[#This Row],[Date]]-DAY(Table6[[#This Row],[Date]])+1</f>
        <v>45748</v>
      </c>
      <c r="F247" s="259">
        <v>45762</v>
      </c>
      <c r="G247" s="35" t="s">
        <v>138</v>
      </c>
      <c r="H247" s="35" t="str">
        <f>IFERROR(_xlfn.XLOOKUP(Table6[[#This Row],[Affected WTG]],'Basic Data'!$A:$A,'Basic Data'!$B:$B),"")</f>
        <v>TQGXIIPL</v>
      </c>
      <c r="I247" s="35" t="str">
        <f>IFERROR(_xlfn.XLOOKUP(Table6[[#This Row],[Affected WTG]],'Basic Data'!$A:$A,'Basic Data'!$C:$C),"")</f>
        <v>GEDA</v>
      </c>
      <c r="J247" s="260">
        <f>IFERROR(_xlfn.XLOOKUP(Table6[[#This Row],[Affected WTG]],'Basic Data'!$A:$A,'Basic Data'!$E:$E),"")</f>
        <v>3.846153846153845E-2</v>
      </c>
      <c r="K247" s="102">
        <v>58</v>
      </c>
      <c r="L247" s="35" t="str">
        <f>IFERROR(_xlfn.XLOOKUP(Table6[[#This Row],[Error Code]],'Basic Data'!$AA:$AA,'Basic Data'!$AB:$AB),"Incorrect Error Code")</f>
        <v>Wind dir.dev. level 2</v>
      </c>
      <c r="M247" s="35" t="s">
        <v>266</v>
      </c>
      <c r="N247" s="264"/>
      <c r="O247" s="265">
        <v>0.62361111111111112</v>
      </c>
      <c r="P247" s="265">
        <v>0.62361111111111112</v>
      </c>
      <c r="Q247" s="266">
        <v>0.62569444444444444</v>
      </c>
      <c r="R247" s="261">
        <f>IF(Table6[[#This Row],[Work Start TimeStamp]]="","",(Table6[[#This Row],[Work Start TimeStamp]]-Table6[[#This Row],[Fault Start TimeStamp]])*24)</f>
        <v>0</v>
      </c>
      <c r="S247" s="261">
        <f>(Table6[[#This Row],[Fault Clearance time]]-Table6[[#This Row],[Work Start TimeStamp]])*24</f>
        <v>4.9999999999999822E-2</v>
      </c>
      <c r="T247" s="261">
        <f>(Table6[[#This Row],[Fault Clearance time]]-Table6[[#This Row],[Fault Start TimeStamp]])*24</f>
        <v>4.9999999999999822E-2</v>
      </c>
      <c r="U247" s="35" t="s">
        <v>277</v>
      </c>
      <c r="V247" s="102" t="s">
        <v>268</v>
      </c>
      <c r="W247" s="267">
        <f>IFERROR(Table6[[#This Row],[Breakdown Time]]*Table6[[#This Row],[Plant Equivalent Weightage]],"")</f>
        <v>1.9230769230769156E-3</v>
      </c>
      <c r="X247" s="262" t="s">
        <v>269</v>
      </c>
      <c r="Y247" s="263" t="s">
        <v>134</v>
      </c>
      <c r="Z247" s="102">
        <v>47068</v>
      </c>
      <c r="AA247" s="257">
        <f>(Table6[[#This Row],[Paired WTG Generation for loss calculation]]/24)*Table6[[#This Row],[Breakdown Time]]</f>
        <v>98.058333333332982</v>
      </c>
      <c r="AB247" s="102"/>
      <c r="AC247" s="35"/>
      <c r="AD247" s="35"/>
    </row>
    <row r="248" spans="1:30">
      <c r="A248" s="102">
        <f t="shared" si="4"/>
        <v>247</v>
      </c>
      <c r="B248" s="257">
        <f>YEAR(Table6[[#This Row],[Date]])+IF(MONTH(Table6[[#This Row],[Date]])&gt;=4,1,0)</f>
        <v>2026</v>
      </c>
      <c r="C248" s="102">
        <f>YEAR(Table6[[#This Row],[Date]])</f>
        <v>2025</v>
      </c>
      <c r="D248" s="102" t="s">
        <v>265</v>
      </c>
      <c r="E248" s="258">
        <f>Table6[[#This Row],[Date]]-DAY(Table6[[#This Row],[Date]])+1</f>
        <v>45748</v>
      </c>
      <c r="F248" s="259">
        <v>45762</v>
      </c>
      <c r="G248" s="35" t="s">
        <v>138</v>
      </c>
      <c r="H248" s="35" t="str">
        <f>IFERROR(_xlfn.XLOOKUP(Table6[[#This Row],[Affected WTG]],'Basic Data'!$A:$A,'Basic Data'!$B:$B),"")</f>
        <v>TQGXIIPL</v>
      </c>
      <c r="I248" s="35" t="str">
        <f>IFERROR(_xlfn.XLOOKUP(Table6[[#This Row],[Affected WTG]],'Basic Data'!$A:$A,'Basic Data'!$C:$C),"")</f>
        <v>GEDA</v>
      </c>
      <c r="J248" s="260">
        <f>IFERROR(_xlfn.XLOOKUP(Table6[[#This Row],[Affected WTG]],'Basic Data'!$A:$A,'Basic Data'!$E:$E),"")</f>
        <v>3.846153846153845E-2</v>
      </c>
      <c r="K248" s="102">
        <v>55</v>
      </c>
      <c r="L248" s="35" t="str">
        <f>IFERROR(_xlfn.XLOOKUP(Table6[[#This Row],[Error Code]],'Basic Data'!$AA:$AA,'Basic Data'!$AB:$AB),"Incorrect Error Code")</f>
        <v>WTG shut down</v>
      </c>
      <c r="M248" s="35" t="s">
        <v>266</v>
      </c>
      <c r="N248" s="264"/>
      <c r="O248" s="265">
        <v>0.98888888888888893</v>
      </c>
      <c r="P248" s="265">
        <v>0.98888888888888893</v>
      </c>
      <c r="Q248" s="266">
        <v>1</v>
      </c>
      <c r="R248" s="261">
        <f>IF(Table6[[#This Row],[Work Start TimeStamp]]="","",(Table6[[#This Row],[Work Start TimeStamp]]-Table6[[#This Row],[Fault Start TimeStamp]])*24)</f>
        <v>0</v>
      </c>
      <c r="S248" s="261">
        <f>(Table6[[#This Row],[Fault Clearance time]]-Table6[[#This Row],[Work Start TimeStamp]])*24</f>
        <v>0.26666666666666572</v>
      </c>
      <c r="T248" s="261">
        <f>(Table6[[#This Row],[Fault Clearance time]]-Table6[[#This Row],[Fault Start TimeStamp]])*24</f>
        <v>0.26666666666666572</v>
      </c>
      <c r="U248" s="35" t="s">
        <v>335</v>
      </c>
      <c r="V248" s="102" t="s">
        <v>289</v>
      </c>
      <c r="W248" s="267">
        <f>IFERROR(Table6[[#This Row],[Breakdown Time]]*Table6[[#This Row],[Plant Equivalent Weightage]],"")</f>
        <v>1.0256410256410217E-2</v>
      </c>
      <c r="X248" s="262" t="s">
        <v>296</v>
      </c>
      <c r="Y248" s="263" t="s">
        <v>134</v>
      </c>
      <c r="Z248" s="102">
        <v>47068</v>
      </c>
      <c r="AA248" s="257">
        <f>(Table6[[#This Row],[Paired WTG Generation for loss calculation]]/24)*Table6[[#This Row],[Breakdown Time]]</f>
        <v>522.97777777777594</v>
      </c>
      <c r="AB248" s="102"/>
      <c r="AC248" s="35"/>
      <c r="AD248" s="35"/>
    </row>
    <row r="249" spans="1:30">
      <c r="A249" s="102">
        <f t="shared" si="4"/>
        <v>248</v>
      </c>
      <c r="B249" s="257">
        <f>YEAR(Table6[[#This Row],[Date]])+IF(MONTH(Table6[[#This Row],[Date]])&gt;=4,1,0)</f>
        <v>2026</v>
      </c>
      <c r="C249" s="102">
        <f>YEAR(Table6[[#This Row],[Date]])</f>
        <v>2025</v>
      </c>
      <c r="D249" s="102" t="s">
        <v>265</v>
      </c>
      <c r="E249" s="258">
        <f>Table6[[#This Row],[Date]]-DAY(Table6[[#This Row],[Date]])+1</f>
        <v>45748</v>
      </c>
      <c r="F249" s="259">
        <v>45762</v>
      </c>
      <c r="G249" s="35" t="s">
        <v>139</v>
      </c>
      <c r="H249" s="35" t="str">
        <f>IFERROR(_xlfn.XLOOKUP(Table6[[#This Row],[Affected WTG]],'Basic Data'!$A:$A,'Basic Data'!$B:$B),"")</f>
        <v>TQGXIIPL</v>
      </c>
      <c r="I249" s="35" t="str">
        <f>IFERROR(_xlfn.XLOOKUP(Table6[[#This Row],[Affected WTG]],'Basic Data'!$A:$A,'Basic Data'!$C:$C),"")</f>
        <v>GEDA</v>
      </c>
      <c r="J249" s="260">
        <f>IFERROR(_xlfn.XLOOKUP(Table6[[#This Row],[Affected WTG]],'Basic Data'!$A:$A,'Basic Data'!$E:$E),"")</f>
        <v>3.846153846153845E-2</v>
      </c>
      <c r="K249" s="102">
        <v>6012</v>
      </c>
      <c r="L249" s="35" t="str">
        <f>IFERROR(_xlfn.XLOOKUP(Table6[[#This Row],[Error Code]],'Basic Data'!$AA:$AA,'Basic Data'!$AB:$AB),"Incorrect Error Code")</f>
        <v>Overload yaw motors group 2</v>
      </c>
      <c r="M249" s="35" t="s">
        <v>266</v>
      </c>
      <c r="N249" s="264"/>
      <c r="O249" s="265">
        <v>0.59652777777777777</v>
      </c>
      <c r="P249" s="265">
        <v>0.63541666666666663</v>
      </c>
      <c r="Q249" s="266">
        <v>0.73958333333333337</v>
      </c>
      <c r="R249" s="261">
        <f>IF(Table6[[#This Row],[Work Start TimeStamp]]="","",(Table6[[#This Row],[Work Start TimeStamp]]-Table6[[#This Row],[Fault Start TimeStamp]])*24)</f>
        <v>0.93333333333333268</v>
      </c>
      <c r="S249" s="261">
        <f>(Table6[[#This Row],[Fault Clearance time]]-Table6[[#This Row],[Work Start TimeStamp]])*24</f>
        <v>2.5000000000000018</v>
      </c>
      <c r="T249" s="261">
        <f>(Table6[[#This Row],[Fault Clearance time]]-Table6[[#This Row],[Fault Start TimeStamp]])*24</f>
        <v>3.4333333333333345</v>
      </c>
      <c r="U249" s="35" t="s">
        <v>336</v>
      </c>
      <c r="V249" s="102" t="s">
        <v>268</v>
      </c>
      <c r="W249" s="267">
        <f>IFERROR(Table6[[#This Row],[Breakdown Time]]*Table6[[#This Row],[Plant Equivalent Weightage]],"")</f>
        <v>0.13205128205128205</v>
      </c>
      <c r="X249" s="262" t="s">
        <v>269</v>
      </c>
      <c r="Y249" s="263" t="s">
        <v>115</v>
      </c>
      <c r="Z249" s="102">
        <v>46514</v>
      </c>
      <c r="AA249" s="257">
        <f>(Table6[[#This Row],[Paired WTG Generation for loss calculation]]/24)*Table6[[#This Row],[Breakdown Time]]</f>
        <v>6654.0861111111126</v>
      </c>
      <c r="AB249" s="102"/>
      <c r="AC249" s="35"/>
      <c r="AD249" s="35"/>
    </row>
    <row r="250" spans="1:30">
      <c r="A250" s="102">
        <f t="shared" si="4"/>
        <v>249</v>
      </c>
      <c r="B250" s="257">
        <f>YEAR(Table6[[#This Row],[Date]])+IF(MONTH(Table6[[#This Row],[Date]])&gt;=4,1,0)</f>
        <v>2026</v>
      </c>
      <c r="C250" s="102">
        <f>YEAR(Table6[[#This Row],[Date]])</f>
        <v>2025</v>
      </c>
      <c r="D250" s="102" t="s">
        <v>265</v>
      </c>
      <c r="E250" s="258">
        <f>Table6[[#This Row],[Date]]-DAY(Table6[[#This Row],[Date]])+1</f>
        <v>45748</v>
      </c>
      <c r="F250" s="259">
        <v>45763</v>
      </c>
      <c r="G250" s="35" t="s">
        <v>119</v>
      </c>
      <c r="H250" s="35" t="str">
        <f>IFERROR(_xlfn.XLOOKUP(Table6[[#This Row],[Affected WTG]],'Basic Data'!$A:$A,'Basic Data'!$B:$B),"")</f>
        <v>TQGXIIPL</v>
      </c>
      <c r="I250" s="35" t="str">
        <f>IFERROR(_xlfn.XLOOKUP(Table6[[#This Row],[Affected WTG]],'Basic Data'!$A:$A,'Basic Data'!$C:$C),"")</f>
        <v>GEDA</v>
      </c>
      <c r="J250" s="260">
        <f>IFERROR(_xlfn.XLOOKUP(Table6[[#This Row],[Affected WTG]],'Basic Data'!$A:$A,'Basic Data'!$E:$E),"")</f>
        <v>3.846153846153845E-2</v>
      </c>
      <c r="K250" s="102">
        <v>55</v>
      </c>
      <c r="L250" s="35" t="str">
        <f>IFERROR(_xlfn.XLOOKUP(Table6[[#This Row],[Error Code]],'Basic Data'!$AA:$AA,'Basic Data'!$AB:$AB),"Incorrect Error Code")</f>
        <v>WTG shut down</v>
      </c>
      <c r="M250" s="35" t="s">
        <v>300</v>
      </c>
      <c r="N250" s="264"/>
      <c r="O250" s="265">
        <v>0.78125</v>
      </c>
      <c r="P250" s="265">
        <v>0.78125</v>
      </c>
      <c r="Q250" s="266">
        <v>0.81180555555555556</v>
      </c>
      <c r="R250" s="261">
        <f>IF(Table6[[#This Row],[Work Start TimeStamp]]="","",(Table6[[#This Row],[Work Start TimeStamp]]-Table6[[#This Row],[Fault Start TimeStamp]])*24)</f>
        <v>0</v>
      </c>
      <c r="S250" s="261">
        <f>(Table6[[#This Row],[Fault Clearance time]]-Table6[[#This Row],[Work Start TimeStamp]])*24</f>
        <v>0.73333333333333339</v>
      </c>
      <c r="T250" s="261">
        <f>(Table6[[#This Row],[Fault Clearance time]]-Table6[[#This Row],[Fault Start TimeStamp]])*24</f>
        <v>0.73333333333333339</v>
      </c>
      <c r="U250" s="35" t="s">
        <v>301</v>
      </c>
      <c r="V250" s="102" t="s">
        <v>268</v>
      </c>
      <c r="W250" s="267">
        <f>IFERROR(Table6[[#This Row],[Breakdown Time]]*Table6[[#This Row],[Plant Equivalent Weightage]],"")</f>
        <v>2.8205128205128199E-2</v>
      </c>
      <c r="X250" s="262" t="s">
        <v>296</v>
      </c>
      <c r="Y250" s="263" t="s">
        <v>116</v>
      </c>
      <c r="Z250" s="102">
        <v>43551</v>
      </c>
      <c r="AA250" s="257">
        <f>(Table6[[#This Row],[Paired WTG Generation for loss calculation]]/24)*Table6[[#This Row],[Breakdown Time]]</f>
        <v>1330.7250000000001</v>
      </c>
      <c r="AB250" s="102"/>
      <c r="AC250" s="35"/>
      <c r="AD250" s="35"/>
    </row>
    <row r="251" spans="1:30">
      <c r="A251" s="102">
        <f t="shared" si="4"/>
        <v>250</v>
      </c>
      <c r="B251" s="257">
        <f>YEAR(Table6[[#This Row],[Date]])+IF(MONTH(Table6[[#This Row],[Date]])&gt;=4,1,0)</f>
        <v>2026</v>
      </c>
      <c r="C251" s="102">
        <f>YEAR(Table6[[#This Row],[Date]])</f>
        <v>2025</v>
      </c>
      <c r="D251" s="102" t="s">
        <v>265</v>
      </c>
      <c r="E251" s="258">
        <f>Table6[[#This Row],[Date]]-DAY(Table6[[#This Row],[Date]])+1</f>
        <v>45748</v>
      </c>
      <c r="F251" s="259">
        <v>45763</v>
      </c>
      <c r="G251" s="35" t="s">
        <v>119</v>
      </c>
      <c r="H251" s="35" t="str">
        <f>IFERROR(_xlfn.XLOOKUP(Table6[[#This Row],[Affected WTG]],'Basic Data'!$A:$A,'Basic Data'!$B:$B),"")</f>
        <v>TQGXIIPL</v>
      </c>
      <c r="I251" s="35" t="str">
        <f>IFERROR(_xlfn.XLOOKUP(Table6[[#This Row],[Affected WTG]],'Basic Data'!$A:$A,'Basic Data'!$C:$C),"")</f>
        <v>GEDA</v>
      </c>
      <c r="J251" s="260">
        <f>IFERROR(_xlfn.XLOOKUP(Table6[[#This Row],[Affected WTG]],'Basic Data'!$A:$A,'Basic Data'!$E:$E),"")</f>
        <v>3.846153846153845E-2</v>
      </c>
      <c r="K251" s="102">
        <v>3211</v>
      </c>
      <c r="L251" s="35" t="str">
        <f>IFERROR(_xlfn.XLOOKUP(Table6[[#This Row],[Error Code]],'Basic Data'!$AA:$AA,'Basic Data'!$AB:$AB),"Incorrect Error Code")</f>
        <v>Conv. load shedding (CAN)</v>
      </c>
      <c r="M251" s="35" t="s">
        <v>266</v>
      </c>
      <c r="N251" s="264"/>
      <c r="O251" s="265">
        <v>0.8569444444444444</v>
      </c>
      <c r="P251" s="265">
        <v>0.8569444444444444</v>
      </c>
      <c r="Q251" s="266">
        <v>0.86527777777777781</v>
      </c>
      <c r="R251" s="261">
        <f>IF(Table6[[#This Row],[Work Start TimeStamp]]="","",(Table6[[#This Row],[Work Start TimeStamp]]-Table6[[#This Row],[Fault Start TimeStamp]])*24)</f>
        <v>0</v>
      </c>
      <c r="S251" s="261">
        <f>(Table6[[#This Row],[Fault Clearance time]]-Table6[[#This Row],[Work Start TimeStamp]])*24</f>
        <v>0.20000000000000195</v>
      </c>
      <c r="T251" s="261">
        <f>(Table6[[#This Row],[Fault Clearance time]]-Table6[[#This Row],[Fault Start TimeStamp]])*24</f>
        <v>0.20000000000000195</v>
      </c>
      <c r="U251" s="35" t="s">
        <v>267</v>
      </c>
      <c r="V251" s="102" t="s">
        <v>268</v>
      </c>
      <c r="W251" s="267">
        <f>IFERROR(Table6[[#This Row],[Breakdown Time]]*Table6[[#This Row],[Plant Equivalent Weightage]],"")</f>
        <v>7.6923076923077647E-3</v>
      </c>
      <c r="X251" s="262" t="s">
        <v>269</v>
      </c>
      <c r="Y251" s="263" t="s">
        <v>116</v>
      </c>
      <c r="Z251" s="102">
        <v>43551</v>
      </c>
      <c r="AA251" s="257">
        <f>(Table6[[#This Row],[Paired WTG Generation for loss calculation]]/24)*Table6[[#This Row],[Breakdown Time]]</f>
        <v>362.92500000000354</v>
      </c>
      <c r="AB251" s="102"/>
      <c r="AC251" s="35"/>
      <c r="AD251" s="35"/>
    </row>
    <row r="252" spans="1:30">
      <c r="A252" s="102">
        <f t="shared" si="4"/>
        <v>251</v>
      </c>
      <c r="B252" s="257">
        <f>YEAR(Table6[[#This Row],[Date]])+IF(MONTH(Table6[[#This Row],[Date]])&gt;=4,1,0)</f>
        <v>2026</v>
      </c>
      <c r="C252" s="102">
        <f>YEAR(Table6[[#This Row],[Date]])</f>
        <v>2025</v>
      </c>
      <c r="D252" s="102" t="s">
        <v>265</v>
      </c>
      <c r="E252" s="258">
        <f>Table6[[#This Row],[Date]]-DAY(Table6[[#This Row],[Date]])+1</f>
        <v>45748</v>
      </c>
      <c r="F252" s="259">
        <v>45763</v>
      </c>
      <c r="G252" s="35" t="s">
        <v>119</v>
      </c>
      <c r="H252" s="35" t="str">
        <f>IFERROR(_xlfn.XLOOKUP(Table6[[#This Row],[Affected WTG]],'Basic Data'!$A:$A,'Basic Data'!$B:$B),"")</f>
        <v>TQGXIIPL</v>
      </c>
      <c r="I252" s="35" t="str">
        <f>IFERROR(_xlfn.XLOOKUP(Table6[[#This Row],[Affected WTG]],'Basic Data'!$A:$A,'Basic Data'!$C:$C),"")</f>
        <v>GEDA</v>
      </c>
      <c r="J252" s="260">
        <f>IFERROR(_xlfn.XLOOKUP(Table6[[#This Row],[Affected WTG]],'Basic Data'!$A:$A,'Basic Data'!$E:$E),"")</f>
        <v>3.846153846153845E-2</v>
      </c>
      <c r="K252" s="102">
        <v>3211</v>
      </c>
      <c r="L252" s="35" t="str">
        <f>IFERROR(_xlfn.XLOOKUP(Table6[[#This Row],[Error Code]],'Basic Data'!$AA:$AA,'Basic Data'!$AB:$AB),"Incorrect Error Code")</f>
        <v>Conv. load shedding (CAN)</v>
      </c>
      <c r="M252" s="35" t="s">
        <v>266</v>
      </c>
      <c r="N252" s="264"/>
      <c r="O252" s="265">
        <v>0.9868055555555556</v>
      </c>
      <c r="P252" s="265">
        <v>0.9868055555555556</v>
      </c>
      <c r="Q252" s="266">
        <v>0.99236111111111114</v>
      </c>
      <c r="R252" s="261">
        <f>IF(Table6[[#This Row],[Work Start TimeStamp]]="","",(Table6[[#This Row],[Work Start TimeStamp]]-Table6[[#This Row],[Fault Start TimeStamp]])*24)</f>
        <v>0</v>
      </c>
      <c r="S252" s="261">
        <f>(Table6[[#This Row],[Fault Clearance time]]-Table6[[#This Row],[Work Start TimeStamp]])*24</f>
        <v>0.13333333333333286</v>
      </c>
      <c r="T252" s="261">
        <f>(Table6[[#This Row],[Fault Clearance time]]-Table6[[#This Row],[Fault Start TimeStamp]])*24</f>
        <v>0.13333333333333286</v>
      </c>
      <c r="U252" s="35" t="s">
        <v>267</v>
      </c>
      <c r="V252" s="102" t="s">
        <v>268</v>
      </c>
      <c r="W252" s="267">
        <f>IFERROR(Table6[[#This Row],[Breakdown Time]]*Table6[[#This Row],[Plant Equivalent Weightage]],"")</f>
        <v>5.1282051282051083E-3</v>
      </c>
      <c r="X252" s="262" t="s">
        <v>269</v>
      </c>
      <c r="Y252" s="263" t="s">
        <v>116</v>
      </c>
      <c r="Z252" s="102">
        <v>43551</v>
      </c>
      <c r="AA252" s="257">
        <f>(Table6[[#This Row],[Paired WTG Generation for loss calculation]]/24)*Table6[[#This Row],[Breakdown Time]]</f>
        <v>241.94999999999914</v>
      </c>
      <c r="AB252" s="102"/>
      <c r="AC252" s="35"/>
      <c r="AD252" s="35"/>
    </row>
    <row r="253" spans="1:30">
      <c r="A253" s="102">
        <f t="shared" si="4"/>
        <v>252</v>
      </c>
      <c r="B253" s="257">
        <f>YEAR(Table6[[#This Row],[Date]])+IF(MONTH(Table6[[#This Row],[Date]])&gt;=4,1,0)</f>
        <v>2026</v>
      </c>
      <c r="C253" s="102">
        <f>YEAR(Table6[[#This Row],[Date]])</f>
        <v>2025</v>
      </c>
      <c r="D253" s="102" t="s">
        <v>265</v>
      </c>
      <c r="E253" s="258">
        <f>Table6[[#This Row],[Date]]-DAY(Table6[[#This Row],[Date]])+1</f>
        <v>45748</v>
      </c>
      <c r="F253" s="259">
        <v>45763</v>
      </c>
      <c r="G253" s="35" t="s">
        <v>120</v>
      </c>
      <c r="H253" s="35" t="str">
        <f>IFERROR(_xlfn.XLOOKUP(Table6[[#This Row],[Affected WTG]],'Basic Data'!$A:$A,'Basic Data'!$B:$B),"")</f>
        <v>TQGXIIPL</v>
      </c>
      <c r="I253" s="35" t="str">
        <f>IFERROR(_xlfn.XLOOKUP(Table6[[#This Row],[Affected WTG]],'Basic Data'!$A:$A,'Basic Data'!$C:$C),"")</f>
        <v>GEDA</v>
      </c>
      <c r="J253" s="260">
        <f>IFERROR(_xlfn.XLOOKUP(Table6[[#This Row],[Affected WTG]],'Basic Data'!$A:$A,'Basic Data'!$E:$E),"")</f>
        <v>3.846153846153845E-2</v>
      </c>
      <c r="K253" s="102">
        <v>1700</v>
      </c>
      <c r="L253" s="35" t="str">
        <f>IFERROR(_xlfn.XLOOKUP(Table6[[#This Row],[Error Code]],'Basic Data'!$AA:$AA,'Basic Data'!$AB:$AB),"Incorrect Error Code")</f>
        <v>High temp. gear bearing 1</v>
      </c>
      <c r="M253" s="35" t="s">
        <v>278</v>
      </c>
      <c r="N253" s="264"/>
      <c r="O253" s="265">
        <v>0.75694444444444442</v>
      </c>
      <c r="P253" s="265">
        <v>0.75694444444444442</v>
      </c>
      <c r="Q253" s="266">
        <v>0.75972222222222219</v>
      </c>
      <c r="R253" s="261">
        <f>IF(Table6[[#This Row],[Work Start TimeStamp]]="","",(Table6[[#This Row],[Work Start TimeStamp]]-Table6[[#This Row],[Fault Start TimeStamp]])*24)</f>
        <v>0</v>
      </c>
      <c r="S253" s="261">
        <f>(Table6[[#This Row],[Fault Clearance time]]-Table6[[#This Row],[Work Start TimeStamp]])*24</f>
        <v>6.666666666666643E-2</v>
      </c>
      <c r="T253" s="261">
        <f>(Table6[[#This Row],[Fault Clearance time]]-Table6[[#This Row],[Fault Start TimeStamp]])*24</f>
        <v>6.666666666666643E-2</v>
      </c>
      <c r="U253" s="35" t="s">
        <v>277</v>
      </c>
      <c r="V253" s="102" t="s">
        <v>268</v>
      </c>
      <c r="W253" s="267">
        <f>IFERROR(Table6[[#This Row],[Breakdown Time]]*Table6[[#This Row],[Plant Equivalent Weightage]],"")</f>
        <v>2.5641025641025541E-3</v>
      </c>
      <c r="X253" s="262" t="s">
        <v>269</v>
      </c>
      <c r="Y253" s="263" t="s">
        <v>135</v>
      </c>
      <c r="Z253" s="102">
        <v>41205</v>
      </c>
      <c r="AA253" s="257">
        <f>(Table6[[#This Row],[Paired WTG Generation for loss calculation]]/24)*Table6[[#This Row],[Breakdown Time]]</f>
        <v>114.45833333333293</v>
      </c>
      <c r="AB253" s="102"/>
      <c r="AC253" s="35"/>
      <c r="AD253" s="35"/>
    </row>
    <row r="254" spans="1:30">
      <c r="A254" s="102">
        <f t="shared" si="4"/>
        <v>253</v>
      </c>
      <c r="B254" s="257">
        <f>YEAR(Table6[[#This Row],[Date]])+IF(MONTH(Table6[[#This Row],[Date]])&gt;=4,1,0)</f>
        <v>2026</v>
      </c>
      <c r="C254" s="102">
        <f>YEAR(Table6[[#This Row],[Date]])</f>
        <v>2025</v>
      </c>
      <c r="D254" s="102" t="s">
        <v>265</v>
      </c>
      <c r="E254" s="258">
        <f>Table6[[#This Row],[Date]]-DAY(Table6[[#This Row],[Date]])+1</f>
        <v>45748</v>
      </c>
      <c r="F254" s="259">
        <v>45763</v>
      </c>
      <c r="G254" s="35" t="s">
        <v>122</v>
      </c>
      <c r="H254" s="35" t="str">
        <f>IFERROR(_xlfn.XLOOKUP(Table6[[#This Row],[Affected WTG]],'Basic Data'!$A:$A,'Basic Data'!$B:$B),"")</f>
        <v>TQGXIIPL</v>
      </c>
      <c r="I254" s="35" t="str">
        <f>IFERROR(_xlfn.XLOOKUP(Table6[[#This Row],[Affected WTG]],'Basic Data'!$A:$A,'Basic Data'!$C:$C),"")</f>
        <v>GEDA</v>
      </c>
      <c r="J254" s="260">
        <f>IFERROR(_xlfn.XLOOKUP(Table6[[#This Row],[Affected WTG]],'Basic Data'!$A:$A,'Basic Data'!$E:$E),"")</f>
        <v>3.846153846153845E-2</v>
      </c>
      <c r="K254" s="102">
        <v>55</v>
      </c>
      <c r="L254" s="35" t="str">
        <f>IFERROR(_xlfn.XLOOKUP(Table6[[#This Row],[Error Code]],'Basic Data'!$AA:$AA,'Basic Data'!$AB:$AB),"Incorrect Error Code")</f>
        <v>WTG shut down</v>
      </c>
      <c r="M254" s="35" t="s">
        <v>266</v>
      </c>
      <c r="N254" s="264"/>
      <c r="O254" s="265">
        <v>0.47986111111111113</v>
      </c>
      <c r="P254" s="265">
        <v>0.47986111111111113</v>
      </c>
      <c r="Q254" s="266">
        <v>0.67500000000000004</v>
      </c>
      <c r="R254" s="261">
        <f>IF(Table6[[#This Row],[Work Start TimeStamp]]="","",(Table6[[#This Row],[Work Start TimeStamp]]-Table6[[#This Row],[Fault Start TimeStamp]])*24)</f>
        <v>0</v>
      </c>
      <c r="S254" s="261">
        <f>(Table6[[#This Row],[Fault Clearance time]]-Table6[[#This Row],[Work Start TimeStamp]])*24</f>
        <v>4.6833333333333336</v>
      </c>
      <c r="T254" s="261">
        <f>(Table6[[#This Row],[Fault Clearance time]]-Table6[[#This Row],[Fault Start TimeStamp]])*24</f>
        <v>4.6833333333333336</v>
      </c>
      <c r="U254" s="35" t="s">
        <v>337</v>
      </c>
      <c r="V254" s="102" t="s">
        <v>268</v>
      </c>
      <c r="W254" s="267">
        <f>IFERROR(Table6[[#This Row],[Breakdown Time]]*Table6[[#This Row],[Plant Equivalent Weightage]],"")</f>
        <v>0.18012820512820507</v>
      </c>
      <c r="X254" s="262" t="s">
        <v>296</v>
      </c>
      <c r="Y254" s="263" t="s">
        <v>140</v>
      </c>
      <c r="Z254" s="102">
        <v>37850</v>
      </c>
      <c r="AA254" s="257">
        <f>(Table6[[#This Row],[Paired WTG Generation for loss calculation]]/24)*Table6[[#This Row],[Breakdown Time]]</f>
        <v>7386.0069444444443</v>
      </c>
      <c r="AB254" s="102"/>
      <c r="AC254" s="35"/>
      <c r="AD254" s="35"/>
    </row>
    <row r="255" spans="1:30">
      <c r="A255" s="102">
        <f t="shared" si="4"/>
        <v>254</v>
      </c>
      <c r="B255" s="257">
        <f>YEAR(Table6[[#This Row],[Date]])+IF(MONTH(Table6[[#This Row],[Date]])&gt;=4,1,0)</f>
        <v>2026</v>
      </c>
      <c r="C255" s="102">
        <f>YEAR(Table6[[#This Row],[Date]])</f>
        <v>2025</v>
      </c>
      <c r="D255" s="102" t="s">
        <v>265</v>
      </c>
      <c r="E255" s="258">
        <f>Table6[[#This Row],[Date]]-DAY(Table6[[#This Row],[Date]])+1</f>
        <v>45748</v>
      </c>
      <c r="F255" s="259">
        <v>45763</v>
      </c>
      <c r="G255" s="35" t="s">
        <v>122</v>
      </c>
      <c r="H255" s="35" t="str">
        <f>IFERROR(_xlfn.XLOOKUP(Table6[[#This Row],[Affected WTG]],'Basic Data'!$A:$A,'Basic Data'!$B:$B),"")</f>
        <v>TQGXIIPL</v>
      </c>
      <c r="I255" s="35" t="str">
        <f>IFERROR(_xlfn.XLOOKUP(Table6[[#This Row],[Affected WTG]],'Basic Data'!$A:$A,'Basic Data'!$C:$C),"")</f>
        <v>GEDA</v>
      </c>
      <c r="J255" s="260">
        <f>IFERROR(_xlfn.XLOOKUP(Table6[[#This Row],[Affected WTG]],'Basic Data'!$A:$A,'Basic Data'!$E:$E),"")</f>
        <v>3.846153846153845E-2</v>
      </c>
      <c r="K255" s="102">
        <v>55</v>
      </c>
      <c r="L255" s="35" t="str">
        <f>IFERROR(_xlfn.XLOOKUP(Table6[[#This Row],[Error Code]],'Basic Data'!$AA:$AA,'Basic Data'!$AB:$AB),"Incorrect Error Code")</f>
        <v>WTG shut down</v>
      </c>
      <c r="M255" s="35" t="s">
        <v>266</v>
      </c>
      <c r="N255" s="264"/>
      <c r="O255" s="265">
        <v>0.7055555555555556</v>
      </c>
      <c r="P255" s="265">
        <v>0.7055555555555556</v>
      </c>
      <c r="Q255" s="266">
        <v>0.75208333333333333</v>
      </c>
      <c r="R255" s="261">
        <f>IF(Table6[[#This Row],[Work Start TimeStamp]]="","",(Table6[[#This Row],[Work Start TimeStamp]]-Table6[[#This Row],[Fault Start TimeStamp]])*24)</f>
        <v>0</v>
      </c>
      <c r="S255" s="261">
        <f>(Table6[[#This Row],[Fault Clearance time]]-Table6[[#This Row],[Work Start TimeStamp]])*24</f>
        <v>1.1166666666666654</v>
      </c>
      <c r="T255" s="261">
        <f>(Table6[[#This Row],[Fault Clearance time]]-Table6[[#This Row],[Fault Start TimeStamp]])*24</f>
        <v>1.1166666666666654</v>
      </c>
      <c r="U255" s="35" t="s">
        <v>338</v>
      </c>
      <c r="V255" s="102" t="s">
        <v>268</v>
      </c>
      <c r="W255" s="267">
        <f>IFERROR(Table6[[#This Row],[Breakdown Time]]*Table6[[#This Row],[Plant Equivalent Weightage]],"")</f>
        <v>4.2948717948717886E-2</v>
      </c>
      <c r="X255" s="262" t="s">
        <v>296</v>
      </c>
      <c r="Y255" s="263" t="s">
        <v>140</v>
      </c>
      <c r="Z255" s="102">
        <v>37850</v>
      </c>
      <c r="AA255" s="257">
        <f>(Table6[[#This Row],[Paired WTG Generation for loss calculation]]/24)*Table6[[#This Row],[Breakdown Time]]</f>
        <v>1761.0763888888866</v>
      </c>
      <c r="AB255" s="102"/>
      <c r="AC255" s="35"/>
      <c r="AD255" s="35"/>
    </row>
    <row r="256" spans="1:30">
      <c r="A256" s="102">
        <f t="shared" si="4"/>
        <v>255</v>
      </c>
      <c r="B256" s="257">
        <f>YEAR(Table6[[#This Row],[Date]])+IF(MONTH(Table6[[#This Row],[Date]])&gt;=4,1,0)</f>
        <v>2026</v>
      </c>
      <c r="C256" s="102">
        <f>YEAR(Table6[[#This Row],[Date]])</f>
        <v>2025</v>
      </c>
      <c r="D256" s="102" t="s">
        <v>265</v>
      </c>
      <c r="E256" s="258">
        <f>Table6[[#This Row],[Date]]-DAY(Table6[[#This Row],[Date]])+1</f>
        <v>45748</v>
      </c>
      <c r="F256" s="259">
        <v>45763</v>
      </c>
      <c r="G256" s="35" t="s">
        <v>126</v>
      </c>
      <c r="H256" s="35" t="str">
        <f>IFERROR(_xlfn.XLOOKUP(Table6[[#This Row],[Affected WTG]],'Basic Data'!$A:$A,'Basic Data'!$B:$B),"")</f>
        <v>TQGXIIPL</v>
      </c>
      <c r="I256" s="35" t="str">
        <f>IFERROR(_xlfn.XLOOKUP(Table6[[#This Row],[Affected WTG]],'Basic Data'!$A:$A,'Basic Data'!$C:$C),"")</f>
        <v>GEDA</v>
      </c>
      <c r="J256" s="260">
        <f>IFERROR(_xlfn.XLOOKUP(Table6[[#This Row],[Affected WTG]],'Basic Data'!$A:$A,'Basic Data'!$E:$E),"")</f>
        <v>3.846153846153845E-2</v>
      </c>
      <c r="K256" s="102">
        <v>1700</v>
      </c>
      <c r="L256" s="35" t="str">
        <f>IFERROR(_xlfn.XLOOKUP(Table6[[#This Row],[Error Code]],'Basic Data'!$AA:$AA,'Basic Data'!$AB:$AB),"Incorrect Error Code")</f>
        <v>High temp. gear bearing 1</v>
      </c>
      <c r="M256" s="35" t="s">
        <v>278</v>
      </c>
      <c r="N256" s="264"/>
      <c r="O256" s="265">
        <v>0.79652777777777772</v>
      </c>
      <c r="P256" s="265">
        <v>0.79652777777777772</v>
      </c>
      <c r="Q256" s="266">
        <v>0.8041666666666667</v>
      </c>
      <c r="R256" s="261">
        <f>IF(Table6[[#This Row],[Work Start TimeStamp]]="","",(Table6[[#This Row],[Work Start TimeStamp]]-Table6[[#This Row],[Fault Start TimeStamp]])*24)</f>
        <v>0</v>
      </c>
      <c r="S256" s="261">
        <f>(Table6[[#This Row],[Fault Clearance time]]-Table6[[#This Row],[Work Start TimeStamp]])*24</f>
        <v>0.18333333333333535</v>
      </c>
      <c r="T256" s="261">
        <f>(Table6[[#This Row],[Fault Clearance time]]-Table6[[#This Row],[Fault Start TimeStamp]])*24</f>
        <v>0.18333333333333535</v>
      </c>
      <c r="U256" s="35" t="s">
        <v>277</v>
      </c>
      <c r="V256" s="102" t="s">
        <v>268</v>
      </c>
      <c r="W256" s="267">
        <f>IFERROR(Table6[[#This Row],[Breakdown Time]]*Table6[[#This Row],[Plant Equivalent Weightage]],"")</f>
        <v>7.0512820512821268E-3</v>
      </c>
      <c r="X256" s="262" t="s">
        <v>269</v>
      </c>
      <c r="Y256" s="263" t="s">
        <v>128</v>
      </c>
      <c r="Z256" s="102">
        <v>30710</v>
      </c>
      <c r="AA256" s="257">
        <f>(Table6[[#This Row],[Paired WTG Generation for loss calculation]]/24)*Table6[[#This Row],[Breakdown Time]]</f>
        <v>234.59027777778033</v>
      </c>
      <c r="AB256" s="102"/>
      <c r="AC256" s="35"/>
      <c r="AD256" s="35"/>
    </row>
    <row r="257" spans="1:30">
      <c r="A257" s="102">
        <f t="shared" si="4"/>
        <v>256</v>
      </c>
      <c r="B257" s="257">
        <f>YEAR(Table6[[#This Row],[Date]])+IF(MONTH(Table6[[#This Row],[Date]])&gt;=4,1,0)</f>
        <v>2026</v>
      </c>
      <c r="C257" s="102">
        <f>YEAR(Table6[[#This Row],[Date]])</f>
        <v>2025</v>
      </c>
      <c r="D257" s="102" t="s">
        <v>265</v>
      </c>
      <c r="E257" s="258">
        <f>Table6[[#This Row],[Date]]-DAY(Table6[[#This Row],[Date]])+1</f>
        <v>45748</v>
      </c>
      <c r="F257" s="259">
        <v>45763</v>
      </c>
      <c r="G257" s="35" t="s">
        <v>127</v>
      </c>
      <c r="H257" s="35" t="str">
        <f>IFERROR(_xlfn.XLOOKUP(Table6[[#This Row],[Affected WTG]],'Basic Data'!$A:$A,'Basic Data'!$B:$B),"")</f>
        <v>TQGXIIPL</v>
      </c>
      <c r="I257" s="35" t="str">
        <f>IFERROR(_xlfn.XLOOKUP(Table6[[#This Row],[Affected WTG]],'Basic Data'!$A:$A,'Basic Data'!$C:$C),"")</f>
        <v>GEDA</v>
      </c>
      <c r="J257" s="260">
        <f>IFERROR(_xlfn.XLOOKUP(Table6[[#This Row],[Affected WTG]],'Basic Data'!$A:$A,'Basic Data'!$E:$E),"")</f>
        <v>3.846153846153845E-2</v>
      </c>
      <c r="K257" s="102">
        <v>55</v>
      </c>
      <c r="L257" s="35" t="str">
        <f>IFERROR(_xlfn.XLOOKUP(Table6[[#This Row],[Error Code]],'Basic Data'!$AA:$AA,'Basic Data'!$AB:$AB),"Incorrect Error Code")</f>
        <v>WTG shut down</v>
      </c>
      <c r="M257" s="35" t="s">
        <v>266</v>
      </c>
      <c r="N257" s="264"/>
      <c r="O257" s="265">
        <v>0.66041666666666665</v>
      </c>
      <c r="P257" s="265">
        <v>0.66041666666666665</v>
      </c>
      <c r="Q257" s="266">
        <v>0.70277777777777772</v>
      </c>
      <c r="R257" s="261">
        <f>IF(Table6[[#This Row],[Work Start TimeStamp]]="","",(Table6[[#This Row],[Work Start TimeStamp]]-Table6[[#This Row],[Fault Start TimeStamp]])*24)</f>
        <v>0</v>
      </c>
      <c r="S257" s="261">
        <f>(Table6[[#This Row],[Fault Clearance time]]-Table6[[#This Row],[Work Start TimeStamp]])*24</f>
        <v>1.0166666666666657</v>
      </c>
      <c r="T257" s="261">
        <f>(Table6[[#This Row],[Fault Clearance time]]-Table6[[#This Row],[Fault Start TimeStamp]])*24</f>
        <v>1.0166666666666657</v>
      </c>
      <c r="U257" s="35" t="s">
        <v>339</v>
      </c>
      <c r="V257" s="102" t="s">
        <v>268</v>
      </c>
      <c r="W257" s="267">
        <f>IFERROR(Table6[[#This Row],[Breakdown Time]]*Table6[[#This Row],[Plant Equivalent Weightage]],"")</f>
        <v>3.9102564102564054E-2</v>
      </c>
      <c r="X257" s="262" t="s">
        <v>296</v>
      </c>
      <c r="Y257" s="263" t="s">
        <v>125</v>
      </c>
      <c r="Z257" s="102">
        <v>37090</v>
      </c>
      <c r="AA257" s="257">
        <f>(Table6[[#This Row],[Paired WTG Generation for loss calculation]]/24)*Table6[[#This Row],[Breakdown Time]]</f>
        <v>1571.1736111111097</v>
      </c>
      <c r="AB257" s="102"/>
      <c r="AC257" s="35"/>
      <c r="AD257" s="35"/>
    </row>
    <row r="258" spans="1:30">
      <c r="A258" s="102">
        <f t="shared" si="4"/>
        <v>257</v>
      </c>
      <c r="B258" s="257">
        <f>YEAR(Table6[[#This Row],[Date]])+IF(MONTH(Table6[[#This Row],[Date]])&gt;=4,1,0)</f>
        <v>2026</v>
      </c>
      <c r="C258" s="102">
        <f>YEAR(Table6[[#This Row],[Date]])</f>
        <v>2025</v>
      </c>
      <c r="D258" s="102" t="s">
        <v>265</v>
      </c>
      <c r="E258" s="258">
        <f>Table6[[#This Row],[Date]]-DAY(Table6[[#This Row],[Date]])+1</f>
        <v>45748</v>
      </c>
      <c r="F258" s="259">
        <v>45763</v>
      </c>
      <c r="G258" s="35" t="s">
        <v>128</v>
      </c>
      <c r="H258" s="35" t="str">
        <f>IFERROR(_xlfn.XLOOKUP(Table6[[#This Row],[Affected WTG]],'Basic Data'!$A:$A,'Basic Data'!$B:$B),"")</f>
        <v>TQGXIIPL</v>
      </c>
      <c r="I258" s="35" t="str">
        <f>IFERROR(_xlfn.XLOOKUP(Table6[[#This Row],[Affected WTG]],'Basic Data'!$A:$A,'Basic Data'!$C:$C),"")</f>
        <v>GEDA</v>
      </c>
      <c r="J258" s="260">
        <f>IFERROR(_xlfn.XLOOKUP(Table6[[#This Row],[Affected WTG]],'Basic Data'!$A:$A,'Basic Data'!$E:$E),"")</f>
        <v>3.846153846153845E-2</v>
      </c>
      <c r="K258" s="102">
        <v>55</v>
      </c>
      <c r="L258" s="35" t="str">
        <f>IFERROR(_xlfn.XLOOKUP(Table6[[#This Row],[Error Code]],'Basic Data'!$AA:$AA,'Basic Data'!$AB:$AB),"Incorrect Error Code")</f>
        <v>WTG shut down</v>
      </c>
      <c r="M258" s="35" t="s">
        <v>266</v>
      </c>
      <c r="N258" s="264"/>
      <c r="O258" s="265">
        <v>0.73958333333333337</v>
      </c>
      <c r="P258" s="265">
        <v>0.73958333333333337</v>
      </c>
      <c r="Q258" s="266">
        <v>0.76597222222222228</v>
      </c>
      <c r="R258" s="261">
        <f>IF(Table6[[#This Row],[Work Start TimeStamp]]="","",(Table6[[#This Row],[Work Start TimeStamp]]-Table6[[#This Row],[Fault Start TimeStamp]])*24)</f>
        <v>0</v>
      </c>
      <c r="S258" s="261">
        <f>(Table6[[#This Row],[Fault Clearance time]]-Table6[[#This Row],[Work Start TimeStamp]])*24</f>
        <v>0.63333333333333375</v>
      </c>
      <c r="T258" s="261">
        <f>(Table6[[#This Row],[Fault Clearance time]]-Table6[[#This Row],[Fault Start TimeStamp]])*24</f>
        <v>0.63333333333333375</v>
      </c>
      <c r="U258" s="35" t="s">
        <v>339</v>
      </c>
      <c r="V258" s="102" t="s">
        <v>268</v>
      </c>
      <c r="W258" s="267">
        <f>IFERROR(Table6[[#This Row],[Breakdown Time]]*Table6[[#This Row],[Plant Equivalent Weightage]],"")</f>
        <v>2.4358974358974366E-2</v>
      </c>
      <c r="X258" s="262" t="s">
        <v>296</v>
      </c>
      <c r="Y258" s="263" t="s">
        <v>126</v>
      </c>
      <c r="Z258" s="102">
        <v>34156</v>
      </c>
      <c r="AA258" s="257">
        <f>(Table6[[#This Row],[Paired WTG Generation for loss calculation]]/24)*Table6[[#This Row],[Breakdown Time]]</f>
        <v>901.33888888888953</v>
      </c>
      <c r="AB258" s="102"/>
      <c r="AC258" s="35"/>
      <c r="AD258" s="35"/>
    </row>
    <row r="259" spans="1:30">
      <c r="A259" s="102">
        <f t="shared" si="4"/>
        <v>258</v>
      </c>
      <c r="B259" s="257">
        <f>YEAR(Table6[[#This Row],[Date]])+IF(MONTH(Table6[[#This Row],[Date]])&gt;=4,1,0)</f>
        <v>2026</v>
      </c>
      <c r="C259" s="102">
        <f>YEAR(Table6[[#This Row],[Date]])</f>
        <v>2025</v>
      </c>
      <c r="D259" s="102" t="s">
        <v>265</v>
      </c>
      <c r="E259" s="258">
        <f>Table6[[#This Row],[Date]]-DAY(Table6[[#This Row],[Date]])+1</f>
        <v>45748</v>
      </c>
      <c r="F259" s="259">
        <v>45763</v>
      </c>
      <c r="G259" s="35" t="s">
        <v>128</v>
      </c>
      <c r="H259" s="35" t="str">
        <f>IFERROR(_xlfn.XLOOKUP(Table6[[#This Row],[Affected WTG]],'Basic Data'!$A:$A,'Basic Data'!$B:$B),"")</f>
        <v>TQGXIIPL</v>
      </c>
      <c r="I259" s="35" t="str">
        <f>IFERROR(_xlfn.XLOOKUP(Table6[[#This Row],[Affected WTG]],'Basic Data'!$A:$A,'Basic Data'!$C:$C),"")</f>
        <v>GEDA</v>
      </c>
      <c r="J259" s="260">
        <f>IFERROR(_xlfn.XLOOKUP(Table6[[#This Row],[Affected WTG]],'Basic Data'!$A:$A,'Basic Data'!$E:$E),"")</f>
        <v>3.846153846153845E-2</v>
      </c>
      <c r="K259" s="102">
        <v>55</v>
      </c>
      <c r="L259" s="35" t="str">
        <f>IFERROR(_xlfn.XLOOKUP(Table6[[#This Row],[Error Code]],'Basic Data'!$AA:$AA,'Basic Data'!$AB:$AB),"Incorrect Error Code")</f>
        <v>WTG shut down</v>
      </c>
      <c r="M259" s="35" t="s">
        <v>300</v>
      </c>
      <c r="N259" s="264"/>
      <c r="O259" s="265">
        <v>0.76597222222222228</v>
      </c>
      <c r="P259" s="265">
        <v>0.76597222222222228</v>
      </c>
      <c r="Q259" s="266">
        <v>0.79791666666666672</v>
      </c>
      <c r="R259" s="261">
        <f>IF(Table6[[#This Row],[Work Start TimeStamp]]="","",(Table6[[#This Row],[Work Start TimeStamp]]-Table6[[#This Row],[Fault Start TimeStamp]])*24)</f>
        <v>0</v>
      </c>
      <c r="S259" s="261">
        <f>(Table6[[#This Row],[Fault Clearance time]]-Table6[[#This Row],[Work Start TimeStamp]])*24</f>
        <v>0.76666666666666661</v>
      </c>
      <c r="T259" s="261">
        <f>(Table6[[#This Row],[Fault Clearance time]]-Table6[[#This Row],[Fault Start TimeStamp]])*24</f>
        <v>0.76666666666666661</v>
      </c>
      <c r="U259" s="35" t="s">
        <v>301</v>
      </c>
      <c r="V259" s="102" t="s">
        <v>268</v>
      </c>
      <c r="W259" s="267">
        <f>IFERROR(Table6[[#This Row],[Breakdown Time]]*Table6[[#This Row],[Plant Equivalent Weightage]],"")</f>
        <v>2.9487179487179476E-2</v>
      </c>
      <c r="X259" s="262" t="s">
        <v>296</v>
      </c>
      <c r="Y259" s="263" t="s">
        <v>126</v>
      </c>
      <c r="Z259" s="102">
        <v>34156</v>
      </c>
      <c r="AA259" s="257">
        <f>(Table6[[#This Row],[Paired WTG Generation for loss calculation]]/24)*Table6[[#This Row],[Breakdown Time]]</f>
        <v>1091.0944444444444</v>
      </c>
      <c r="AB259" s="102"/>
      <c r="AC259" s="35"/>
      <c r="AD259" s="35"/>
    </row>
    <row r="260" spans="1:30">
      <c r="A260" s="102">
        <f t="shared" si="4"/>
        <v>259</v>
      </c>
      <c r="B260" s="257">
        <f>YEAR(Table6[[#This Row],[Date]])+IF(MONTH(Table6[[#This Row],[Date]])&gt;=4,1,0)</f>
        <v>2026</v>
      </c>
      <c r="C260" s="102">
        <f>YEAR(Table6[[#This Row],[Date]])</f>
        <v>2025</v>
      </c>
      <c r="D260" s="102" t="s">
        <v>265</v>
      </c>
      <c r="E260" s="258">
        <f>Table6[[#This Row],[Date]]-DAY(Table6[[#This Row],[Date]])+1</f>
        <v>45748</v>
      </c>
      <c r="F260" s="259">
        <v>45763</v>
      </c>
      <c r="G260" s="35" t="s">
        <v>131</v>
      </c>
      <c r="H260" s="35" t="str">
        <f>IFERROR(_xlfn.XLOOKUP(Table6[[#This Row],[Affected WTG]],'Basic Data'!$A:$A,'Basic Data'!$B:$B),"")</f>
        <v>TQGXIIPL</v>
      </c>
      <c r="I260" s="35" t="str">
        <f>IFERROR(_xlfn.XLOOKUP(Table6[[#This Row],[Affected WTG]],'Basic Data'!$A:$A,'Basic Data'!$C:$C),"")</f>
        <v>GEDA</v>
      </c>
      <c r="J260" s="260">
        <f>IFERROR(_xlfn.XLOOKUP(Table6[[#This Row],[Affected WTG]],'Basic Data'!$A:$A,'Basic Data'!$E:$E),"")</f>
        <v>3.846153846153845E-2</v>
      </c>
      <c r="K260" s="102">
        <v>55</v>
      </c>
      <c r="L260" s="35" t="str">
        <f>IFERROR(_xlfn.XLOOKUP(Table6[[#This Row],[Error Code]],'Basic Data'!$AA:$AA,'Basic Data'!$AB:$AB),"Incorrect Error Code")</f>
        <v>WTG shut down</v>
      </c>
      <c r="M260" s="35" t="s">
        <v>291</v>
      </c>
      <c r="N260" s="264"/>
      <c r="O260" s="265">
        <v>0</v>
      </c>
      <c r="P260" s="265">
        <v>0</v>
      </c>
      <c r="Q260" s="266">
        <v>0.90277777777777779</v>
      </c>
      <c r="R260" s="261">
        <f>IF(Table6[[#This Row],[Work Start TimeStamp]]="","",(Table6[[#This Row],[Work Start TimeStamp]]-Table6[[#This Row],[Fault Start TimeStamp]])*24)</f>
        <v>0</v>
      </c>
      <c r="S260" s="261">
        <f>(Table6[[#This Row],[Fault Clearance time]]-Table6[[#This Row],[Work Start TimeStamp]])*24</f>
        <v>21.666666666666668</v>
      </c>
      <c r="T260" s="261">
        <f>(Table6[[#This Row],[Fault Clearance time]]-Table6[[#This Row],[Fault Start TimeStamp]])*24</f>
        <v>21.666666666666668</v>
      </c>
      <c r="U260" s="35" t="s">
        <v>340</v>
      </c>
      <c r="V260" s="102" t="s">
        <v>268</v>
      </c>
      <c r="W260" s="267">
        <f>IFERROR(Table6[[#This Row],[Breakdown Time]]*Table6[[#This Row],[Plant Equivalent Weightage]],"")</f>
        <v>0.83333333333333315</v>
      </c>
      <c r="X260" s="262" t="s">
        <v>296</v>
      </c>
      <c r="Y260" s="263" t="s">
        <v>136</v>
      </c>
      <c r="Z260" s="102">
        <v>46060</v>
      </c>
      <c r="AA260" s="257">
        <f>(Table6[[#This Row],[Paired WTG Generation for loss calculation]]/24)*Table6[[#This Row],[Breakdown Time]]</f>
        <v>41581.944444444445</v>
      </c>
      <c r="AB260" s="102"/>
      <c r="AC260" s="35"/>
      <c r="AD260" s="35"/>
    </row>
    <row r="261" spans="1:30">
      <c r="A261" s="102">
        <f t="shared" si="4"/>
        <v>260</v>
      </c>
      <c r="B261" s="257">
        <f>YEAR(Table6[[#This Row],[Date]])+IF(MONTH(Table6[[#This Row],[Date]])&gt;=4,1,0)</f>
        <v>2026</v>
      </c>
      <c r="C261" s="102">
        <f>YEAR(Table6[[#This Row],[Date]])</f>
        <v>2025</v>
      </c>
      <c r="D261" s="102" t="s">
        <v>265</v>
      </c>
      <c r="E261" s="258">
        <f>Table6[[#This Row],[Date]]-DAY(Table6[[#This Row],[Date]])+1</f>
        <v>45748</v>
      </c>
      <c r="F261" s="259">
        <v>45763</v>
      </c>
      <c r="G261" s="35" t="s">
        <v>132</v>
      </c>
      <c r="H261" s="35" t="str">
        <f>IFERROR(_xlfn.XLOOKUP(Table6[[#This Row],[Affected WTG]],'Basic Data'!$A:$A,'Basic Data'!$B:$B),"")</f>
        <v>TQGXIIPL</v>
      </c>
      <c r="I261" s="35" t="str">
        <f>IFERROR(_xlfn.XLOOKUP(Table6[[#This Row],[Affected WTG]],'Basic Data'!$A:$A,'Basic Data'!$C:$C),"")</f>
        <v>GEDA</v>
      </c>
      <c r="J261" s="260">
        <f>IFERROR(_xlfn.XLOOKUP(Table6[[#This Row],[Affected WTG]],'Basic Data'!$A:$A,'Basic Data'!$E:$E),"")</f>
        <v>3.846153846153845E-2</v>
      </c>
      <c r="K261" s="102">
        <v>55</v>
      </c>
      <c r="L261" s="35" t="str">
        <f>IFERROR(_xlfn.XLOOKUP(Table6[[#This Row],[Error Code]],'Basic Data'!$AA:$AA,'Basic Data'!$AB:$AB),"Incorrect Error Code")</f>
        <v>WTG shut down</v>
      </c>
      <c r="M261" s="35" t="s">
        <v>266</v>
      </c>
      <c r="N261" s="264"/>
      <c r="O261" s="265">
        <v>0.47499999999999998</v>
      </c>
      <c r="P261" s="265">
        <v>0.47499999999999998</v>
      </c>
      <c r="Q261" s="266">
        <v>0.72222222222222221</v>
      </c>
      <c r="R261" s="261">
        <f>IF(Table6[[#This Row],[Work Start TimeStamp]]="","",(Table6[[#This Row],[Work Start TimeStamp]]-Table6[[#This Row],[Fault Start TimeStamp]])*24)</f>
        <v>0</v>
      </c>
      <c r="S261" s="261">
        <f>(Table6[[#This Row],[Fault Clearance time]]-Table6[[#This Row],[Work Start TimeStamp]])*24</f>
        <v>5.9333333333333336</v>
      </c>
      <c r="T261" s="261">
        <f>(Table6[[#This Row],[Fault Clearance time]]-Table6[[#This Row],[Fault Start TimeStamp]])*24</f>
        <v>5.9333333333333336</v>
      </c>
      <c r="U261" s="35" t="s">
        <v>341</v>
      </c>
      <c r="V261" s="102" t="s">
        <v>268</v>
      </c>
      <c r="W261" s="267">
        <f>IFERROR(Table6[[#This Row],[Breakdown Time]]*Table6[[#This Row],[Plant Equivalent Weightage]],"")</f>
        <v>0.22820512820512814</v>
      </c>
      <c r="X261" s="262" t="s">
        <v>296</v>
      </c>
      <c r="Y261" s="263" t="s">
        <v>120</v>
      </c>
      <c r="Z261" s="102">
        <v>41952</v>
      </c>
      <c r="AA261" s="257">
        <f>(Table6[[#This Row],[Paired WTG Generation for loss calculation]]/24)*Table6[[#This Row],[Breakdown Time]]</f>
        <v>10371.466666666667</v>
      </c>
      <c r="AB261" s="102"/>
      <c r="AC261" s="35"/>
      <c r="AD261" s="35"/>
    </row>
    <row r="262" spans="1:30">
      <c r="A262" s="102">
        <f t="shared" si="4"/>
        <v>261</v>
      </c>
      <c r="B262" s="257">
        <f>YEAR(Table6[[#This Row],[Date]])+IF(MONTH(Table6[[#This Row],[Date]])&gt;=4,1,0)</f>
        <v>2026</v>
      </c>
      <c r="C262" s="102">
        <f>YEAR(Table6[[#This Row],[Date]])</f>
        <v>2025</v>
      </c>
      <c r="D262" s="102" t="s">
        <v>265</v>
      </c>
      <c r="E262" s="258">
        <f>Table6[[#This Row],[Date]]-DAY(Table6[[#This Row],[Date]])+1</f>
        <v>45748</v>
      </c>
      <c r="F262" s="259">
        <v>45763</v>
      </c>
      <c r="G262" s="35" t="s">
        <v>138</v>
      </c>
      <c r="H262" s="35" t="str">
        <f>IFERROR(_xlfn.XLOOKUP(Table6[[#This Row],[Affected WTG]],'Basic Data'!$A:$A,'Basic Data'!$B:$B),"")</f>
        <v>TQGXIIPL</v>
      </c>
      <c r="I262" s="35" t="str">
        <f>IFERROR(_xlfn.XLOOKUP(Table6[[#This Row],[Affected WTG]],'Basic Data'!$A:$A,'Basic Data'!$C:$C),"")</f>
        <v>GEDA</v>
      </c>
      <c r="J262" s="260">
        <f>IFERROR(_xlfn.XLOOKUP(Table6[[#This Row],[Affected WTG]],'Basic Data'!$A:$A,'Basic Data'!$E:$E),"")</f>
        <v>3.846153846153845E-2</v>
      </c>
      <c r="K262" s="102">
        <v>55</v>
      </c>
      <c r="L262" s="35" t="str">
        <f>IFERROR(_xlfn.XLOOKUP(Table6[[#This Row],[Error Code]],'Basic Data'!$AA:$AA,'Basic Data'!$AB:$AB),"Incorrect Error Code")</f>
        <v>WTG shut down</v>
      </c>
      <c r="M262" s="35" t="s">
        <v>266</v>
      </c>
      <c r="N262" s="264"/>
      <c r="O262" s="265">
        <v>0</v>
      </c>
      <c r="P262" s="265">
        <v>0</v>
      </c>
      <c r="Q262" s="266">
        <v>4.3055555555555555E-2</v>
      </c>
      <c r="R262" s="261">
        <f>IF(Table6[[#This Row],[Work Start TimeStamp]]="","",(Table6[[#This Row],[Work Start TimeStamp]]-Table6[[#This Row],[Fault Start TimeStamp]])*24)</f>
        <v>0</v>
      </c>
      <c r="S262" s="261">
        <f>(Table6[[#This Row],[Fault Clearance time]]-Table6[[#This Row],[Work Start TimeStamp]])*24</f>
        <v>1.0333333333333332</v>
      </c>
      <c r="T262" s="261">
        <f>(Table6[[#This Row],[Fault Clearance time]]-Table6[[#This Row],[Fault Start TimeStamp]])*24</f>
        <v>1.0333333333333332</v>
      </c>
      <c r="U262" s="35" t="s">
        <v>342</v>
      </c>
      <c r="V262" s="102" t="s">
        <v>268</v>
      </c>
      <c r="W262" s="267">
        <f>IFERROR(Table6[[#This Row],[Breakdown Time]]*Table6[[#This Row],[Plant Equivalent Weightage]],"")</f>
        <v>3.9743589743589727E-2</v>
      </c>
      <c r="X262" s="262" t="s">
        <v>296</v>
      </c>
      <c r="Y262" s="263" t="s">
        <v>134</v>
      </c>
      <c r="Z262" s="102">
        <v>39760</v>
      </c>
      <c r="AA262" s="257">
        <f>(Table6[[#This Row],[Paired WTG Generation for loss calculation]]/24)*Table6[[#This Row],[Breakdown Time]]</f>
        <v>1711.8888888888887</v>
      </c>
      <c r="AB262" s="102"/>
      <c r="AC262" s="35"/>
      <c r="AD262" s="35"/>
    </row>
    <row r="263" spans="1:30">
      <c r="A263" s="102">
        <f t="shared" si="4"/>
        <v>262</v>
      </c>
      <c r="B263" s="257">
        <f>YEAR(Table6[[#This Row],[Date]])+IF(MONTH(Table6[[#This Row],[Date]])&gt;=4,1,0)</f>
        <v>2026</v>
      </c>
      <c r="C263" s="102">
        <f>YEAR(Table6[[#This Row],[Date]])</f>
        <v>2025</v>
      </c>
      <c r="D263" s="102" t="s">
        <v>265</v>
      </c>
      <c r="E263" s="258">
        <f>Table6[[#This Row],[Date]]-DAY(Table6[[#This Row],[Date]])+1</f>
        <v>45748</v>
      </c>
      <c r="F263" s="259">
        <v>45763</v>
      </c>
      <c r="G263" s="35" t="s">
        <v>139</v>
      </c>
      <c r="H263" s="35" t="str">
        <f>IFERROR(_xlfn.XLOOKUP(Table6[[#This Row],[Affected WTG]],'Basic Data'!$A:$A,'Basic Data'!$B:$B),"")</f>
        <v>TQGXIIPL</v>
      </c>
      <c r="I263" s="35" t="str">
        <f>IFERROR(_xlfn.XLOOKUP(Table6[[#This Row],[Affected WTG]],'Basic Data'!$A:$A,'Basic Data'!$C:$C),"")</f>
        <v>GEDA</v>
      </c>
      <c r="J263" s="260">
        <f>IFERROR(_xlfn.XLOOKUP(Table6[[#This Row],[Affected WTG]],'Basic Data'!$A:$A,'Basic Data'!$E:$E),"")</f>
        <v>3.846153846153845E-2</v>
      </c>
      <c r="K263" s="102">
        <v>1700</v>
      </c>
      <c r="L263" s="35" t="str">
        <f>IFERROR(_xlfn.XLOOKUP(Table6[[#This Row],[Error Code]],'Basic Data'!$AA:$AA,'Basic Data'!$AB:$AB),"Incorrect Error Code")</f>
        <v>High temp. gear bearing 1</v>
      </c>
      <c r="M263" s="35" t="s">
        <v>266</v>
      </c>
      <c r="N263" s="264"/>
      <c r="O263" s="265">
        <v>0.79374999999999996</v>
      </c>
      <c r="P263" s="265">
        <v>0.79374999999999996</v>
      </c>
      <c r="Q263" s="266">
        <v>0.80555555555555558</v>
      </c>
      <c r="R263" s="261">
        <f>IF(Table6[[#This Row],[Work Start TimeStamp]]="","",(Table6[[#This Row],[Work Start TimeStamp]]-Table6[[#This Row],[Fault Start TimeStamp]])*24)</f>
        <v>0</v>
      </c>
      <c r="S263" s="261">
        <f>(Table6[[#This Row],[Fault Clearance time]]-Table6[[#This Row],[Work Start TimeStamp]])*24</f>
        <v>0.28333333333333499</v>
      </c>
      <c r="T263" s="261">
        <f>(Table6[[#This Row],[Fault Clearance time]]-Table6[[#This Row],[Fault Start TimeStamp]])*24</f>
        <v>0.28333333333333499</v>
      </c>
      <c r="U263" s="35" t="s">
        <v>267</v>
      </c>
      <c r="V263" s="102" t="s">
        <v>268</v>
      </c>
      <c r="W263" s="267">
        <f>IFERROR(Table6[[#This Row],[Breakdown Time]]*Table6[[#This Row],[Plant Equivalent Weightage]],"")</f>
        <v>1.0897435897435958E-2</v>
      </c>
      <c r="X263" s="262" t="s">
        <v>269</v>
      </c>
      <c r="Y263" s="263" t="s">
        <v>115</v>
      </c>
      <c r="Z263" s="102">
        <v>39687</v>
      </c>
      <c r="AA263" s="257">
        <f>(Table6[[#This Row],[Paired WTG Generation for loss calculation]]/24)*Table6[[#This Row],[Breakdown Time]]</f>
        <v>468.52708333333607</v>
      </c>
      <c r="AB263" s="102"/>
      <c r="AC263" s="35"/>
      <c r="AD263" s="35"/>
    </row>
    <row r="264" spans="1:30">
      <c r="A264" s="102">
        <f t="shared" si="4"/>
        <v>263</v>
      </c>
      <c r="B264" s="257">
        <f>YEAR(Table6[[#This Row],[Date]])+IF(MONTH(Table6[[#This Row],[Date]])&gt;=4,1,0)</f>
        <v>2026</v>
      </c>
      <c r="C264" s="102">
        <f>YEAR(Table6[[#This Row],[Date]])</f>
        <v>2025</v>
      </c>
      <c r="D264" s="102" t="s">
        <v>265</v>
      </c>
      <c r="E264" s="258">
        <f>Table6[[#This Row],[Date]]-DAY(Table6[[#This Row],[Date]])+1</f>
        <v>45748</v>
      </c>
      <c r="F264" s="259">
        <v>45763</v>
      </c>
      <c r="G264" s="35" t="s">
        <v>139</v>
      </c>
      <c r="H264" s="35" t="str">
        <f>IFERROR(_xlfn.XLOOKUP(Table6[[#This Row],[Affected WTG]],'Basic Data'!$A:$A,'Basic Data'!$B:$B),"")</f>
        <v>TQGXIIPL</v>
      </c>
      <c r="I264" s="35" t="str">
        <f>IFERROR(_xlfn.XLOOKUP(Table6[[#This Row],[Affected WTG]],'Basic Data'!$A:$A,'Basic Data'!$C:$C),"")</f>
        <v>GEDA</v>
      </c>
      <c r="J264" s="260">
        <f>IFERROR(_xlfn.XLOOKUP(Table6[[#This Row],[Affected WTG]],'Basic Data'!$A:$A,'Basic Data'!$E:$E),"")</f>
        <v>3.846153846153845E-2</v>
      </c>
      <c r="K264" s="102">
        <v>3110</v>
      </c>
      <c r="L264" s="35" t="str">
        <f>IFERROR(_xlfn.XLOOKUP(Table6[[#This Row],[Error Code]],'Basic Data'!$AA:$AA,'Basic Data'!$AB:$AB),"Incorrect Error Code")</f>
        <v>Frequency converter error</v>
      </c>
      <c r="M264" s="35" t="s">
        <v>266</v>
      </c>
      <c r="N264" s="264"/>
      <c r="O264" s="265">
        <v>0.82638888888888884</v>
      </c>
      <c r="P264" s="265">
        <v>0.82638888888888884</v>
      </c>
      <c r="Q264" s="266">
        <v>0.83819444444444446</v>
      </c>
      <c r="R264" s="261">
        <f>IF(Table6[[#This Row],[Work Start TimeStamp]]="","",(Table6[[#This Row],[Work Start TimeStamp]]-Table6[[#This Row],[Fault Start TimeStamp]])*24)</f>
        <v>0</v>
      </c>
      <c r="S264" s="261">
        <f>(Table6[[#This Row],[Fault Clearance time]]-Table6[[#This Row],[Work Start TimeStamp]])*24</f>
        <v>0.28333333333333499</v>
      </c>
      <c r="T264" s="261">
        <f>(Table6[[#This Row],[Fault Clearance time]]-Table6[[#This Row],[Fault Start TimeStamp]])*24</f>
        <v>0.28333333333333499</v>
      </c>
      <c r="U264" s="35" t="s">
        <v>267</v>
      </c>
      <c r="V264" s="102" t="s">
        <v>268</v>
      </c>
      <c r="W264" s="267">
        <f>IFERROR(Table6[[#This Row],[Breakdown Time]]*Table6[[#This Row],[Plant Equivalent Weightage]],"")</f>
        <v>1.0897435897435958E-2</v>
      </c>
      <c r="X264" s="262" t="s">
        <v>269</v>
      </c>
      <c r="Y264" s="263" t="s">
        <v>115</v>
      </c>
      <c r="Z264" s="102">
        <v>39687</v>
      </c>
      <c r="AA264" s="257">
        <f>(Table6[[#This Row],[Paired WTG Generation for loss calculation]]/24)*Table6[[#This Row],[Breakdown Time]]</f>
        <v>468.52708333333607</v>
      </c>
      <c r="AB264" s="102"/>
      <c r="AC264" s="35"/>
      <c r="AD264" s="35"/>
    </row>
    <row r="265" spans="1:30">
      <c r="A265" s="102">
        <f t="shared" si="4"/>
        <v>264</v>
      </c>
      <c r="B265" s="257">
        <f>YEAR(Table6[[#This Row],[Date]])+IF(MONTH(Table6[[#This Row],[Date]])&gt;=4,1,0)</f>
        <v>2026</v>
      </c>
      <c r="C265" s="102">
        <f>YEAR(Table6[[#This Row],[Date]])</f>
        <v>2025</v>
      </c>
      <c r="D265" s="102" t="s">
        <v>265</v>
      </c>
      <c r="E265" s="258">
        <f>Table6[[#This Row],[Date]]-DAY(Table6[[#This Row],[Date]])+1</f>
        <v>45748</v>
      </c>
      <c r="F265" s="259">
        <v>45763</v>
      </c>
      <c r="G265" s="35" t="s">
        <v>139</v>
      </c>
      <c r="H265" s="35" t="str">
        <f>IFERROR(_xlfn.XLOOKUP(Table6[[#This Row],[Affected WTG]],'Basic Data'!$A:$A,'Basic Data'!$B:$B),"")</f>
        <v>TQGXIIPL</v>
      </c>
      <c r="I265" s="35" t="str">
        <f>IFERROR(_xlfn.XLOOKUP(Table6[[#This Row],[Affected WTG]],'Basic Data'!$A:$A,'Basic Data'!$C:$C),"")</f>
        <v>GEDA</v>
      </c>
      <c r="J265" s="260">
        <f>IFERROR(_xlfn.XLOOKUP(Table6[[#This Row],[Affected WTG]],'Basic Data'!$A:$A,'Basic Data'!$E:$E),"")</f>
        <v>3.846153846153845E-2</v>
      </c>
      <c r="K265" s="102">
        <v>3110</v>
      </c>
      <c r="L265" s="35" t="str">
        <f>IFERROR(_xlfn.XLOOKUP(Table6[[#This Row],[Error Code]],'Basic Data'!$AA:$AA,'Basic Data'!$AB:$AB),"Incorrect Error Code")</f>
        <v>Frequency converter error</v>
      </c>
      <c r="M265" s="35" t="s">
        <v>266</v>
      </c>
      <c r="N265" s="264"/>
      <c r="O265" s="265">
        <v>0.87152777777777779</v>
      </c>
      <c r="P265" s="265">
        <v>0.87152777777777779</v>
      </c>
      <c r="Q265" s="266">
        <v>0.87986111111111109</v>
      </c>
      <c r="R265" s="261">
        <f>IF(Table6[[#This Row],[Work Start TimeStamp]]="","",(Table6[[#This Row],[Work Start TimeStamp]]-Table6[[#This Row],[Fault Start TimeStamp]])*24)</f>
        <v>0</v>
      </c>
      <c r="S265" s="261">
        <f>(Table6[[#This Row],[Fault Clearance time]]-Table6[[#This Row],[Work Start TimeStamp]])*24</f>
        <v>0.19999999999999929</v>
      </c>
      <c r="T265" s="261">
        <f>(Table6[[#This Row],[Fault Clearance time]]-Table6[[#This Row],[Fault Start TimeStamp]])*24</f>
        <v>0.19999999999999929</v>
      </c>
      <c r="U265" s="35" t="s">
        <v>267</v>
      </c>
      <c r="V265" s="102" t="s">
        <v>268</v>
      </c>
      <c r="W265" s="267">
        <f>IFERROR(Table6[[#This Row],[Breakdown Time]]*Table6[[#This Row],[Plant Equivalent Weightage]],"")</f>
        <v>7.6923076923076624E-3</v>
      </c>
      <c r="X265" s="262" t="s">
        <v>269</v>
      </c>
      <c r="Y265" s="263" t="s">
        <v>115</v>
      </c>
      <c r="Z265" s="102">
        <v>39687</v>
      </c>
      <c r="AA265" s="257">
        <f>(Table6[[#This Row],[Paired WTG Generation for loss calculation]]/24)*Table6[[#This Row],[Breakdown Time]]</f>
        <v>330.72499999999883</v>
      </c>
      <c r="AB265" s="102"/>
      <c r="AC265" s="35"/>
      <c r="AD265" s="35"/>
    </row>
    <row r="266" spans="1:30">
      <c r="A266" s="102">
        <f t="shared" si="4"/>
        <v>265</v>
      </c>
      <c r="B266" s="257">
        <f>YEAR(Table6[[#This Row],[Date]])+IF(MONTH(Table6[[#This Row],[Date]])&gt;=4,1,0)</f>
        <v>2026</v>
      </c>
      <c r="C266" s="102">
        <f>YEAR(Table6[[#This Row],[Date]])</f>
        <v>2025</v>
      </c>
      <c r="D266" s="102" t="s">
        <v>265</v>
      </c>
      <c r="E266" s="258">
        <f>Table6[[#This Row],[Date]]-DAY(Table6[[#This Row],[Date]])+1</f>
        <v>45748</v>
      </c>
      <c r="F266" s="259">
        <v>45763</v>
      </c>
      <c r="G266" s="35" t="s">
        <v>139</v>
      </c>
      <c r="H266" s="35" t="str">
        <f>IFERROR(_xlfn.XLOOKUP(Table6[[#This Row],[Affected WTG]],'Basic Data'!$A:$A,'Basic Data'!$B:$B),"")</f>
        <v>TQGXIIPL</v>
      </c>
      <c r="I266" s="35" t="str">
        <f>IFERROR(_xlfn.XLOOKUP(Table6[[#This Row],[Affected WTG]],'Basic Data'!$A:$A,'Basic Data'!$C:$C),"")</f>
        <v>GEDA</v>
      </c>
      <c r="J266" s="260">
        <f>IFERROR(_xlfn.XLOOKUP(Table6[[#This Row],[Affected WTG]],'Basic Data'!$A:$A,'Basic Data'!$E:$E),"")</f>
        <v>3.846153846153845E-2</v>
      </c>
      <c r="K266" s="102">
        <v>55</v>
      </c>
      <c r="L266" s="35" t="str">
        <f>IFERROR(_xlfn.XLOOKUP(Table6[[#This Row],[Error Code]],'Basic Data'!$AA:$AA,'Basic Data'!$AB:$AB),"Incorrect Error Code")</f>
        <v>WTG shut down</v>
      </c>
      <c r="M266" s="35" t="s">
        <v>300</v>
      </c>
      <c r="N266" s="264"/>
      <c r="O266" s="265">
        <v>0.88611111111111107</v>
      </c>
      <c r="P266" s="265">
        <v>0.88611111111111107</v>
      </c>
      <c r="Q266" s="266">
        <v>0.96805555555555556</v>
      </c>
      <c r="R266" s="261">
        <f>IF(Table6[[#This Row],[Work Start TimeStamp]]="","",(Table6[[#This Row],[Work Start TimeStamp]]-Table6[[#This Row],[Fault Start TimeStamp]])*24)</f>
        <v>0</v>
      </c>
      <c r="S266" s="261">
        <f>(Table6[[#This Row],[Fault Clearance time]]-Table6[[#This Row],[Work Start TimeStamp]])*24</f>
        <v>1.9666666666666677</v>
      </c>
      <c r="T266" s="261">
        <f>(Table6[[#This Row],[Fault Clearance time]]-Table6[[#This Row],[Fault Start TimeStamp]])*24</f>
        <v>1.9666666666666677</v>
      </c>
      <c r="U266" s="35" t="s">
        <v>301</v>
      </c>
      <c r="V266" s="102" t="s">
        <v>268</v>
      </c>
      <c r="W266" s="267">
        <f>IFERROR(Table6[[#This Row],[Breakdown Time]]*Table6[[#This Row],[Plant Equivalent Weightage]],"")</f>
        <v>7.564102564102565E-2</v>
      </c>
      <c r="X266" s="262" t="s">
        <v>296</v>
      </c>
      <c r="Y266" s="263" t="s">
        <v>115</v>
      </c>
      <c r="Z266" s="102">
        <v>39687</v>
      </c>
      <c r="AA266" s="257">
        <f>(Table6[[#This Row],[Paired WTG Generation for loss calculation]]/24)*Table6[[#This Row],[Breakdown Time]]</f>
        <v>3252.1291666666684</v>
      </c>
      <c r="AB266" s="102"/>
      <c r="AC266" s="35"/>
      <c r="AD266" s="35"/>
    </row>
    <row r="267" spans="1:30">
      <c r="A267" s="102">
        <f t="shared" si="4"/>
        <v>266</v>
      </c>
      <c r="B267" s="257">
        <f>YEAR(Table6[[#This Row],[Date]])+IF(MONTH(Table6[[#This Row],[Date]])&gt;=4,1,0)</f>
        <v>2026</v>
      </c>
      <c r="C267" s="102">
        <f>YEAR(Table6[[#This Row],[Date]])</f>
        <v>2025</v>
      </c>
      <c r="D267" s="102" t="s">
        <v>265</v>
      </c>
      <c r="E267" s="258">
        <f>Table6[[#This Row],[Date]]-DAY(Table6[[#This Row],[Date]])+1</f>
        <v>45748</v>
      </c>
      <c r="F267" s="259">
        <v>45764</v>
      </c>
      <c r="G267" s="35" t="s">
        <v>115</v>
      </c>
      <c r="H267" s="35" t="str">
        <f>IFERROR(_xlfn.XLOOKUP(Table6[[#This Row],[Affected WTG]],'Basic Data'!$A:$A,'Basic Data'!$B:$B),"")</f>
        <v>TQGXIIPL</v>
      </c>
      <c r="I267" s="35" t="str">
        <f>IFERROR(_xlfn.XLOOKUP(Table6[[#This Row],[Affected WTG]],'Basic Data'!$A:$A,'Basic Data'!$C:$C),"")</f>
        <v>GEDA</v>
      </c>
      <c r="J267" s="260">
        <f>IFERROR(_xlfn.XLOOKUP(Table6[[#This Row],[Affected WTG]],'Basic Data'!$A:$A,'Basic Data'!$E:$E),"")</f>
        <v>3.846153846153845E-2</v>
      </c>
      <c r="K267" s="102">
        <v>55</v>
      </c>
      <c r="L267" s="35" t="str">
        <f>IFERROR(_xlfn.XLOOKUP(Table6[[#This Row],[Error Code]],'Basic Data'!$AA:$AA,'Basic Data'!$AB:$AB),"Incorrect Error Code")</f>
        <v>WTG shut down</v>
      </c>
      <c r="M267" s="35" t="s">
        <v>266</v>
      </c>
      <c r="N267" s="264"/>
      <c r="O267" s="265">
        <v>0.61805555555555558</v>
      </c>
      <c r="P267" s="265">
        <v>0.61805555555555558</v>
      </c>
      <c r="Q267" s="266">
        <v>0.62430555555555556</v>
      </c>
      <c r="R267" s="261">
        <f>IF(Table6[[#This Row],[Work Start TimeStamp]]="","",(Table6[[#This Row],[Work Start TimeStamp]]-Table6[[#This Row],[Fault Start TimeStamp]])*24)</f>
        <v>0</v>
      </c>
      <c r="S267" s="261">
        <f>(Table6[[#This Row],[Fault Clearance time]]-Table6[[#This Row],[Work Start TimeStamp]])*24</f>
        <v>0.14999999999999947</v>
      </c>
      <c r="T267" s="261">
        <f>(Table6[[#This Row],[Fault Clearance time]]-Table6[[#This Row],[Fault Start TimeStamp]])*24</f>
        <v>0.14999999999999947</v>
      </c>
      <c r="U267" s="35" t="s">
        <v>320</v>
      </c>
      <c r="V267" s="102" t="s">
        <v>268</v>
      </c>
      <c r="W267" s="267">
        <f>IFERROR(Table6[[#This Row],[Breakdown Time]]*Table6[[#This Row],[Plant Equivalent Weightage]],"")</f>
        <v>5.769230769230747E-3</v>
      </c>
      <c r="X267" s="262" t="s">
        <v>296</v>
      </c>
      <c r="Y267" s="263" t="s">
        <v>140</v>
      </c>
      <c r="Z267" s="102">
        <v>36110</v>
      </c>
      <c r="AA267" s="257">
        <f>(Table6[[#This Row],[Paired WTG Generation for loss calculation]]/24)*Table6[[#This Row],[Breakdown Time]]</f>
        <v>225.68749999999918</v>
      </c>
      <c r="AB267" s="102"/>
      <c r="AC267" s="35"/>
      <c r="AD267" s="35"/>
    </row>
    <row r="268" spans="1:30">
      <c r="A268" s="102">
        <f t="shared" si="4"/>
        <v>267</v>
      </c>
      <c r="B268" s="257">
        <f>YEAR(Table6[[#This Row],[Date]])+IF(MONTH(Table6[[#This Row],[Date]])&gt;=4,1,0)</f>
        <v>2026</v>
      </c>
      <c r="C268" s="102">
        <f>YEAR(Table6[[#This Row],[Date]])</f>
        <v>2025</v>
      </c>
      <c r="D268" s="102" t="s">
        <v>265</v>
      </c>
      <c r="E268" s="258">
        <f>Table6[[#This Row],[Date]]-DAY(Table6[[#This Row],[Date]])+1</f>
        <v>45748</v>
      </c>
      <c r="F268" s="259">
        <v>45764</v>
      </c>
      <c r="G268" s="35" t="s">
        <v>116</v>
      </c>
      <c r="H268" s="35" t="str">
        <f>IFERROR(_xlfn.XLOOKUP(Table6[[#This Row],[Affected WTG]],'Basic Data'!$A:$A,'Basic Data'!$B:$B),"")</f>
        <v>TQGXIIPL</v>
      </c>
      <c r="I268" s="35" t="str">
        <f>IFERROR(_xlfn.XLOOKUP(Table6[[#This Row],[Affected WTG]],'Basic Data'!$A:$A,'Basic Data'!$C:$C),"")</f>
        <v>GEDA</v>
      </c>
      <c r="J268" s="260">
        <f>IFERROR(_xlfn.XLOOKUP(Table6[[#This Row],[Affected WTG]],'Basic Data'!$A:$A,'Basic Data'!$E:$E),"")</f>
        <v>3.846153846153845E-2</v>
      </c>
      <c r="K268" s="102">
        <v>1070</v>
      </c>
      <c r="L268" s="35" t="str">
        <f>IFERROR(_xlfn.XLOOKUP(Table6[[#This Row],[Error Code]],'Basic Data'!$AA:$AA,'Basic Data'!$AB:$AB),"Incorrect Error Code")</f>
        <v>Drive train monitor level 2</v>
      </c>
      <c r="M268" s="35" t="s">
        <v>266</v>
      </c>
      <c r="N268" s="264"/>
      <c r="O268" s="265">
        <v>0.19027777777777777</v>
      </c>
      <c r="P268" s="265">
        <v>0.19027777777777777</v>
      </c>
      <c r="Q268" s="266">
        <v>0.19166666666666668</v>
      </c>
      <c r="R268" s="261">
        <f>IF(Table6[[#This Row],[Work Start TimeStamp]]="","",(Table6[[#This Row],[Work Start TimeStamp]]-Table6[[#This Row],[Fault Start TimeStamp]])*24)</f>
        <v>0</v>
      </c>
      <c r="S268" s="261">
        <f>(Table6[[#This Row],[Fault Clearance time]]-Table6[[#This Row],[Work Start TimeStamp]])*24</f>
        <v>3.3333333333333881E-2</v>
      </c>
      <c r="T268" s="261">
        <f>(Table6[[#This Row],[Fault Clearance time]]-Table6[[#This Row],[Fault Start TimeStamp]])*24</f>
        <v>3.3333333333333881E-2</v>
      </c>
      <c r="U268" s="35" t="s">
        <v>267</v>
      </c>
      <c r="V268" s="102" t="s">
        <v>268</v>
      </c>
      <c r="W268" s="267">
        <f>IFERROR(Table6[[#This Row],[Breakdown Time]]*Table6[[#This Row],[Plant Equivalent Weightage]],"")</f>
        <v>1.2820512820513027E-3</v>
      </c>
      <c r="X268" s="262" t="s">
        <v>269</v>
      </c>
      <c r="Y268" s="263" t="s">
        <v>119</v>
      </c>
      <c r="Z268" s="102">
        <v>38564</v>
      </c>
      <c r="AA268" s="257">
        <f>(Table6[[#This Row],[Paired WTG Generation for loss calculation]]/24)*Table6[[#This Row],[Breakdown Time]]</f>
        <v>53.561111111111991</v>
      </c>
      <c r="AB268" s="102"/>
      <c r="AC268" s="35"/>
      <c r="AD268" s="35"/>
    </row>
    <row r="269" spans="1:30">
      <c r="A269" s="102">
        <f t="shared" si="4"/>
        <v>268</v>
      </c>
      <c r="B269" s="257">
        <f>YEAR(Table6[[#This Row],[Date]])+IF(MONTH(Table6[[#This Row],[Date]])&gt;=4,1,0)</f>
        <v>2026</v>
      </c>
      <c r="C269" s="102">
        <f>YEAR(Table6[[#This Row],[Date]])</f>
        <v>2025</v>
      </c>
      <c r="D269" s="102" t="s">
        <v>265</v>
      </c>
      <c r="E269" s="258">
        <f>Table6[[#This Row],[Date]]-DAY(Table6[[#This Row],[Date]])+1</f>
        <v>45748</v>
      </c>
      <c r="F269" s="259">
        <v>45764</v>
      </c>
      <c r="G269" s="35" t="s">
        <v>116</v>
      </c>
      <c r="H269" s="35" t="str">
        <f>IFERROR(_xlfn.XLOOKUP(Table6[[#This Row],[Affected WTG]],'Basic Data'!$A:$A,'Basic Data'!$B:$B),"")</f>
        <v>TQGXIIPL</v>
      </c>
      <c r="I269" s="35" t="str">
        <f>IFERROR(_xlfn.XLOOKUP(Table6[[#This Row],[Affected WTG]],'Basic Data'!$A:$A,'Basic Data'!$C:$C),"")</f>
        <v>GEDA</v>
      </c>
      <c r="J269" s="260">
        <f>IFERROR(_xlfn.XLOOKUP(Table6[[#This Row],[Affected WTG]],'Basic Data'!$A:$A,'Basic Data'!$E:$E),"")</f>
        <v>3.846153846153845E-2</v>
      </c>
      <c r="K269" s="102">
        <v>55</v>
      </c>
      <c r="L269" s="35" t="str">
        <f>IFERROR(_xlfn.XLOOKUP(Table6[[#This Row],[Error Code]],'Basic Data'!$AA:$AA,'Basic Data'!$AB:$AB),"Incorrect Error Code")</f>
        <v>WTG shut down</v>
      </c>
      <c r="M269" s="35" t="s">
        <v>271</v>
      </c>
      <c r="N269" s="264"/>
      <c r="O269" s="265">
        <v>0.28749999999999998</v>
      </c>
      <c r="P269" s="265">
        <v>0.2902777777777778</v>
      </c>
      <c r="Q269" s="266">
        <v>0.57916666666666672</v>
      </c>
      <c r="R269" s="261">
        <f>IF(Table6[[#This Row],[Work Start TimeStamp]]="","",(Table6[[#This Row],[Work Start TimeStamp]]-Table6[[#This Row],[Fault Start TimeStamp]])*24)</f>
        <v>6.6666666666667762E-2</v>
      </c>
      <c r="S269" s="261">
        <f>(Table6[[#This Row],[Fault Clearance time]]-Table6[[#This Row],[Work Start TimeStamp]])*24</f>
        <v>6.9333333333333336</v>
      </c>
      <c r="T269" s="261">
        <f>(Table6[[#This Row],[Fault Clearance time]]-Table6[[#This Row],[Fault Start TimeStamp]])*24</f>
        <v>7.0000000000000018</v>
      </c>
      <c r="U269" s="35" t="s">
        <v>272</v>
      </c>
      <c r="V269" s="102" t="s">
        <v>268</v>
      </c>
      <c r="W269" s="267">
        <f>IFERROR(Table6[[#This Row],[Breakdown Time]]*Table6[[#This Row],[Plant Equivalent Weightage]],"")</f>
        <v>0.26923076923076922</v>
      </c>
      <c r="X269" s="262" t="s">
        <v>273</v>
      </c>
      <c r="Y269" s="263" t="s">
        <v>119</v>
      </c>
      <c r="Z269" s="102">
        <v>38564</v>
      </c>
      <c r="AA269" s="257">
        <f>(Table6[[#This Row],[Paired WTG Generation for loss calculation]]/24)*Table6[[#This Row],[Breakdown Time]]</f>
        <v>11247.833333333336</v>
      </c>
      <c r="AB269" s="102"/>
      <c r="AC269" s="35"/>
      <c r="AD269" s="35"/>
    </row>
    <row r="270" spans="1:30">
      <c r="A270" s="102">
        <f t="shared" ref="A270:A333" si="5">A269+1</f>
        <v>269</v>
      </c>
      <c r="B270" s="257">
        <f>YEAR(Table6[[#This Row],[Date]])+IF(MONTH(Table6[[#This Row],[Date]])&gt;=4,1,0)</f>
        <v>2026</v>
      </c>
      <c r="C270" s="102">
        <f>YEAR(Table6[[#This Row],[Date]])</f>
        <v>2025</v>
      </c>
      <c r="D270" s="102" t="s">
        <v>265</v>
      </c>
      <c r="E270" s="258">
        <f>Table6[[#This Row],[Date]]-DAY(Table6[[#This Row],[Date]])+1</f>
        <v>45748</v>
      </c>
      <c r="F270" s="259">
        <v>45764</v>
      </c>
      <c r="G270" s="35" t="s">
        <v>116</v>
      </c>
      <c r="H270" s="35" t="str">
        <f>IFERROR(_xlfn.XLOOKUP(Table6[[#This Row],[Affected WTG]],'Basic Data'!$A:$A,'Basic Data'!$B:$B),"")</f>
        <v>TQGXIIPL</v>
      </c>
      <c r="I270" s="35" t="str">
        <f>IFERROR(_xlfn.XLOOKUP(Table6[[#This Row],[Affected WTG]],'Basic Data'!$A:$A,'Basic Data'!$C:$C),"")</f>
        <v>GEDA</v>
      </c>
      <c r="J270" s="260">
        <f>IFERROR(_xlfn.XLOOKUP(Table6[[#This Row],[Affected WTG]],'Basic Data'!$A:$A,'Basic Data'!$E:$E),"")</f>
        <v>3.846153846153845E-2</v>
      </c>
      <c r="K270" s="102">
        <v>55</v>
      </c>
      <c r="L270" s="35" t="str">
        <f>IFERROR(_xlfn.XLOOKUP(Table6[[#This Row],[Error Code]],'Basic Data'!$AA:$AA,'Basic Data'!$AB:$AB),"Incorrect Error Code")</f>
        <v>WTG shut down</v>
      </c>
      <c r="M270" s="35" t="s">
        <v>266</v>
      </c>
      <c r="N270" s="264"/>
      <c r="O270" s="265">
        <v>0.81597222222222221</v>
      </c>
      <c r="P270" s="265">
        <v>0.81597222222222221</v>
      </c>
      <c r="Q270" s="266">
        <v>0.82222222222222219</v>
      </c>
      <c r="R270" s="261">
        <f>IF(Table6[[#This Row],[Work Start TimeStamp]]="","",(Table6[[#This Row],[Work Start TimeStamp]]-Table6[[#This Row],[Fault Start TimeStamp]])*24)</f>
        <v>0</v>
      </c>
      <c r="S270" s="261">
        <f>(Table6[[#This Row],[Fault Clearance time]]-Table6[[#This Row],[Work Start TimeStamp]])*24</f>
        <v>0.14999999999999947</v>
      </c>
      <c r="T270" s="261">
        <f>(Table6[[#This Row],[Fault Clearance time]]-Table6[[#This Row],[Fault Start TimeStamp]])*24</f>
        <v>0.14999999999999947</v>
      </c>
      <c r="U270" s="35" t="s">
        <v>320</v>
      </c>
      <c r="V270" s="102" t="s">
        <v>268</v>
      </c>
      <c r="W270" s="267">
        <f>IFERROR(Table6[[#This Row],[Breakdown Time]]*Table6[[#This Row],[Plant Equivalent Weightage]],"")</f>
        <v>5.769230769230747E-3</v>
      </c>
      <c r="X270" s="262" t="s">
        <v>296</v>
      </c>
      <c r="Y270" s="263" t="s">
        <v>119</v>
      </c>
      <c r="Z270" s="102">
        <v>38564</v>
      </c>
      <c r="AA270" s="257">
        <f>(Table6[[#This Row],[Paired WTG Generation for loss calculation]]/24)*Table6[[#This Row],[Breakdown Time]]</f>
        <v>241.02499999999912</v>
      </c>
      <c r="AB270" s="102"/>
      <c r="AC270" s="35"/>
      <c r="AD270" s="35"/>
    </row>
    <row r="271" spans="1:30">
      <c r="A271" s="102">
        <f t="shared" si="5"/>
        <v>270</v>
      </c>
      <c r="B271" s="257">
        <f>YEAR(Table6[[#This Row],[Date]])+IF(MONTH(Table6[[#This Row],[Date]])&gt;=4,1,0)</f>
        <v>2026</v>
      </c>
      <c r="C271" s="102">
        <f>YEAR(Table6[[#This Row],[Date]])</f>
        <v>2025</v>
      </c>
      <c r="D271" s="102" t="s">
        <v>265</v>
      </c>
      <c r="E271" s="258">
        <f>Table6[[#This Row],[Date]]-DAY(Table6[[#This Row],[Date]])+1</f>
        <v>45748</v>
      </c>
      <c r="F271" s="259">
        <v>45764</v>
      </c>
      <c r="G271" s="35" t="s">
        <v>118</v>
      </c>
      <c r="H271" s="35" t="str">
        <f>IFERROR(_xlfn.XLOOKUP(Table6[[#This Row],[Affected WTG]],'Basic Data'!$A:$A,'Basic Data'!$B:$B),"")</f>
        <v>TQGXIIPL</v>
      </c>
      <c r="I271" s="35" t="str">
        <f>IFERROR(_xlfn.XLOOKUP(Table6[[#This Row],[Affected WTG]],'Basic Data'!$A:$A,'Basic Data'!$C:$C),"")</f>
        <v>GEDA</v>
      </c>
      <c r="J271" s="260">
        <f>IFERROR(_xlfn.XLOOKUP(Table6[[#This Row],[Affected WTG]],'Basic Data'!$A:$A,'Basic Data'!$E:$E),"")</f>
        <v>3.846153846153845E-2</v>
      </c>
      <c r="K271" s="102">
        <v>55</v>
      </c>
      <c r="L271" s="35" t="str">
        <f>IFERROR(_xlfn.XLOOKUP(Table6[[#This Row],[Error Code]],'Basic Data'!$AA:$AA,'Basic Data'!$AB:$AB),"Incorrect Error Code")</f>
        <v>WTG shut down</v>
      </c>
      <c r="M271" s="35" t="s">
        <v>266</v>
      </c>
      <c r="N271" s="264"/>
      <c r="O271" s="265">
        <v>0.77847222222222223</v>
      </c>
      <c r="P271" s="265">
        <v>0.77847222222222223</v>
      </c>
      <c r="Q271" s="266">
        <v>0.78680555555555554</v>
      </c>
      <c r="R271" s="261">
        <f>IF(Table6[[#This Row],[Work Start TimeStamp]]="","",(Table6[[#This Row],[Work Start TimeStamp]]-Table6[[#This Row],[Fault Start TimeStamp]])*24)</f>
        <v>0</v>
      </c>
      <c r="S271" s="261">
        <f>(Table6[[#This Row],[Fault Clearance time]]-Table6[[#This Row],[Work Start TimeStamp]])*24</f>
        <v>0.19999999999999929</v>
      </c>
      <c r="T271" s="261">
        <f>(Table6[[#This Row],[Fault Clearance time]]-Table6[[#This Row],[Fault Start TimeStamp]])*24</f>
        <v>0.19999999999999929</v>
      </c>
      <c r="U271" s="35" t="s">
        <v>320</v>
      </c>
      <c r="V271" s="102" t="s">
        <v>268</v>
      </c>
      <c r="W271" s="267">
        <f>IFERROR(Table6[[#This Row],[Breakdown Time]]*Table6[[#This Row],[Plant Equivalent Weightage]],"")</f>
        <v>7.6923076923076624E-3</v>
      </c>
      <c r="X271" s="262" t="s">
        <v>296</v>
      </c>
      <c r="Y271" s="263" t="s">
        <v>121</v>
      </c>
      <c r="Z271" s="102">
        <v>36587</v>
      </c>
      <c r="AA271" s="257">
        <f>(Table6[[#This Row],[Paired WTG Generation for loss calculation]]/24)*Table6[[#This Row],[Breakdown Time]]</f>
        <v>304.89166666666557</v>
      </c>
      <c r="AB271" s="102"/>
      <c r="AC271" s="35"/>
      <c r="AD271" s="35"/>
    </row>
    <row r="272" spans="1:30">
      <c r="A272" s="102">
        <f t="shared" si="5"/>
        <v>271</v>
      </c>
      <c r="B272" s="257">
        <f>YEAR(Table6[[#This Row],[Date]])+IF(MONTH(Table6[[#This Row],[Date]])&gt;=4,1,0)</f>
        <v>2026</v>
      </c>
      <c r="C272" s="102">
        <f>YEAR(Table6[[#This Row],[Date]])</f>
        <v>2025</v>
      </c>
      <c r="D272" s="102" t="s">
        <v>265</v>
      </c>
      <c r="E272" s="258">
        <f>Table6[[#This Row],[Date]]-DAY(Table6[[#This Row],[Date]])+1</f>
        <v>45748</v>
      </c>
      <c r="F272" s="259">
        <v>45764</v>
      </c>
      <c r="G272" s="35" t="s">
        <v>119</v>
      </c>
      <c r="H272" s="35" t="str">
        <f>IFERROR(_xlfn.XLOOKUP(Table6[[#This Row],[Affected WTG]],'Basic Data'!$A:$A,'Basic Data'!$B:$B),"")</f>
        <v>TQGXIIPL</v>
      </c>
      <c r="I272" s="35" t="str">
        <f>IFERROR(_xlfn.XLOOKUP(Table6[[#This Row],[Affected WTG]],'Basic Data'!$A:$A,'Basic Data'!$C:$C),"")</f>
        <v>GEDA</v>
      </c>
      <c r="J272" s="260">
        <f>IFERROR(_xlfn.XLOOKUP(Table6[[#This Row],[Affected WTG]],'Basic Data'!$A:$A,'Basic Data'!$E:$E),"")</f>
        <v>3.846153846153845E-2</v>
      </c>
      <c r="K272" s="102">
        <v>3110</v>
      </c>
      <c r="L272" s="35" t="str">
        <f>IFERROR(_xlfn.XLOOKUP(Table6[[#This Row],[Error Code]],'Basic Data'!$AA:$AA,'Basic Data'!$AB:$AB),"Incorrect Error Code")</f>
        <v>Frequency converter error</v>
      </c>
      <c r="M272" s="35" t="s">
        <v>266</v>
      </c>
      <c r="N272" s="264"/>
      <c r="O272" s="265">
        <v>0.15138888888888888</v>
      </c>
      <c r="P272" s="265">
        <v>0.15138888888888888</v>
      </c>
      <c r="Q272" s="266">
        <v>0.15833333333333333</v>
      </c>
      <c r="R272" s="261">
        <f>IF(Table6[[#This Row],[Work Start TimeStamp]]="","",(Table6[[#This Row],[Work Start TimeStamp]]-Table6[[#This Row],[Fault Start TimeStamp]])*24)</f>
        <v>0</v>
      </c>
      <c r="S272" s="261">
        <f>(Table6[[#This Row],[Fault Clearance time]]-Table6[[#This Row],[Work Start TimeStamp]])*24</f>
        <v>0.16666666666666674</v>
      </c>
      <c r="T272" s="261">
        <f>(Table6[[#This Row],[Fault Clearance time]]-Table6[[#This Row],[Fault Start TimeStamp]])*24</f>
        <v>0.16666666666666674</v>
      </c>
      <c r="U272" s="35" t="s">
        <v>267</v>
      </c>
      <c r="V272" s="102" t="s">
        <v>268</v>
      </c>
      <c r="W272" s="267">
        <f>IFERROR(Table6[[#This Row],[Breakdown Time]]*Table6[[#This Row],[Plant Equivalent Weightage]],"")</f>
        <v>6.4102564102564109E-3</v>
      </c>
      <c r="X272" s="262" t="s">
        <v>269</v>
      </c>
      <c r="Y272" s="263" t="s">
        <v>116</v>
      </c>
      <c r="Z272" s="102">
        <v>37275</v>
      </c>
      <c r="AA272" s="257">
        <f>(Table6[[#This Row],[Paired WTG Generation for loss calculation]]/24)*Table6[[#This Row],[Breakdown Time]]</f>
        <v>258.8541666666668</v>
      </c>
      <c r="AB272" s="102"/>
      <c r="AC272" s="35"/>
      <c r="AD272" s="35"/>
    </row>
    <row r="273" spans="1:30">
      <c r="A273" s="102">
        <f t="shared" si="5"/>
        <v>272</v>
      </c>
      <c r="B273" s="257">
        <f>YEAR(Table6[[#This Row],[Date]])+IF(MONTH(Table6[[#This Row],[Date]])&gt;=4,1,0)</f>
        <v>2026</v>
      </c>
      <c r="C273" s="102">
        <f>YEAR(Table6[[#This Row],[Date]])</f>
        <v>2025</v>
      </c>
      <c r="D273" s="102" t="s">
        <v>265</v>
      </c>
      <c r="E273" s="258">
        <f>Table6[[#This Row],[Date]]-DAY(Table6[[#This Row],[Date]])+1</f>
        <v>45748</v>
      </c>
      <c r="F273" s="259">
        <v>45764</v>
      </c>
      <c r="G273" s="35" t="s">
        <v>119</v>
      </c>
      <c r="H273" s="35" t="str">
        <f>IFERROR(_xlfn.XLOOKUP(Table6[[#This Row],[Affected WTG]],'Basic Data'!$A:$A,'Basic Data'!$B:$B),"")</f>
        <v>TQGXIIPL</v>
      </c>
      <c r="I273" s="35" t="str">
        <f>IFERROR(_xlfn.XLOOKUP(Table6[[#This Row],[Affected WTG]],'Basic Data'!$A:$A,'Basic Data'!$C:$C),"")</f>
        <v>GEDA</v>
      </c>
      <c r="J273" s="260">
        <f>IFERROR(_xlfn.XLOOKUP(Table6[[#This Row],[Affected WTG]],'Basic Data'!$A:$A,'Basic Data'!$E:$E),"")</f>
        <v>3.846153846153845E-2</v>
      </c>
      <c r="K273" s="102">
        <v>3110</v>
      </c>
      <c r="L273" s="35" t="str">
        <f>IFERROR(_xlfn.XLOOKUP(Table6[[#This Row],[Error Code]],'Basic Data'!$AA:$AA,'Basic Data'!$AB:$AB),"Incorrect Error Code")</f>
        <v>Frequency converter error</v>
      </c>
      <c r="M273" s="35" t="s">
        <v>266</v>
      </c>
      <c r="N273" s="264"/>
      <c r="O273" s="265">
        <v>0.18333333333333332</v>
      </c>
      <c r="P273" s="265">
        <v>0.18333333333333332</v>
      </c>
      <c r="Q273" s="266">
        <v>0.19652777777777777</v>
      </c>
      <c r="R273" s="261">
        <f>IF(Table6[[#This Row],[Work Start TimeStamp]]="","",(Table6[[#This Row],[Work Start TimeStamp]]-Table6[[#This Row],[Fault Start TimeStamp]])*24)</f>
        <v>0</v>
      </c>
      <c r="S273" s="261">
        <f>(Table6[[#This Row],[Fault Clearance time]]-Table6[[#This Row],[Work Start TimeStamp]])*24</f>
        <v>0.31666666666666687</v>
      </c>
      <c r="T273" s="261">
        <f>(Table6[[#This Row],[Fault Clearance time]]-Table6[[#This Row],[Fault Start TimeStamp]])*24</f>
        <v>0.31666666666666687</v>
      </c>
      <c r="U273" s="35" t="s">
        <v>267</v>
      </c>
      <c r="V273" s="102" t="s">
        <v>268</v>
      </c>
      <c r="W273" s="267">
        <f>IFERROR(Table6[[#This Row],[Breakdown Time]]*Table6[[#This Row],[Plant Equivalent Weightage]],"")</f>
        <v>1.2179487179487183E-2</v>
      </c>
      <c r="X273" s="262" t="s">
        <v>269</v>
      </c>
      <c r="Y273" s="263" t="s">
        <v>116</v>
      </c>
      <c r="Z273" s="102">
        <v>37275</v>
      </c>
      <c r="AA273" s="257">
        <f>(Table6[[#This Row],[Paired WTG Generation for loss calculation]]/24)*Table6[[#This Row],[Breakdown Time]]</f>
        <v>491.82291666666697</v>
      </c>
      <c r="AB273" s="102"/>
      <c r="AC273" s="35"/>
      <c r="AD273" s="35"/>
    </row>
    <row r="274" spans="1:30">
      <c r="A274" s="102">
        <f t="shared" si="5"/>
        <v>273</v>
      </c>
      <c r="B274" s="257">
        <f>YEAR(Table6[[#This Row],[Date]])+IF(MONTH(Table6[[#This Row],[Date]])&gt;=4,1,0)</f>
        <v>2026</v>
      </c>
      <c r="C274" s="102">
        <f>YEAR(Table6[[#This Row],[Date]])</f>
        <v>2025</v>
      </c>
      <c r="D274" s="102" t="s">
        <v>265</v>
      </c>
      <c r="E274" s="258">
        <f>Table6[[#This Row],[Date]]-DAY(Table6[[#This Row],[Date]])+1</f>
        <v>45748</v>
      </c>
      <c r="F274" s="259">
        <v>45764</v>
      </c>
      <c r="G274" s="35" t="s">
        <v>119</v>
      </c>
      <c r="H274" s="35" t="str">
        <f>IFERROR(_xlfn.XLOOKUP(Table6[[#This Row],[Affected WTG]],'Basic Data'!$A:$A,'Basic Data'!$B:$B),"")</f>
        <v>TQGXIIPL</v>
      </c>
      <c r="I274" s="35" t="str">
        <f>IFERROR(_xlfn.XLOOKUP(Table6[[#This Row],[Affected WTG]],'Basic Data'!$A:$A,'Basic Data'!$C:$C),"")</f>
        <v>GEDA</v>
      </c>
      <c r="J274" s="260">
        <f>IFERROR(_xlfn.XLOOKUP(Table6[[#This Row],[Affected WTG]],'Basic Data'!$A:$A,'Basic Data'!$E:$E),"")</f>
        <v>3.846153846153845E-2</v>
      </c>
      <c r="K274" s="102">
        <v>3110</v>
      </c>
      <c r="L274" s="35" t="str">
        <f>IFERROR(_xlfn.XLOOKUP(Table6[[#This Row],[Error Code]],'Basic Data'!$AA:$AA,'Basic Data'!$AB:$AB),"Incorrect Error Code")</f>
        <v>Frequency converter error</v>
      </c>
      <c r="M274" s="35" t="s">
        <v>266</v>
      </c>
      <c r="N274" s="264"/>
      <c r="O274" s="265">
        <v>0.46041666666666664</v>
      </c>
      <c r="P274" s="265">
        <v>0.46041666666666664</v>
      </c>
      <c r="Q274" s="266">
        <v>0.50972222222222219</v>
      </c>
      <c r="R274" s="261">
        <f>IF(Table6[[#This Row],[Work Start TimeStamp]]="","",(Table6[[#This Row],[Work Start TimeStamp]]-Table6[[#This Row],[Fault Start TimeStamp]])*24)</f>
        <v>0</v>
      </c>
      <c r="S274" s="261">
        <f>(Table6[[#This Row],[Fault Clearance time]]-Table6[[#This Row],[Work Start TimeStamp]])*24</f>
        <v>1.1833333333333331</v>
      </c>
      <c r="T274" s="261">
        <f>(Table6[[#This Row],[Fault Clearance time]]-Table6[[#This Row],[Fault Start TimeStamp]])*24</f>
        <v>1.1833333333333331</v>
      </c>
      <c r="U274" s="35" t="s">
        <v>343</v>
      </c>
      <c r="V274" s="102" t="s">
        <v>268</v>
      </c>
      <c r="W274" s="267">
        <f>IFERROR(Table6[[#This Row],[Breakdown Time]]*Table6[[#This Row],[Plant Equivalent Weightage]],"")</f>
        <v>4.551282051282049E-2</v>
      </c>
      <c r="X274" s="262" t="s">
        <v>269</v>
      </c>
      <c r="Y274" s="263" t="s">
        <v>116</v>
      </c>
      <c r="Z274" s="102">
        <v>37275</v>
      </c>
      <c r="AA274" s="257">
        <f>(Table6[[#This Row],[Paired WTG Generation for loss calculation]]/24)*Table6[[#This Row],[Breakdown Time]]</f>
        <v>1837.864583333333</v>
      </c>
      <c r="AB274" s="102"/>
      <c r="AC274" s="35"/>
      <c r="AD274" s="35"/>
    </row>
    <row r="275" spans="1:30">
      <c r="A275" s="102">
        <f t="shared" si="5"/>
        <v>274</v>
      </c>
      <c r="B275" s="257">
        <f>YEAR(Table6[[#This Row],[Date]])+IF(MONTH(Table6[[#This Row],[Date]])&gt;=4,1,0)</f>
        <v>2026</v>
      </c>
      <c r="C275" s="102">
        <f>YEAR(Table6[[#This Row],[Date]])</f>
        <v>2025</v>
      </c>
      <c r="D275" s="102" t="s">
        <v>265</v>
      </c>
      <c r="E275" s="258">
        <f>Table6[[#This Row],[Date]]-DAY(Table6[[#This Row],[Date]])+1</f>
        <v>45748</v>
      </c>
      <c r="F275" s="259">
        <v>45764</v>
      </c>
      <c r="G275" s="35" t="s">
        <v>121</v>
      </c>
      <c r="H275" s="35" t="str">
        <f>IFERROR(_xlfn.XLOOKUP(Table6[[#This Row],[Affected WTG]],'Basic Data'!$A:$A,'Basic Data'!$B:$B),"")</f>
        <v>TQGXIIPL</v>
      </c>
      <c r="I275" s="35" t="str">
        <f>IFERROR(_xlfn.XLOOKUP(Table6[[#This Row],[Affected WTG]],'Basic Data'!$A:$A,'Basic Data'!$C:$C),"")</f>
        <v>GEDA</v>
      </c>
      <c r="J275" s="260">
        <f>IFERROR(_xlfn.XLOOKUP(Table6[[#This Row],[Affected WTG]],'Basic Data'!$A:$A,'Basic Data'!$E:$E),"")</f>
        <v>3.846153846153845E-2</v>
      </c>
      <c r="K275" s="102">
        <v>55</v>
      </c>
      <c r="L275" s="35" t="str">
        <f>IFERROR(_xlfn.XLOOKUP(Table6[[#This Row],[Error Code]],'Basic Data'!$AA:$AA,'Basic Data'!$AB:$AB),"Incorrect Error Code")</f>
        <v>WTG shut down</v>
      </c>
      <c r="M275" s="35" t="s">
        <v>266</v>
      </c>
      <c r="N275" s="264"/>
      <c r="O275" s="265">
        <v>0.78541666666666665</v>
      </c>
      <c r="P275" s="265">
        <v>0.78541666666666665</v>
      </c>
      <c r="Q275" s="266">
        <v>0.79305555555555551</v>
      </c>
      <c r="R275" s="261">
        <f>IF(Table6[[#This Row],[Work Start TimeStamp]]="","",(Table6[[#This Row],[Work Start TimeStamp]]-Table6[[#This Row],[Fault Start TimeStamp]])*24)</f>
        <v>0</v>
      </c>
      <c r="S275" s="261">
        <f>(Table6[[#This Row],[Fault Clearance time]]-Table6[[#This Row],[Work Start TimeStamp]])*24</f>
        <v>0.18333333333333268</v>
      </c>
      <c r="T275" s="261">
        <f>(Table6[[#This Row],[Fault Clearance time]]-Table6[[#This Row],[Fault Start TimeStamp]])*24</f>
        <v>0.18333333333333268</v>
      </c>
      <c r="U275" s="35" t="s">
        <v>320</v>
      </c>
      <c r="V275" s="102" t="s">
        <v>268</v>
      </c>
      <c r="W275" s="267">
        <f>IFERROR(Table6[[#This Row],[Breakdown Time]]*Table6[[#This Row],[Plant Equivalent Weightage]],"")</f>
        <v>7.0512820512820245E-3</v>
      </c>
      <c r="X275" s="262" t="s">
        <v>296</v>
      </c>
      <c r="Y275" s="263" t="s">
        <v>118</v>
      </c>
      <c r="Z275" s="102">
        <v>40506</v>
      </c>
      <c r="AA275" s="257">
        <f>(Table6[[#This Row],[Paired WTG Generation for loss calculation]]/24)*Table6[[#This Row],[Breakdown Time]]</f>
        <v>309.42083333333221</v>
      </c>
      <c r="AB275" s="102"/>
      <c r="AC275" s="35"/>
      <c r="AD275" s="35"/>
    </row>
    <row r="276" spans="1:30">
      <c r="A276" s="102">
        <f t="shared" si="5"/>
        <v>275</v>
      </c>
      <c r="B276" s="257">
        <f>YEAR(Table6[[#This Row],[Date]])+IF(MONTH(Table6[[#This Row],[Date]])&gt;=4,1,0)</f>
        <v>2026</v>
      </c>
      <c r="C276" s="102">
        <f>YEAR(Table6[[#This Row],[Date]])</f>
        <v>2025</v>
      </c>
      <c r="D276" s="102" t="s">
        <v>265</v>
      </c>
      <c r="E276" s="258">
        <f>Table6[[#This Row],[Date]]-DAY(Table6[[#This Row],[Date]])+1</f>
        <v>45748</v>
      </c>
      <c r="F276" s="259">
        <v>45764</v>
      </c>
      <c r="G276" s="35" t="s">
        <v>122</v>
      </c>
      <c r="H276" s="35" t="str">
        <f>IFERROR(_xlfn.XLOOKUP(Table6[[#This Row],[Affected WTG]],'Basic Data'!$A:$A,'Basic Data'!$B:$B),"")</f>
        <v>TQGXIIPL</v>
      </c>
      <c r="I276" s="35" t="str">
        <f>IFERROR(_xlfn.XLOOKUP(Table6[[#This Row],[Affected WTG]],'Basic Data'!$A:$A,'Basic Data'!$C:$C),"")</f>
        <v>GEDA</v>
      </c>
      <c r="J276" s="260">
        <f>IFERROR(_xlfn.XLOOKUP(Table6[[#This Row],[Affected WTG]],'Basic Data'!$A:$A,'Basic Data'!$E:$E),"")</f>
        <v>3.846153846153845E-2</v>
      </c>
      <c r="K276" s="102">
        <v>6056</v>
      </c>
      <c r="L276" s="35" t="str">
        <f>IFERROR(_xlfn.XLOOKUP(Table6[[#This Row],[Error Code]],'Basic Data'!$AA:$AA,'Basic Data'!$AB:$AB),"Incorrect Error Code")</f>
        <v>High yaw load</v>
      </c>
      <c r="M276" s="35" t="s">
        <v>278</v>
      </c>
      <c r="N276" s="264"/>
      <c r="O276" s="265">
        <v>0.62708333333333333</v>
      </c>
      <c r="P276" s="265">
        <v>0.62708333333333333</v>
      </c>
      <c r="Q276" s="266">
        <v>0.62916666666666665</v>
      </c>
      <c r="R276" s="261">
        <f>IF(Table6[[#This Row],[Work Start TimeStamp]]="","",(Table6[[#This Row],[Work Start TimeStamp]]-Table6[[#This Row],[Fault Start TimeStamp]])*24)</f>
        <v>0</v>
      </c>
      <c r="S276" s="261">
        <f>(Table6[[#This Row],[Fault Clearance time]]-Table6[[#This Row],[Work Start TimeStamp]])*24</f>
        <v>4.9999999999999822E-2</v>
      </c>
      <c r="T276" s="261">
        <f>(Table6[[#This Row],[Fault Clearance time]]-Table6[[#This Row],[Fault Start TimeStamp]])*24</f>
        <v>4.9999999999999822E-2</v>
      </c>
      <c r="U276" s="35" t="s">
        <v>277</v>
      </c>
      <c r="V276" s="102" t="s">
        <v>268</v>
      </c>
      <c r="W276" s="267">
        <f>IFERROR(Table6[[#This Row],[Breakdown Time]]*Table6[[#This Row],[Plant Equivalent Weightage]],"")</f>
        <v>1.9230769230769156E-3</v>
      </c>
      <c r="X276" s="262" t="s">
        <v>269</v>
      </c>
      <c r="Y276" s="263" t="s">
        <v>140</v>
      </c>
      <c r="Z276" s="102">
        <v>36110</v>
      </c>
      <c r="AA276" s="257">
        <f>(Table6[[#This Row],[Paired WTG Generation for loss calculation]]/24)*Table6[[#This Row],[Breakdown Time]]</f>
        <v>75.229166666666401</v>
      </c>
      <c r="AB276" s="102"/>
      <c r="AC276" s="35"/>
      <c r="AD276" s="35"/>
    </row>
    <row r="277" spans="1:30">
      <c r="A277" s="102">
        <f t="shared" si="5"/>
        <v>276</v>
      </c>
      <c r="B277" s="257">
        <f>YEAR(Table6[[#This Row],[Date]])+IF(MONTH(Table6[[#This Row],[Date]])&gt;=4,1,0)</f>
        <v>2026</v>
      </c>
      <c r="C277" s="102">
        <f>YEAR(Table6[[#This Row],[Date]])</f>
        <v>2025</v>
      </c>
      <c r="D277" s="102" t="s">
        <v>265</v>
      </c>
      <c r="E277" s="258">
        <f>Table6[[#This Row],[Date]]-DAY(Table6[[#This Row],[Date]])+1</f>
        <v>45748</v>
      </c>
      <c r="F277" s="259">
        <v>45764</v>
      </c>
      <c r="G277" s="35" t="s">
        <v>122</v>
      </c>
      <c r="H277" s="35" t="str">
        <f>IFERROR(_xlfn.XLOOKUP(Table6[[#This Row],[Affected WTG]],'Basic Data'!$A:$A,'Basic Data'!$B:$B),"")</f>
        <v>TQGXIIPL</v>
      </c>
      <c r="I277" s="35" t="str">
        <f>IFERROR(_xlfn.XLOOKUP(Table6[[#This Row],[Affected WTG]],'Basic Data'!$A:$A,'Basic Data'!$C:$C),"")</f>
        <v>GEDA</v>
      </c>
      <c r="J277" s="260">
        <f>IFERROR(_xlfn.XLOOKUP(Table6[[#This Row],[Affected WTG]],'Basic Data'!$A:$A,'Basic Data'!$E:$E),"")</f>
        <v>3.846153846153845E-2</v>
      </c>
      <c r="K277" s="102">
        <v>55</v>
      </c>
      <c r="L277" s="35" t="str">
        <f>IFERROR(_xlfn.XLOOKUP(Table6[[#This Row],[Error Code]],'Basic Data'!$AA:$AA,'Basic Data'!$AB:$AB),"Incorrect Error Code")</f>
        <v>WTG shut down</v>
      </c>
      <c r="M277" s="35" t="s">
        <v>266</v>
      </c>
      <c r="N277" s="264"/>
      <c r="O277" s="265">
        <v>0.75</v>
      </c>
      <c r="P277" s="265">
        <v>0.75</v>
      </c>
      <c r="Q277" s="266">
        <v>0.75694444444444442</v>
      </c>
      <c r="R277" s="261">
        <f>IF(Table6[[#This Row],[Work Start TimeStamp]]="","",(Table6[[#This Row],[Work Start TimeStamp]]-Table6[[#This Row],[Fault Start TimeStamp]])*24)</f>
        <v>0</v>
      </c>
      <c r="S277" s="261">
        <f>(Table6[[#This Row],[Fault Clearance time]]-Table6[[#This Row],[Work Start TimeStamp]])*24</f>
        <v>0.16666666666666607</v>
      </c>
      <c r="T277" s="261">
        <f>(Table6[[#This Row],[Fault Clearance time]]-Table6[[#This Row],[Fault Start TimeStamp]])*24</f>
        <v>0.16666666666666607</v>
      </c>
      <c r="U277" s="35" t="s">
        <v>320</v>
      </c>
      <c r="V277" s="102" t="s">
        <v>268</v>
      </c>
      <c r="W277" s="267">
        <f>IFERROR(Table6[[#This Row],[Breakdown Time]]*Table6[[#This Row],[Plant Equivalent Weightage]],"")</f>
        <v>6.4102564102563857E-3</v>
      </c>
      <c r="X277" s="262" t="s">
        <v>296</v>
      </c>
      <c r="Y277" s="263" t="s">
        <v>140</v>
      </c>
      <c r="Z277" s="102">
        <v>36110</v>
      </c>
      <c r="AA277" s="257">
        <f>(Table6[[#This Row],[Paired WTG Generation for loss calculation]]/24)*Table6[[#This Row],[Breakdown Time]]</f>
        <v>250.76388888888798</v>
      </c>
      <c r="AB277" s="102"/>
      <c r="AC277" s="35"/>
      <c r="AD277" s="35"/>
    </row>
    <row r="278" spans="1:30">
      <c r="A278" s="102">
        <f t="shared" si="5"/>
        <v>277</v>
      </c>
      <c r="B278" s="257">
        <f>YEAR(Table6[[#This Row],[Date]])+IF(MONTH(Table6[[#This Row],[Date]])&gt;=4,1,0)</f>
        <v>2026</v>
      </c>
      <c r="C278" s="102">
        <f>YEAR(Table6[[#This Row],[Date]])</f>
        <v>2025</v>
      </c>
      <c r="D278" s="102" t="s">
        <v>265</v>
      </c>
      <c r="E278" s="258">
        <f>Table6[[#This Row],[Date]]-DAY(Table6[[#This Row],[Date]])+1</f>
        <v>45748</v>
      </c>
      <c r="F278" s="259">
        <v>45764</v>
      </c>
      <c r="G278" s="35" t="s">
        <v>124</v>
      </c>
      <c r="H278" s="35" t="str">
        <f>IFERROR(_xlfn.XLOOKUP(Table6[[#This Row],[Affected WTG]],'Basic Data'!$A:$A,'Basic Data'!$B:$B),"")</f>
        <v>TQGXIIPL</v>
      </c>
      <c r="I278" s="35" t="str">
        <f>IFERROR(_xlfn.XLOOKUP(Table6[[#This Row],[Affected WTG]],'Basic Data'!$A:$A,'Basic Data'!$C:$C),"")</f>
        <v>GEDA</v>
      </c>
      <c r="J278" s="260">
        <f>IFERROR(_xlfn.XLOOKUP(Table6[[#This Row],[Affected WTG]],'Basic Data'!$A:$A,'Basic Data'!$E:$E),"")</f>
        <v>3.846153846153845E-2</v>
      </c>
      <c r="K278" s="102">
        <v>6056</v>
      </c>
      <c r="L278" s="35" t="str">
        <f>IFERROR(_xlfn.XLOOKUP(Table6[[#This Row],[Error Code]],'Basic Data'!$AA:$AA,'Basic Data'!$AB:$AB),"Incorrect Error Code")</f>
        <v>High yaw load</v>
      </c>
      <c r="M278" s="35" t="s">
        <v>278</v>
      </c>
      <c r="N278" s="264"/>
      <c r="O278" s="265">
        <v>0.57708333333333328</v>
      </c>
      <c r="P278" s="265">
        <v>0.57708333333333328</v>
      </c>
      <c r="Q278" s="266">
        <v>0.57847222222222228</v>
      </c>
      <c r="R278" s="261">
        <f>IF(Table6[[#This Row],[Work Start TimeStamp]]="","",(Table6[[#This Row],[Work Start TimeStamp]]-Table6[[#This Row],[Fault Start TimeStamp]])*24)</f>
        <v>0</v>
      </c>
      <c r="S278" s="261">
        <f>(Table6[[#This Row],[Fault Clearance time]]-Table6[[#This Row],[Work Start TimeStamp]])*24</f>
        <v>3.3333333333335879E-2</v>
      </c>
      <c r="T278" s="261">
        <f>(Table6[[#This Row],[Fault Clearance time]]-Table6[[#This Row],[Fault Start TimeStamp]])*24</f>
        <v>3.3333333333335879E-2</v>
      </c>
      <c r="U278" s="35" t="s">
        <v>277</v>
      </c>
      <c r="V278" s="102" t="s">
        <v>268</v>
      </c>
      <c r="W278" s="267">
        <f>IFERROR(Table6[[#This Row],[Breakdown Time]]*Table6[[#This Row],[Plant Equivalent Weightage]],"")</f>
        <v>1.2820512820513796E-3</v>
      </c>
      <c r="X278" s="262" t="s">
        <v>269</v>
      </c>
      <c r="Y278" s="263" t="s">
        <v>129</v>
      </c>
      <c r="Z278" s="102">
        <v>32423</v>
      </c>
      <c r="AA278" s="257">
        <f>(Table6[[#This Row],[Paired WTG Generation for loss calculation]]/24)*Table6[[#This Row],[Breakdown Time]]</f>
        <v>45.03194444444788</v>
      </c>
      <c r="AB278" s="102"/>
      <c r="AC278" s="35"/>
      <c r="AD278" s="35"/>
    </row>
    <row r="279" spans="1:30">
      <c r="A279" s="102">
        <f t="shared" si="5"/>
        <v>278</v>
      </c>
      <c r="B279" s="257">
        <f>YEAR(Table6[[#This Row],[Date]])+IF(MONTH(Table6[[#This Row],[Date]])&gt;=4,1,0)</f>
        <v>2026</v>
      </c>
      <c r="C279" s="102">
        <f>YEAR(Table6[[#This Row],[Date]])</f>
        <v>2025</v>
      </c>
      <c r="D279" s="102" t="s">
        <v>265</v>
      </c>
      <c r="E279" s="258">
        <f>Table6[[#This Row],[Date]]-DAY(Table6[[#This Row],[Date]])+1</f>
        <v>45748</v>
      </c>
      <c r="F279" s="259">
        <v>45764</v>
      </c>
      <c r="G279" s="35" t="s">
        <v>124</v>
      </c>
      <c r="H279" s="35" t="str">
        <f>IFERROR(_xlfn.XLOOKUP(Table6[[#This Row],[Affected WTG]],'Basic Data'!$A:$A,'Basic Data'!$B:$B),"")</f>
        <v>TQGXIIPL</v>
      </c>
      <c r="I279" s="35" t="str">
        <f>IFERROR(_xlfn.XLOOKUP(Table6[[#This Row],[Affected WTG]],'Basic Data'!$A:$A,'Basic Data'!$C:$C),"")</f>
        <v>GEDA</v>
      </c>
      <c r="J279" s="260">
        <f>IFERROR(_xlfn.XLOOKUP(Table6[[#This Row],[Affected WTG]],'Basic Data'!$A:$A,'Basic Data'!$E:$E),"")</f>
        <v>3.846153846153845E-2</v>
      </c>
      <c r="K279" s="102">
        <v>55</v>
      </c>
      <c r="L279" s="35" t="str">
        <f>IFERROR(_xlfn.XLOOKUP(Table6[[#This Row],[Error Code]],'Basic Data'!$AA:$AA,'Basic Data'!$AB:$AB),"Incorrect Error Code")</f>
        <v>WTG shut down</v>
      </c>
      <c r="M279" s="35" t="s">
        <v>266</v>
      </c>
      <c r="N279" s="264"/>
      <c r="O279" s="265">
        <v>0.72361111111111109</v>
      </c>
      <c r="P279" s="265">
        <v>0.72361111111111109</v>
      </c>
      <c r="Q279" s="266">
        <v>0.72916666666666663</v>
      </c>
      <c r="R279" s="261">
        <f>IF(Table6[[#This Row],[Work Start TimeStamp]]="","",(Table6[[#This Row],[Work Start TimeStamp]]-Table6[[#This Row],[Fault Start TimeStamp]])*24)</f>
        <v>0</v>
      </c>
      <c r="S279" s="261">
        <f>(Table6[[#This Row],[Fault Clearance time]]-Table6[[#This Row],[Work Start TimeStamp]])*24</f>
        <v>0.13333333333333286</v>
      </c>
      <c r="T279" s="261">
        <f>(Table6[[#This Row],[Fault Clearance time]]-Table6[[#This Row],[Fault Start TimeStamp]])*24</f>
        <v>0.13333333333333286</v>
      </c>
      <c r="U279" s="35" t="s">
        <v>320</v>
      </c>
      <c r="V279" s="102" t="s">
        <v>268</v>
      </c>
      <c r="W279" s="267">
        <f>IFERROR(Table6[[#This Row],[Breakdown Time]]*Table6[[#This Row],[Plant Equivalent Weightage]],"")</f>
        <v>5.1282051282051083E-3</v>
      </c>
      <c r="X279" s="262" t="s">
        <v>296</v>
      </c>
      <c r="Y279" s="263" t="s">
        <v>129</v>
      </c>
      <c r="Z279" s="102">
        <v>32423</v>
      </c>
      <c r="AA279" s="257">
        <f>(Table6[[#This Row],[Paired WTG Generation for loss calculation]]/24)*Table6[[#This Row],[Breakdown Time]]</f>
        <v>180.12777777777714</v>
      </c>
      <c r="AB279" s="102"/>
      <c r="AC279" s="35"/>
      <c r="AD279" s="35"/>
    </row>
    <row r="280" spans="1:30">
      <c r="A280" s="102">
        <f t="shared" si="5"/>
        <v>279</v>
      </c>
      <c r="B280" s="257">
        <f>YEAR(Table6[[#This Row],[Date]])+IF(MONTH(Table6[[#This Row],[Date]])&gt;=4,1,0)</f>
        <v>2026</v>
      </c>
      <c r="C280" s="102">
        <f>YEAR(Table6[[#This Row],[Date]])</f>
        <v>2025</v>
      </c>
      <c r="D280" s="102" t="s">
        <v>265</v>
      </c>
      <c r="E280" s="258">
        <f>Table6[[#This Row],[Date]]-DAY(Table6[[#This Row],[Date]])+1</f>
        <v>45748</v>
      </c>
      <c r="F280" s="259">
        <v>45764</v>
      </c>
      <c r="G280" s="35" t="s">
        <v>125</v>
      </c>
      <c r="H280" s="35" t="str">
        <f>IFERROR(_xlfn.XLOOKUP(Table6[[#This Row],[Affected WTG]],'Basic Data'!$A:$A,'Basic Data'!$B:$B),"")</f>
        <v>TQGXIIPL</v>
      </c>
      <c r="I280" s="35" t="str">
        <f>IFERROR(_xlfn.XLOOKUP(Table6[[#This Row],[Affected WTG]],'Basic Data'!$A:$A,'Basic Data'!$C:$C),"")</f>
        <v>GEDA</v>
      </c>
      <c r="J280" s="260">
        <f>IFERROR(_xlfn.XLOOKUP(Table6[[#This Row],[Affected WTG]],'Basic Data'!$A:$A,'Basic Data'!$E:$E),"")</f>
        <v>3.846153846153845E-2</v>
      </c>
      <c r="K280" s="102">
        <v>175</v>
      </c>
      <c r="L280" s="35" t="str">
        <f>IFERROR(_xlfn.XLOOKUP(Table6[[#This Row],[Error Code]],'Basic Data'!$AA:$AA,'Basic Data'!$AB:$AB),"Incorrect Error Code")</f>
        <v>SLC error</v>
      </c>
      <c r="M280" s="35" t="s">
        <v>266</v>
      </c>
      <c r="N280" s="264"/>
      <c r="O280" s="265">
        <v>0.30694444444444446</v>
      </c>
      <c r="P280" s="265">
        <v>0.30694444444444446</v>
      </c>
      <c r="Q280" s="266">
        <v>0.31527777777777777</v>
      </c>
      <c r="R280" s="261">
        <f>IF(Table6[[#This Row],[Work Start TimeStamp]]="","",(Table6[[#This Row],[Work Start TimeStamp]]-Table6[[#This Row],[Fault Start TimeStamp]])*24)</f>
        <v>0</v>
      </c>
      <c r="S280" s="261">
        <f>(Table6[[#This Row],[Fault Clearance time]]-Table6[[#This Row],[Work Start TimeStamp]])*24</f>
        <v>0.19999999999999929</v>
      </c>
      <c r="T280" s="261">
        <f>(Table6[[#This Row],[Fault Clearance time]]-Table6[[#This Row],[Fault Start TimeStamp]])*24</f>
        <v>0.19999999999999929</v>
      </c>
      <c r="U280" s="35" t="s">
        <v>267</v>
      </c>
      <c r="V280" s="102" t="s">
        <v>268</v>
      </c>
      <c r="W280" s="267">
        <f>IFERROR(Table6[[#This Row],[Breakdown Time]]*Table6[[#This Row],[Plant Equivalent Weightage]],"")</f>
        <v>7.6923076923076624E-3</v>
      </c>
      <c r="X280" s="262" t="s">
        <v>269</v>
      </c>
      <c r="Y280" s="263" t="s">
        <v>126</v>
      </c>
      <c r="Z280" s="102">
        <v>27764</v>
      </c>
      <c r="AA280" s="257">
        <f>(Table6[[#This Row],[Paired WTG Generation for loss calculation]]/24)*Table6[[#This Row],[Breakdown Time]]</f>
        <v>231.36666666666582</v>
      </c>
      <c r="AB280" s="102"/>
      <c r="AC280" s="35"/>
      <c r="AD280" s="35"/>
    </row>
    <row r="281" spans="1:30">
      <c r="A281" s="102">
        <f t="shared" si="5"/>
        <v>280</v>
      </c>
      <c r="B281" s="257">
        <f>YEAR(Table6[[#This Row],[Date]])+IF(MONTH(Table6[[#This Row],[Date]])&gt;=4,1,0)</f>
        <v>2026</v>
      </c>
      <c r="C281" s="102">
        <f>YEAR(Table6[[#This Row],[Date]])</f>
        <v>2025</v>
      </c>
      <c r="D281" s="102" t="s">
        <v>265</v>
      </c>
      <c r="E281" s="258">
        <f>Table6[[#This Row],[Date]]-DAY(Table6[[#This Row],[Date]])+1</f>
        <v>45748</v>
      </c>
      <c r="F281" s="259">
        <v>45764</v>
      </c>
      <c r="G281" s="35" t="s">
        <v>125</v>
      </c>
      <c r="H281" s="35" t="str">
        <f>IFERROR(_xlfn.XLOOKUP(Table6[[#This Row],[Affected WTG]],'Basic Data'!$A:$A,'Basic Data'!$B:$B),"")</f>
        <v>TQGXIIPL</v>
      </c>
      <c r="I281" s="35" t="str">
        <f>IFERROR(_xlfn.XLOOKUP(Table6[[#This Row],[Affected WTG]],'Basic Data'!$A:$A,'Basic Data'!$C:$C),"")</f>
        <v>GEDA</v>
      </c>
      <c r="J281" s="260">
        <f>IFERROR(_xlfn.XLOOKUP(Table6[[#This Row],[Affected WTG]],'Basic Data'!$A:$A,'Basic Data'!$E:$E),"")</f>
        <v>3.846153846153845E-2</v>
      </c>
      <c r="K281" s="102">
        <v>175</v>
      </c>
      <c r="L281" s="35" t="str">
        <f>IFERROR(_xlfn.XLOOKUP(Table6[[#This Row],[Error Code]],'Basic Data'!$AA:$AA,'Basic Data'!$AB:$AB),"Incorrect Error Code")</f>
        <v>SLC error</v>
      </c>
      <c r="M281" s="35" t="s">
        <v>266</v>
      </c>
      <c r="N281" s="264"/>
      <c r="O281" s="265">
        <v>0.59861111111111109</v>
      </c>
      <c r="P281" s="265">
        <v>0.59861111111111109</v>
      </c>
      <c r="Q281" s="266">
        <v>0.61111111111111116</v>
      </c>
      <c r="R281" s="261">
        <f>IF(Table6[[#This Row],[Work Start TimeStamp]]="","",(Table6[[#This Row],[Work Start TimeStamp]]-Table6[[#This Row],[Fault Start TimeStamp]])*24)</f>
        <v>0</v>
      </c>
      <c r="S281" s="261">
        <f>(Table6[[#This Row],[Fault Clearance time]]-Table6[[#This Row],[Work Start TimeStamp]])*24</f>
        <v>0.3000000000000016</v>
      </c>
      <c r="T281" s="261">
        <f>(Table6[[#This Row],[Fault Clearance time]]-Table6[[#This Row],[Fault Start TimeStamp]])*24</f>
        <v>0.3000000000000016</v>
      </c>
      <c r="U281" s="35" t="s">
        <v>267</v>
      </c>
      <c r="V281" s="102" t="s">
        <v>268</v>
      </c>
      <c r="W281" s="267">
        <f>IFERROR(Table6[[#This Row],[Breakdown Time]]*Table6[[#This Row],[Plant Equivalent Weightage]],"")</f>
        <v>1.1538461538461596E-2</v>
      </c>
      <c r="X281" s="262" t="s">
        <v>269</v>
      </c>
      <c r="Y281" s="263" t="s">
        <v>126</v>
      </c>
      <c r="Z281" s="102">
        <v>27764</v>
      </c>
      <c r="AA281" s="257">
        <f>(Table6[[#This Row],[Paired WTG Generation for loss calculation]]/24)*Table6[[#This Row],[Breakdown Time]]</f>
        <v>347.05000000000183</v>
      </c>
      <c r="AB281" s="102"/>
      <c r="AC281" s="35"/>
      <c r="AD281" s="35"/>
    </row>
    <row r="282" spans="1:30">
      <c r="A282" s="102">
        <f t="shared" si="5"/>
        <v>281</v>
      </c>
      <c r="B282" s="257">
        <f>YEAR(Table6[[#This Row],[Date]])+IF(MONTH(Table6[[#This Row],[Date]])&gt;=4,1,0)</f>
        <v>2026</v>
      </c>
      <c r="C282" s="102">
        <f>YEAR(Table6[[#This Row],[Date]])</f>
        <v>2025</v>
      </c>
      <c r="D282" s="102" t="s">
        <v>265</v>
      </c>
      <c r="E282" s="258">
        <f>Table6[[#This Row],[Date]]-DAY(Table6[[#This Row],[Date]])+1</f>
        <v>45748</v>
      </c>
      <c r="F282" s="259">
        <v>45764</v>
      </c>
      <c r="G282" s="35" t="s">
        <v>126</v>
      </c>
      <c r="H282" s="35" t="str">
        <f>IFERROR(_xlfn.XLOOKUP(Table6[[#This Row],[Affected WTG]],'Basic Data'!$A:$A,'Basic Data'!$B:$B),"")</f>
        <v>TQGXIIPL</v>
      </c>
      <c r="I282" s="35" t="str">
        <f>IFERROR(_xlfn.XLOOKUP(Table6[[#This Row],[Affected WTG]],'Basic Data'!$A:$A,'Basic Data'!$C:$C),"")</f>
        <v>GEDA</v>
      </c>
      <c r="J282" s="260">
        <f>IFERROR(_xlfn.XLOOKUP(Table6[[#This Row],[Affected WTG]],'Basic Data'!$A:$A,'Basic Data'!$E:$E),"")</f>
        <v>3.846153846153845E-2</v>
      </c>
      <c r="K282" s="102">
        <v>55</v>
      </c>
      <c r="L282" s="35" t="str">
        <f>IFERROR(_xlfn.XLOOKUP(Table6[[#This Row],[Error Code]],'Basic Data'!$AA:$AA,'Basic Data'!$AB:$AB),"Incorrect Error Code")</f>
        <v>WTG shut down</v>
      </c>
      <c r="M282" s="35" t="s">
        <v>300</v>
      </c>
      <c r="N282" s="264"/>
      <c r="O282" s="265">
        <v>0.82430555555555551</v>
      </c>
      <c r="P282" s="265">
        <v>0.82430555555555551</v>
      </c>
      <c r="Q282" s="266">
        <v>0.89097222222222228</v>
      </c>
      <c r="R282" s="261">
        <f>IF(Table6[[#This Row],[Work Start TimeStamp]]="","",(Table6[[#This Row],[Work Start TimeStamp]]-Table6[[#This Row],[Fault Start TimeStamp]])*24)</f>
        <v>0</v>
      </c>
      <c r="S282" s="261">
        <f>(Table6[[#This Row],[Fault Clearance time]]-Table6[[#This Row],[Work Start TimeStamp]])*24</f>
        <v>1.6000000000000023</v>
      </c>
      <c r="T282" s="261">
        <f>(Table6[[#This Row],[Fault Clearance time]]-Table6[[#This Row],[Fault Start TimeStamp]])*24</f>
        <v>1.6000000000000023</v>
      </c>
      <c r="U282" s="35" t="s">
        <v>301</v>
      </c>
      <c r="V282" s="102" t="s">
        <v>268</v>
      </c>
      <c r="W282" s="267">
        <f>IFERROR(Table6[[#This Row],[Breakdown Time]]*Table6[[#This Row],[Plant Equivalent Weightage]],"")</f>
        <v>6.1538461538461611E-2</v>
      </c>
      <c r="X282" s="262" t="s">
        <v>296</v>
      </c>
      <c r="Y282" s="263" t="s">
        <v>128</v>
      </c>
      <c r="Z282" s="102">
        <v>29808</v>
      </c>
      <c r="AA282" s="257">
        <f>(Table6[[#This Row],[Paired WTG Generation for loss calculation]]/24)*Table6[[#This Row],[Breakdown Time]]</f>
        <v>1987.2000000000028</v>
      </c>
      <c r="AB282" s="102"/>
      <c r="AC282" s="35"/>
      <c r="AD282" s="35"/>
    </row>
    <row r="283" spans="1:30">
      <c r="A283" s="102">
        <f t="shared" si="5"/>
        <v>282</v>
      </c>
      <c r="B283" s="257">
        <f>YEAR(Table6[[#This Row],[Date]])+IF(MONTH(Table6[[#This Row],[Date]])&gt;=4,1,0)</f>
        <v>2026</v>
      </c>
      <c r="C283" s="102">
        <f>YEAR(Table6[[#This Row],[Date]])</f>
        <v>2025</v>
      </c>
      <c r="D283" s="102" t="s">
        <v>265</v>
      </c>
      <c r="E283" s="258">
        <f>Table6[[#This Row],[Date]]-DAY(Table6[[#This Row],[Date]])+1</f>
        <v>45748</v>
      </c>
      <c r="F283" s="259">
        <v>45764</v>
      </c>
      <c r="G283" s="35" t="s">
        <v>127</v>
      </c>
      <c r="H283" s="35" t="str">
        <f>IFERROR(_xlfn.XLOOKUP(Table6[[#This Row],[Affected WTG]],'Basic Data'!$A:$A,'Basic Data'!$B:$B),"")</f>
        <v>TQGXIIPL</v>
      </c>
      <c r="I283" s="35" t="str">
        <f>IFERROR(_xlfn.XLOOKUP(Table6[[#This Row],[Affected WTG]],'Basic Data'!$A:$A,'Basic Data'!$C:$C),"")</f>
        <v>GEDA</v>
      </c>
      <c r="J283" s="260">
        <f>IFERROR(_xlfn.XLOOKUP(Table6[[#This Row],[Affected WTG]],'Basic Data'!$A:$A,'Basic Data'!$E:$E),"")</f>
        <v>3.846153846153845E-2</v>
      </c>
      <c r="K283" s="102">
        <v>6130</v>
      </c>
      <c r="L283" s="35" t="str">
        <f>IFERROR(_xlfn.XLOOKUP(Table6[[#This Row],[Error Code]],'Basic Data'!$AA:$AA,'Basic Data'!$AB:$AB),"Incorrect Error Code")</f>
        <v>Yaw speed high</v>
      </c>
      <c r="M283" s="35" t="s">
        <v>266</v>
      </c>
      <c r="N283" s="264"/>
      <c r="O283" s="265">
        <v>0.58402777777777781</v>
      </c>
      <c r="P283" s="265">
        <v>0.58402777777777781</v>
      </c>
      <c r="Q283" s="266">
        <v>0.58819444444444446</v>
      </c>
      <c r="R283" s="261">
        <f>IF(Table6[[#This Row],[Work Start TimeStamp]]="","",(Table6[[#This Row],[Work Start TimeStamp]]-Table6[[#This Row],[Fault Start TimeStamp]])*24)</f>
        <v>0</v>
      </c>
      <c r="S283" s="261">
        <f>(Table6[[#This Row],[Fault Clearance time]]-Table6[[#This Row],[Work Start TimeStamp]])*24</f>
        <v>9.9999999999999645E-2</v>
      </c>
      <c r="T283" s="261">
        <f>(Table6[[#This Row],[Fault Clearance time]]-Table6[[#This Row],[Fault Start TimeStamp]])*24</f>
        <v>9.9999999999999645E-2</v>
      </c>
      <c r="U283" s="35" t="s">
        <v>267</v>
      </c>
      <c r="V283" s="102" t="s">
        <v>268</v>
      </c>
      <c r="W283" s="267">
        <f>IFERROR(Table6[[#This Row],[Breakdown Time]]*Table6[[#This Row],[Plant Equivalent Weightage]],"")</f>
        <v>3.8461538461538312E-3</v>
      </c>
      <c r="X283" s="262" t="s">
        <v>269</v>
      </c>
      <c r="Y283" s="263" t="s">
        <v>125</v>
      </c>
      <c r="Z283" s="102">
        <v>32786</v>
      </c>
      <c r="AA283" s="257">
        <f>(Table6[[#This Row],[Paired WTG Generation for loss calculation]]/24)*Table6[[#This Row],[Breakdown Time]]</f>
        <v>136.60833333333284</v>
      </c>
      <c r="AB283" s="102"/>
      <c r="AC283" s="35"/>
      <c r="AD283" s="35"/>
    </row>
    <row r="284" spans="1:30">
      <c r="A284" s="102">
        <f t="shared" si="5"/>
        <v>283</v>
      </c>
      <c r="B284" s="257">
        <f>YEAR(Table6[[#This Row],[Date]])+IF(MONTH(Table6[[#This Row],[Date]])&gt;=4,1,0)</f>
        <v>2026</v>
      </c>
      <c r="C284" s="102">
        <f>YEAR(Table6[[#This Row],[Date]])</f>
        <v>2025</v>
      </c>
      <c r="D284" s="102" t="s">
        <v>265</v>
      </c>
      <c r="E284" s="258">
        <f>Table6[[#This Row],[Date]]-DAY(Table6[[#This Row],[Date]])+1</f>
        <v>45748</v>
      </c>
      <c r="F284" s="259">
        <v>45764</v>
      </c>
      <c r="G284" s="35" t="s">
        <v>127</v>
      </c>
      <c r="H284" s="35" t="str">
        <f>IFERROR(_xlfn.XLOOKUP(Table6[[#This Row],[Affected WTG]],'Basic Data'!$A:$A,'Basic Data'!$B:$B),"")</f>
        <v>TQGXIIPL</v>
      </c>
      <c r="I284" s="35" t="str">
        <f>IFERROR(_xlfn.XLOOKUP(Table6[[#This Row],[Affected WTG]],'Basic Data'!$A:$A,'Basic Data'!$C:$C),"")</f>
        <v>GEDA</v>
      </c>
      <c r="J284" s="260">
        <f>IFERROR(_xlfn.XLOOKUP(Table6[[#This Row],[Affected WTG]],'Basic Data'!$A:$A,'Basic Data'!$E:$E),"")</f>
        <v>3.846153846153845E-2</v>
      </c>
      <c r="K284" s="102">
        <v>55</v>
      </c>
      <c r="L284" s="35" t="str">
        <f>IFERROR(_xlfn.XLOOKUP(Table6[[#This Row],[Error Code]],'Basic Data'!$AA:$AA,'Basic Data'!$AB:$AB),"Incorrect Error Code")</f>
        <v>WTG shut down</v>
      </c>
      <c r="M284" s="35" t="s">
        <v>266</v>
      </c>
      <c r="N284" s="264"/>
      <c r="O284" s="265">
        <v>0.79236111111111107</v>
      </c>
      <c r="P284" s="265">
        <v>0.79236111111111107</v>
      </c>
      <c r="Q284" s="266">
        <v>0.80069444444444449</v>
      </c>
      <c r="R284" s="261">
        <f>IF(Table6[[#This Row],[Work Start TimeStamp]]="","",(Table6[[#This Row],[Work Start TimeStamp]]-Table6[[#This Row],[Fault Start TimeStamp]])*24)</f>
        <v>0</v>
      </c>
      <c r="S284" s="261">
        <f>(Table6[[#This Row],[Fault Clearance time]]-Table6[[#This Row],[Work Start TimeStamp]])*24</f>
        <v>0.20000000000000195</v>
      </c>
      <c r="T284" s="261">
        <f>(Table6[[#This Row],[Fault Clearance time]]-Table6[[#This Row],[Fault Start TimeStamp]])*24</f>
        <v>0.20000000000000195</v>
      </c>
      <c r="U284" s="35" t="s">
        <v>320</v>
      </c>
      <c r="V284" s="102" t="s">
        <v>268</v>
      </c>
      <c r="W284" s="267">
        <f>IFERROR(Table6[[#This Row],[Breakdown Time]]*Table6[[#This Row],[Plant Equivalent Weightage]],"")</f>
        <v>7.6923076923077647E-3</v>
      </c>
      <c r="X284" s="262" t="s">
        <v>296</v>
      </c>
      <c r="Y284" s="263" t="s">
        <v>125</v>
      </c>
      <c r="Z284" s="102">
        <v>32786</v>
      </c>
      <c r="AA284" s="257">
        <f>(Table6[[#This Row],[Paired WTG Generation for loss calculation]]/24)*Table6[[#This Row],[Breakdown Time]]</f>
        <v>273.21666666666931</v>
      </c>
      <c r="AB284" s="102"/>
      <c r="AC284" s="35"/>
      <c r="AD284" s="35"/>
    </row>
    <row r="285" spans="1:30">
      <c r="A285" s="102">
        <f t="shared" si="5"/>
        <v>284</v>
      </c>
      <c r="B285" s="257">
        <f>YEAR(Table6[[#This Row],[Date]])+IF(MONTH(Table6[[#This Row],[Date]])&gt;=4,1,0)</f>
        <v>2026</v>
      </c>
      <c r="C285" s="102">
        <f>YEAR(Table6[[#This Row],[Date]])</f>
        <v>2025</v>
      </c>
      <c r="D285" s="102" t="s">
        <v>265</v>
      </c>
      <c r="E285" s="258">
        <f>Table6[[#This Row],[Date]]-DAY(Table6[[#This Row],[Date]])+1</f>
        <v>45748</v>
      </c>
      <c r="F285" s="259">
        <v>45764</v>
      </c>
      <c r="G285" s="35" t="s">
        <v>128</v>
      </c>
      <c r="H285" s="35" t="str">
        <f>IFERROR(_xlfn.XLOOKUP(Table6[[#This Row],[Affected WTG]],'Basic Data'!$A:$A,'Basic Data'!$B:$B),"")</f>
        <v>TQGXIIPL</v>
      </c>
      <c r="I285" s="35" t="str">
        <f>IFERROR(_xlfn.XLOOKUP(Table6[[#This Row],[Affected WTG]],'Basic Data'!$A:$A,'Basic Data'!$C:$C),"")</f>
        <v>GEDA</v>
      </c>
      <c r="J285" s="260">
        <f>IFERROR(_xlfn.XLOOKUP(Table6[[#This Row],[Affected WTG]],'Basic Data'!$A:$A,'Basic Data'!$E:$E),"")</f>
        <v>3.846153846153845E-2</v>
      </c>
      <c r="K285" s="102">
        <v>4960</v>
      </c>
      <c r="L285" s="35" t="str">
        <f>IFERROR(_xlfn.XLOOKUP(Table6[[#This Row],[Error Code]],'Basic Data'!$AA:$AA,'Basic Data'!$AB:$AB),"Incorrect Error Code")</f>
        <v>Tower oscillation YF</v>
      </c>
      <c r="M285" s="35" t="s">
        <v>266</v>
      </c>
      <c r="N285" s="264"/>
      <c r="O285" s="265">
        <v>0.6479166666666667</v>
      </c>
      <c r="P285" s="265">
        <v>0.6479166666666667</v>
      </c>
      <c r="Q285" s="266">
        <v>0.66597222222222219</v>
      </c>
      <c r="R285" s="261">
        <f>IF(Table6[[#This Row],[Work Start TimeStamp]]="","",(Table6[[#This Row],[Work Start TimeStamp]]-Table6[[#This Row],[Fault Start TimeStamp]])*24)</f>
        <v>0</v>
      </c>
      <c r="S285" s="261">
        <f>(Table6[[#This Row],[Fault Clearance time]]-Table6[[#This Row],[Work Start TimeStamp]])*24</f>
        <v>0.43333333333333179</v>
      </c>
      <c r="T285" s="261">
        <f>(Table6[[#This Row],[Fault Clearance time]]-Table6[[#This Row],[Fault Start TimeStamp]])*24</f>
        <v>0.43333333333333179</v>
      </c>
      <c r="U285" s="35" t="s">
        <v>267</v>
      </c>
      <c r="V285" s="102" t="s">
        <v>268</v>
      </c>
      <c r="W285" s="267">
        <f>IFERROR(Table6[[#This Row],[Breakdown Time]]*Table6[[#This Row],[Plant Equivalent Weightage]],"")</f>
        <v>1.6666666666666604E-2</v>
      </c>
      <c r="X285" s="262" t="s">
        <v>269</v>
      </c>
      <c r="Y285" s="263" t="s">
        <v>126</v>
      </c>
      <c r="Z285" s="102">
        <v>27764</v>
      </c>
      <c r="AA285" s="257">
        <f>(Table6[[#This Row],[Paired WTG Generation for loss calculation]]/24)*Table6[[#This Row],[Breakdown Time]]</f>
        <v>501.2944444444426</v>
      </c>
      <c r="AB285" s="102"/>
      <c r="AC285" s="35"/>
      <c r="AD285" s="35"/>
    </row>
    <row r="286" spans="1:30">
      <c r="A286" s="102">
        <f t="shared" si="5"/>
        <v>285</v>
      </c>
      <c r="B286" s="257">
        <f>YEAR(Table6[[#This Row],[Date]])+IF(MONTH(Table6[[#This Row],[Date]])&gt;=4,1,0)</f>
        <v>2026</v>
      </c>
      <c r="C286" s="102">
        <f>YEAR(Table6[[#This Row],[Date]])</f>
        <v>2025</v>
      </c>
      <c r="D286" s="102" t="s">
        <v>265</v>
      </c>
      <c r="E286" s="258">
        <f>Table6[[#This Row],[Date]]-DAY(Table6[[#This Row],[Date]])+1</f>
        <v>45748</v>
      </c>
      <c r="F286" s="259">
        <v>45764</v>
      </c>
      <c r="G286" s="35" t="s">
        <v>129</v>
      </c>
      <c r="H286" s="35" t="str">
        <f>IFERROR(_xlfn.XLOOKUP(Table6[[#This Row],[Affected WTG]],'Basic Data'!$A:$A,'Basic Data'!$B:$B),"")</f>
        <v>TQGXIIPL</v>
      </c>
      <c r="I286" s="35" t="str">
        <f>IFERROR(_xlfn.XLOOKUP(Table6[[#This Row],[Affected WTG]],'Basic Data'!$A:$A,'Basic Data'!$C:$C),"")</f>
        <v>GEDA</v>
      </c>
      <c r="J286" s="260">
        <f>IFERROR(_xlfn.XLOOKUP(Table6[[#This Row],[Affected WTG]],'Basic Data'!$A:$A,'Basic Data'!$E:$E),"")</f>
        <v>3.846153846153845E-2</v>
      </c>
      <c r="K286" s="102">
        <v>55</v>
      </c>
      <c r="L286" s="35" t="str">
        <f>IFERROR(_xlfn.XLOOKUP(Table6[[#This Row],[Error Code]],'Basic Data'!$AA:$AA,'Basic Data'!$AB:$AB),"Incorrect Error Code")</f>
        <v>WTG shut down</v>
      </c>
      <c r="M286" s="35" t="s">
        <v>266</v>
      </c>
      <c r="N286" s="264"/>
      <c r="O286" s="265">
        <v>0.80138888888888893</v>
      </c>
      <c r="P286" s="265">
        <v>0.80138888888888893</v>
      </c>
      <c r="Q286" s="266">
        <v>0.80694444444444446</v>
      </c>
      <c r="R286" s="261">
        <f>IF(Table6[[#This Row],[Work Start TimeStamp]]="","",(Table6[[#This Row],[Work Start TimeStamp]]-Table6[[#This Row],[Fault Start TimeStamp]])*24)</f>
        <v>0</v>
      </c>
      <c r="S286" s="261">
        <f>(Table6[[#This Row],[Fault Clearance time]]-Table6[[#This Row],[Work Start TimeStamp]])*24</f>
        <v>0.13333333333333286</v>
      </c>
      <c r="T286" s="261">
        <f>(Table6[[#This Row],[Fault Clearance time]]-Table6[[#This Row],[Fault Start TimeStamp]])*24</f>
        <v>0.13333333333333286</v>
      </c>
      <c r="U286" s="35" t="s">
        <v>320</v>
      </c>
      <c r="V286" s="102" t="s">
        <v>268</v>
      </c>
      <c r="W286" s="267">
        <f>IFERROR(Table6[[#This Row],[Breakdown Time]]*Table6[[#This Row],[Plant Equivalent Weightage]],"")</f>
        <v>5.1282051282051083E-3</v>
      </c>
      <c r="X286" s="262" t="s">
        <v>296</v>
      </c>
      <c r="Y286" s="263" t="s">
        <v>124</v>
      </c>
      <c r="Z286" s="102">
        <v>25644</v>
      </c>
      <c r="AA286" s="257">
        <f>(Table6[[#This Row],[Paired WTG Generation for loss calculation]]/24)*Table6[[#This Row],[Breakdown Time]]</f>
        <v>142.46666666666616</v>
      </c>
      <c r="AB286" s="102"/>
      <c r="AC286" s="35"/>
      <c r="AD286" s="35"/>
    </row>
    <row r="287" spans="1:30">
      <c r="A287" s="102">
        <f t="shared" si="5"/>
        <v>286</v>
      </c>
      <c r="B287" s="257">
        <f>YEAR(Table6[[#This Row],[Date]])+IF(MONTH(Table6[[#This Row],[Date]])&gt;=4,1,0)</f>
        <v>2026</v>
      </c>
      <c r="C287" s="102">
        <f>YEAR(Table6[[#This Row],[Date]])</f>
        <v>2025</v>
      </c>
      <c r="D287" s="102" t="s">
        <v>265</v>
      </c>
      <c r="E287" s="258">
        <f>Table6[[#This Row],[Date]]-DAY(Table6[[#This Row],[Date]])+1</f>
        <v>45748</v>
      </c>
      <c r="F287" s="259">
        <v>45764</v>
      </c>
      <c r="G287" s="35" t="s">
        <v>131</v>
      </c>
      <c r="H287" s="35" t="str">
        <f>IFERROR(_xlfn.XLOOKUP(Table6[[#This Row],[Affected WTG]],'Basic Data'!$A:$A,'Basic Data'!$B:$B),"")</f>
        <v>TQGXIIPL</v>
      </c>
      <c r="I287" s="35" t="str">
        <f>IFERROR(_xlfn.XLOOKUP(Table6[[#This Row],[Affected WTG]],'Basic Data'!$A:$A,'Basic Data'!$C:$C),"")</f>
        <v>GEDA</v>
      </c>
      <c r="J287" s="260">
        <f>IFERROR(_xlfn.XLOOKUP(Table6[[#This Row],[Affected WTG]],'Basic Data'!$A:$A,'Basic Data'!$E:$E),"")</f>
        <v>3.846153846153845E-2</v>
      </c>
      <c r="K287" s="102">
        <v>6605</v>
      </c>
      <c r="L287" s="35" t="str">
        <f>IFERROR(_xlfn.XLOOKUP(Table6[[#This Row],[Error Code]],'Basic Data'!$AA:$AA,'Basic Data'!$AB:$AB),"Incorrect Error Code")</f>
        <v>Wind.dir. diff. level 2</v>
      </c>
      <c r="M287" s="35" t="s">
        <v>266</v>
      </c>
      <c r="N287" s="264"/>
      <c r="O287" s="265">
        <v>0.61875000000000002</v>
      </c>
      <c r="P287" s="265">
        <v>0.61875000000000002</v>
      </c>
      <c r="Q287" s="266">
        <v>0.62013888888888891</v>
      </c>
      <c r="R287" s="261">
        <f>IF(Table6[[#This Row],[Work Start TimeStamp]]="","",(Table6[[#This Row],[Work Start TimeStamp]]-Table6[[#This Row],[Fault Start TimeStamp]])*24)</f>
        <v>0</v>
      </c>
      <c r="S287" s="261">
        <f>(Table6[[#This Row],[Fault Clearance time]]-Table6[[#This Row],[Work Start TimeStamp]])*24</f>
        <v>3.3333333333333215E-2</v>
      </c>
      <c r="T287" s="261">
        <f>(Table6[[#This Row],[Fault Clearance time]]-Table6[[#This Row],[Fault Start TimeStamp]])*24</f>
        <v>3.3333333333333215E-2</v>
      </c>
      <c r="U287" s="35" t="s">
        <v>277</v>
      </c>
      <c r="V287" s="102" t="s">
        <v>268</v>
      </c>
      <c r="W287" s="267">
        <f>IFERROR(Table6[[#This Row],[Breakdown Time]]*Table6[[#This Row],[Plant Equivalent Weightage]],"")</f>
        <v>1.2820512820512771E-3</v>
      </c>
      <c r="X287" s="262" t="s">
        <v>269</v>
      </c>
      <c r="Y287" s="263" t="s">
        <v>136</v>
      </c>
      <c r="Z287" s="102">
        <v>37507</v>
      </c>
      <c r="AA287" s="257">
        <f>(Table6[[#This Row],[Paired WTG Generation for loss calculation]]/24)*Table6[[#This Row],[Breakdown Time]]</f>
        <v>52.093055555555374</v>
      </c>
      <c r="AB287" s="102"/>
      <c r="AC287" s="35"/>
      <c r="AD287" s="35"/>
    </row>
    <row r="288" spans="1:30">
      <c r="A288" s="102">
        <f t="shared" si="5"/>
        <v>287</v>
      </c>
      <c r="B288" s="257">
        <f>YEAR(Table6[[#This Row],[Date]])+IF(MONTH(Table6[[#This Row],[Date]])&gt;=4,1,0)</f>
        <v>2026</v>
      </c>
      <c r="C288" s="102">
        <f>YEAR(Table6[[#This Row],[Date]])</f>
        <v>2025</v>
      </c>
      <c r="D288" s="102" t="s">
        <v>265</v>
      </c>
      <c r="E288" s="258">
        <f>Table6[[#This Row],[Date]]-DAY(Table6[[#This Row],[Date]])+1</f>
        <v>45748</v>
      </c>
      <c r="F288" s="259">
        <v>45764</v>
      </c>
      <c r="G288" s="35" t="s">
        <v>131</v>
      </c>
      <c r="H288" s="35" t="str">
        <f>IFERROR(_xlfn.XLOOKUP(Table6[[#This Row],[Affected WTG]],'Basic Data'!$A:$A,'Basic Data'!$B:$B),"")</f>
        <v>TQGXIIPL</v>
      </c>
      <c r="I288" s="35" t="str">
        <f>IFERROR(_xlfn.XLOOKUP(Table6[[#This Row],[Affected WTG]],'Basic Data'!$A:$A,'Basic Data'!$C:$C),"")</f>
        <v>GEDA</v>
      </c>
      <c r="J288" s="260">
        <f>IFERROR(_xlfn.XLOOKUP(Table6[[#This Row],[Affected WTG]],'Basic Data'!$A:$A,'Basic Data'!$E:$E),"")</f>
        <v>3.846153846153845E-2</v>
      </c>
      <c r="K288" s="102">
        <v>55</v>
      </c>
      <c r="L288" s="35" t="str">
        <f>IFERROR(_xlfn.XLOOKUP(Table6[[#This Row],[Error Code]],'Basic Data'!$AA:$AA,'Basic Data'!$AB:$AB),"Incorrect Error Code")</f>
        <v>WTG shut down</v>
      </c>
      <c r="M288" s="35" t="s">
        <v>266</v>
      </c>
      <c r="N288" s="264"/>
      <c r="O288" s="265">
        <v>0.7993055555555556</v>
      </c>
      <c r="P288" s="265">
        <v>0.7993055555555556</v>
      </c>
      <c r="Q288" s="266">
        <v>0.80625000000000002</v>
      </c>
      <c r="R288" s="261">
        <f>IF(Table6[[#This Row],[Work Start TimeStamp]]="","",(Table6[[#This Row],[Work Start TimeStamp]]-Table6[[#This Row],[Fault Start TimeStamp]])*24)</f>
        <v>0</v>
      </c>
      <c r="S288" s="261">
        <f>(Table6[[#This Row],[Fault Clearance time]]-Table6[[#This Row],[Work Start TimeStamp]])*24</f>
        <v>0.16666666666666607</v>
      </c>
      <c r="T288" s="261">
        <f>(Table6[[#This Row],[Fault Clearance time]]-Table6[[#This Row],[Fault Start TimeStamp]])*24</f>
        <v>0.16666666666666607</v>
      </c>
      <c r="U288" s="35" t="s">
        <v>320</v>
      </c>
      <c r="V288" s="102" t="s">
        <v>268</v>
      </c>
      <c r="W288" s="267">
        <f>IFERROR(Table6[[#This Row],[Breakdown Time]]*Table6[[#This Row],[Plant Equivalent Weightage]],"")</f>
        <v>6.4102564102563857E-3</v>
      </c>
      <c r="X288" s="262" t="s">
        <v>296</v>
      </c>
      <c r="Y288" s="263" t="s">
        <v>136</v>
      </c>
      <c r="Z288" s="102">
        <v>37507</v>
      </c>
      <c r="AA288" s="257">
        <f>(Table6[[#This Row],[Paired WTG Generation for loss calculation]]/24)*Table6[[#This Row],[Breakdown Time]]</f>
        <v>260.46527777777686</v>
      </c>
      <c r="AB288" s="102"/>
      <c r="AC288" s="35"/>
      <c r="AD288" s="35"/>
    </row>
    <row r="289" spans="1:30">
      <c r="A289" s="102">
        <f t="shared" si="5"/>
        <v>288</v>
      </c>
      <c r="B289" s="257">
        <f>YEAR(Table6[[#This Row],[Date]])+IF(MONTH(Table6[[#This Row],[Date]])&gt;=4,1,0)</f>
        <v>2026</v>
      </c>
      <c r="C289" s="102">
        <f>YEAR(Table6[[#This Row],[Date]])</f>
        <v>2025</v>
      </c>
      <c r="D289" s="102" t="s">
        <v>265</v>
      </c>
      <c r="E289" s="258">
        <f>Table6[[#This Row],[Date]]-DAY(Table6[[#This Row],[Date]])+1</f>
        <v>45748</v>
      </c>
      <c r="F289" s="259">
        <v>45764</v>
      </c>
      <c r="G289" s="35" t="s">
        <v>133</v>
      </c>
      <c r="H289" s="35" t="str">
        <f>IFERROR(_xlfn.XLOOKUP(Table6[[#This Row],[Affected WTG]],'Basic Data'!$A:$A,'Basic Data'!$B:$B),"")</f>
        <v>TQGXIIPL</v>
      </c>
      <c r="I289" s="35" t="str">
        <f>IFERROR(_xlfn.XLOOKUP(Table6[[#This Row],[Affected WTG]],'Basic Data'!$A:$A,'Basic Data'!$C:$C),"")</f>
        <v>GEDA</v>
      </c>
      <c r="J289" s="260">
        <f>IFERROR(_xlfn.XLOOKUP(Table6[[#This Row],[Affected WTG]],'Basic Data'!$A:$A,'Basic Data'!$E:$E),"")</f>
        <v>3.846153846153845E-2</v>
      </c>
      <c r="K289" s="102">
        <v>55</v>
      </c>
      <c r="L289" s="35" t="str">
        <f>IFERROR(_xlfn.XLOOKUP(Table6[[#This Row],[Error Code]],'Basic Data'!$AA:$AA,'Basic Data'!$AB:$AB),"Incorrect Error Code")</f>
        <v>WTG shut down</v>
      </c>
      <c r="M289" s="35" t="s">
        <v>266</v>
      </c>
      <c r="N289" s="264"/>
      <c r="O289" s="265">
        <v>0.6875</v>
      </c>
      <c r="P289" s="265">
        <v>0.6875</v>
      </c>
      <c r="Q289" s="266">
        <v>0.69236111111111109</v>
      </c>
      <c r="R289" s="261">
        <f>IF(Table6[[#This Row],[Work Start TimeStamp]]="","",(Table6[[#This Row],[Work Start TimeStamp]]-Table6[[#This Row],[Fault Start TimeStamp]])*24)</f>
        <v>0</v>
      </c>
      <c r="S289" s="261">
        <f>(Table6[[#This Row],[Fault Clearance time]]-Table6[[#This Row],[Work Start TimeStamp]])*24</f>
        <v>0.11666666666666625</v>
      </c>
      <c r="T289" s="261">
        <f>(Table6[[#This Row],[Fault Clearance time]]-Table6[[#This Row],[Fault Start TimeStamp]])*24</f>
        <v>0.11666666666666625</v>
      </c>
      <c r="U289" s="35" t="s">
        <v>320</v>
      </c>
      <c r="V289" s="102" t="s">
        <v>268</v>
      </c>
      <c r="W289" s="267">
        <f>IFERROR(Table6[[#This Row],[Breakdown Time]]*Table6[[#This Row],[Plant Equivalent Weightage]],"")</f>
        <v>4.4871794871794695E-3</v>
      </c>
      <c r="X289" s="262" t="s">
        <v>296</v>
      </c>
      <c r="Y289" s="263" t="s">
        <v>121</v>
      </c>
      <c r="Z289" s="102">
        <v>36587</v>
      </c>
      <c r="AA289" s="257">
        <f>(Table6[[#This Row],[Paired WTG Generation for loss calculation]]/24)*Table6[[#This Row],[Breakdown Time]]</f>
        <v>177.85347222222157</v>
      </c>
      <c r="AB289" s="102"/>
      <c r="AC289" s="35"/>
      <c r="AD289" s="35"/>
    </row>
    <row r="290" spans="1:30">
      <c r="A290" s="102">
        <f t="shared" si="5"/>
        <v>289</v>
      </c>
      <c r="B290" s="257">
        <f>YEAR(Table6[[#This Row],[Date]])+IF(MONTH(Table6[[#This Row],[Date]])&gt;=4,1,0)</f>
        <v>2026</v>
      </c>
      <c r="C290" s="102">
        <f>YEAR(Table6[[#This Row],[Date]])</f>
        <v>2025</v>
      </c>
      <c r="D290" s="102" t="s">
        <v>265</v>
      </c>
      <c r="E290" s="258">
        <f>Table6[[#This Row],[Date]]-DAY(Table6[[#This Row],[Date]])+1</f>
        <v>45748</v>
      </c>
      <c r="F290" s="259">
        <v>45764</v>
      </c>
      <c r="G290" s="35" t="s">
        <v>134</v>
      </c>
      <c r="H290" s="35" t="str">
        <f>IFERROR(_xlfn.XLOOKUP(Table6[[#This Row],[Affected WTG]],'Basic Data'!$A:$A,'Basic Data'!$B:$B),"")</f>
        <v>TQGXIIPL</v>
      </c>
      <c r="I290" s="35" t="str">
        <f>IFERROR(_xlfn.XLOOKUP(Table6[[#This Row],[Affected WTG]],'Basic Data'!$A:$A,'Basic Data'!$C:$C),"")</f>
        <v>GEDA</v>
      </c>
      <c r="J290" s="260">
        <f>IFERROR(_xlfn.XLOOKUP(Table6[[#This Row],[Affected WTG]],'Basic Data'!$A:$A,'Basic Data'!$E:$E),"")</f>
        <v>3.846153846153845E-2</v>
      </c>
      <c r="K290" s="102">
        <v>55</v>
      </c>
      <c r="L290" s="35" t="str">
        <f>IFERROR(_xlfn.XLOOKUP(Table6[[#This Row],[Error Code]],'Basic Data'!$AA:$AA,'Basic Data'!$AB:$AB),"Incorrect Error Code")</f>
        <v>WTG shut down</v>
      </c>
      <c r="M290" s="35" t="s">
        <v>266</v>
      </c>
      <c r="N290" s="264"/>
      <c r="O290" s="265">
        <v>0.80555555555555558</v>
      </c>
      <c r="P290" s="265">
        <v>0.80555555555555558</v>
      </c>
      <c r="Q290" s="266">
        <v>0.81180555555555556</v>
      </c>
      <c r="R290" s="261">
        <f>IF(Table6[[#This Row],[Work Start TimeStamp]]="","",(Table6[[#This Row],[Work Start TimeStamp]]-Table6[[#This Row],[Fault Start TimeStamp]])*24)</f>
        <v>0</v>
      </c>
      <c r="S290" s="261">
        <f>(Table6[[#This Row],[Fault Clearance time]]-Table6[[#This Row],[Work Start TimeStamp]])*24</f>
        <v>0.14999999999999947</v>
      </c>
      <c r="T290" s="261">
        <f>(Table6[[#This Row],[Fault Clearance time]]-Table6[[#This Row],[Fault Start TimeStamp]])*24</f>
        <v>0.14999999999999947</v>
      </c>
      <c r="U290" s="35" t="s">
        <v>320</v>
      </c>
      <c r="V290" s="102" t="s">
        <v>268</v>
      </c>
      <c r="W290" s="267">
        <f>IFERROR(Table6[[#This Row],[Breakdown Time]]*Table6[[#This Row],[Plant Equivalent Weightage]],"")</f>
        <v>5.769230769230747E-3</v>
      </c>
      <c r="X290" s="262" t="s">
        <v>296</v>
      </c>
      <c r="Y290" s="263" t="s">
        <v>138</v>
      </c>
      <c r="Z290" s="102">
        <v>32115</v>
      </c>
      <c r="AA290" s="257">
        <f>(Table6[[#This Row],[Paired WTG Generation for loss calculation]]/24)*Table6[[#This Row],[Breakdown Time]]</f>
        <v>200.71874999999929</v>
      </c>
      <c r="AB290" s="102"/>
      <c r="AC290" s="35"/>
      <c r="AD290" s="35"/>
    </row>
    <row r="291" spans="1:30">
      <c r="A291" s="102">
        <f t="shared" si="5"/>
        <v>290</v>
      </c>
      <c r="B291" s="257">
        <f>YEAR(Table6[[#This Row],[Date]])+IF(MONTH(Table6[[#This Row],[Date]])&gt;=4,1,0)</f>
        <v>2026</v>
      </c>
      <c r="C291" s="102">
        <f>YEAR(Table6[[#This Row],[Date]])</f>
        <v>2025</v>
      </c>
      <c r="D291" s="102" t="s">
        <v>265</v>
      </c>
      <c r="E291" s="258">
        <f>Table6[[#This Row],[Date]]-DAY(Table6[[#This Row],[Date]])+1</f>
        <v>45748</v>
      </c>
      <c r="F291" s="259">
        <v>45764</v>
      </c>
      <c r="G291" s="35" t="s">
        <v>135</v>
      </c>
      <c r="H291" s="35" t="str">
        <f>IFERROR(_xlfn.XLOOKUP(Table6[[#This Row],[Affected WTG]],'Basic Data'!$A:$A,'Basic Data'!$B:$B),"")</f>
        <v>TQGXIIPL</v>
      </c>
      <c r="I291" s="35" t="str">
        <f>IFERROR(_xlfn.XLOOKUP(Table6[[#This Row],[Affected WTG]],'Basic Data'!$A:$A,'Basic Data'!$C:$C),"")</f>
        <v>GEDA</v>
      </c>
      <c r="J291" s="260">
        <f>IFERROR(_xlfn.XLOOKUP(Table6[[#This Row],[Affected WTG]],'Basic Data'!$A:$A,'Basic Data'!$E:$E),"")</f>
        <v>3.846153846153845E-2</v>
      </c>
      <c r="K291" s="102">
        <v>4520</v>
      </c>
      <c r="L291" s="35" t="str">
        <f>IFERROR(_xlfn.XLOOKUP(Table6[[#This Row],[Error Code]],'Basic Data'!$AA:$AA,'Basic Data'!$AB:$AB),"Incorrect Error Code")</f>
        <v>Tower oscillation X level 1</v>
      </c>
      <c r="M291" s="35" t="s">
        <v>266</v>
      </c>
      <c r="N291" s="264"/>
      <c r="O291" s="265">
        <v>0.2</v>
      </c>
      <c r="P291" s="265">
        <v>0.2</v>
      </c>
      <c r="Q291" s="266">
        <v>0.2076388888888889</v>
      </c>
      <c r="R291" s="261">
        <f>IF(Table6[[#This Row],[Work Start TimeStamp]]="","",(Table6[[#This Row],[Work Start TimeStamp]]-Table6[[#This Row],[Fault Start TimeStamp]])*24)</f>
        <v>0</v>
      </c>
      <c r="S291" s="261">
        <f>(Table6[[#This Row],[Fault Clearance time]]-Table6[[#This Row],[Work Start TimeStamp]])*24</f>
        <v>0.18333333333333335</v>
      </c>
      <c r="T291" s="261">
        <f>(Table6[[#This Row],[Fault Clearance time]]-Table6[[#This Row],[Fault Start TimeStamp]])*24</f>
        <v>0.18333333333333335</v>
      </c>
      <c r="U291" s="35" t="s">
        <v>267</v>
      </c>
      <c r="V291" s="102" t="s">
        <v>268</v>
      </c>
      <c r="W291" s="267">
        <f>IFERROR(Table6[[#This Row],[Breakdown Time]]*Table6[[#This Row],[Plant Equivalent Weightage]],"")</f>
        <v>7.0512820512820496E-3</v>
      </c>
      <c r="X291" s="262" t="s">
        <v>269</v>
      </c>
      <c r="Y291" s="263" t="s">
        <v>120</v>
      </c>
      <c r="Z291" s="102">
        <v>34183</v>
      </c>
      <c r="AA291" s="257">
        <f>(Table6[[#This Row],[Paired WTG Generation for loss calculation]]/24)*Table6[[#This Row],[Breakdown Time]]</f>
        <v>261.1201388888889</v>
      </c>
      <c r="AB291" s="102"/>
      <c r="AC291" s="35"/>
      <c r="AD291" s="35"/>
    </row>
    <row r="292" spans="1:30">
      <c r="A292" s="102">
        <f t="shared" si="5"/>
        <v>291</v>
      </c>
      <c r="B292" s="257">
        <f>YEAR(Table6[[#This Row],[Date]])+IF(MONTH(Table6[[#This Row],[Date]])&gt;=4,1,0)</f>
        <v>2026</v>
      </c>
      <c r="C292" s="102">
        <f>YEAR(Table6[[#This Row],[Date]])</f>
        <v>2025</v>
      </c>
      <c r="D292" s="102" t="s">
        <v>265</v>
      </c>
      <c r="E292" s="258">
        <f>Table6[[#This Row],[Date]]-DAY(Table6[[#This Row],[Date]])+1</f>
        <v>45748</v>
      </c>
      <c r="F292" s="259">
        <v>45764</v>
      </c>
      <c r="G292" s="35" t="s">
        <v>135</v>
      </c>
      <c r="H292" s="35" t="str">
        <f>IFERROR(_xlfn.XLOOKUP(Table6[[#This Row],[Affected WTG]],'Basic Data'!$A:$A,'Basic Data'!$B:$B),"")</f>
        <v>TQGXIIPL</v>
      </c>
      <c r="I292" s="35" t="str">
        <f>IFERROR(_xlfn.XLOOKUP(Table6[[#This Row],[Affected WTG]],'Basic Data'!$A:$A,'Basic Data'!$C:$C),"")</f>
        <v>GEDA</v>
      </c>
      <c r="J292" s="260">
        <f>IFERROR(_xlfn.XLOOKUP(Table6[[#This Row],[Affected WTG]],'Basic Data'!$A:$A,'Basic Data'!$E:$E),"")</f>
        <v>3.846153846153845E-2</v>
      </c>
      <c r="K292" s="102">
        <v>55</v>
      </c>
      <c r="L292" s="35" t="str">
        <f>IFERROR(_xlfn.XLOOKUP(Table6[[#This Row],[Error Code]],'Basic Data'!$AA:$AA,'Basic Data'!$AB:$AB),"Incorrect Error Code")</f>
        <v>WTG shut down</v>
      </c>
      <c r="M292" s="35" t="s">
        <v>266</v>
      </c>
      <c r="N292" s="264"/>
      <c r="O292" s="265">
        <v>0.82361111111111107</v>
      </c>
      <c r="P292" s="265">
        <v>0.82361111111111107</v>
      </c>
      <c r="Q292" s="266">
        <v>0.82986111111111116</v>
      </c>
      <c r="R292" s="261">
        <f>IF(Table6[[#This Row],[Work Start TimeStamp]]="","",(Table6[[#This Row],[Work Start TimeStamp]]-Table6[[#This Row],[Fault Start TimeStamp]])*24)</f>
        <v>0</v>
      </c>
      <c r="S292" s="261">
        <f>(Table6[[#This Row],[Fault Clearance time]]-Table6[[#This Row],[Work Start TimeStamp]])*24</f>
        <v>0.15000000000000213</v>
      </c>
      <c r="T292" s="261">
        <f>(Table6[[#This Row],[Fault Clearance time]]-Table6[[#This Row],[Fault Start TimeStamp]])*24</f>
        <v>0.15000000000000213</v>
      </c>
      <c r="U292" s="35" t="s">
        <v>320</v>
      </c>
      <c r="V292" s="102" t="s">
        <v>268</v>
      </c>
      <c r="W292" s="267">
        <f>IFERROR(Table6[[#This Row],[Breakdown Time]]*Table6[[#This Row],[Plant Equivalent Weightage]],"")</f>
        <v>5.7692307692308493E-3</v>
      </c>
      <c r="X292" s="262" t="s">
        <v>296</v>
      </c>
      <c r="Y292" s="263" t="s">
        <v>120</v>
      </c>
      <c r="Z292" s="102">
        <v>34183</v>
      </c>
      <c r="AA292" s="257">
        <f>(Table6[[#This Row],[Paired WTG Generation for loss calculation]]/24)*Table6[[#This Row],[Breakdown Time]]</f>
        <v>213.64375000000305</v>
      </c>
      <c r="AB292" s="102"/>
      <c r="AC292" s="35"/>
      <c r="AD292" s="35"/>
    </row>
    <row r="293" spans="1:30">
      <c r="A293" s="102">
        <f t="shared" si="5"/>
        <v>292</v>
      </c>
      <c r="B293" s="257">
        <f>YEAR(Table6[[#This Row],[Date]])+IF(MONTH(Table6[[#This Row],[Date]])&gt;=4,1,0)</f>
        <v>2026</v>
      </c>
      <c r="C293" s="102">
        <f>YEAR(Table6[[#This Row],[Date]])</f>
        <v>2025</v>
      </c>
      <c r="D293" s="102" t="s">
        <v>265</v>
      </c>
      <c r="E293" s="258">
        <f>Table6[[#This Row],[Date]]-DAY(Table6[[#This Row],[Date]])+1</f>
        <v>45748</v>
      </c>
      <c r="F293" s="259">
        <v>45764</v>
      </c>
      <c r="G293" s="35" t="s">
        <v>136</v>
      </c>
      <c r="H293" s="35" t="str">
        <f>IFERROR(_xlfn.XLOOKUP(Table6[[#This Row],[Affected WTG]],'Basic Data'!$A:$A,'Basic Data'!$B:$B),"")</f>
        <v>TQGXIIPL</v>
      </c>
      <c r="I293" s="35" t="str">
        <f>IFERROR(_xlfn.XLOOKUP(Table6[[#This Row],[Affected WTG]],'Basic Data'!$A:$A,'Basic Data'!$C:$C),"")</f>
        <v>GEDA</v>
      </c>
      <c r="J293" s="260">
        <f>IFERROR(_xlfn.XLOOKUP(Table6[[#This Row],[Affected WTG]],'Basic Data'!$A:$A,'Basic Data'!$E:$E),"")</f>
        <v>3.846153846153845E-2</v>
      </c>
      <c r="K293" s="102">
        <v>55</v>
      </c>
      <c r="L293" s="35" t="str">
        <f>IFERROR(_xlfn.XLOOKUP(Table6[[#This Row],[Error Code]],'Basic Data'!$AA:$AA,'Basic Data'!$AB:$AB),"Incorrect Error Code")</f>
        <v>WTG shut down</v>
      </c>
      <c r="M293" s="35" t="s">
        <v>266</v>
      </c>
      <c r="N293" s="264"/>
      <c r="O293" s="265">
        <v>0.78194444444444444</v>
      </c>
      <c r="P293" s="265">
        <v>0.78194444444444444</v>
      </c>
      <c r="Q293" s="266">
        <v>0.78819444444444442</v>
      </c>
      <c r="R293" s="261">
        <f>IF(Table6[[#This Row],[Work Start TimeStamp]]="","",(Table6[[#This Row],[Work Start TimeStamp]]-Table6[[#This Row],[Fault Start TimeStamp]])*24)</f>
        <v>0</v>
      </c>
      <c r="S293" s="261">
        <f>(Table6[[#This Row],[Fault Clearance time]]-Table6[[#This Row],[Work Start TimeStamp]])*24</f>
        <v>0.14999999999999947</v>
      </c>
      <c r="T293" s="261">
        <f>(Table6[[#This Row],[Fault Clearance time]]-Table6[[#This Row],[Fault Start TimeStamp]])*24</f>
        <v>0.14999999999999947</v>
      </c>
      <c r="U293" s="35" t="s">
        <v>320</v>
      </c>
      <c r="V293" s="102" t="s">
        <v>268</v>
      </c>
      <c r="W293" s="267">
        <f>IFERROR(Table6[[#This Row],[Breakdown Time]]*Table6[[#This Row],[Plant Equivalent Weightage]],"")</f>
        <v>5.769230769230747E-3</v>
      </c>
      <c r="X293" s="262" t="s">
        <v>296</v>
      </c>
      <c r="Y293" s="263" t="s">
        <v>120</v>
      </c>
      <c r="Z293" s="102">
        <v>34183</v>
      </c>
      <c r="AA293" s="257">
        <f>(Table6[[#This Row],[Paired WTG Generation for loss calculation]]/24)*Table6[[#This Row],[Breakdown Time]]</f>
        <v>213.64374999999924</v>
      </c>
      <c r="AB293" s="102"/>
      <c r="AC293" s="35"/>
      <c r="AD293" s="35"/>
    </row>
    <row r="294" spans="1:30">
      <c r="A294" s="102">
        <f t="shared" si="5"/>
        <v>293</v>
      </c>
      <c r="B294" s="257">
        <f>YEAR(Table6[[#This Row],[Date]])+IF(MONTH(Table6[[#This Row],[Date]])&gt;=4,1,0)</f>
        <v>2026</v>
      </c>
      <c r="C294" s="102">
        <f>YEAR(Table6[[#This Row],[Date]])</f>
        <v>2025</v>
      </c>
      <c r="D294" s="102" t="s">
        <v>265</v>
      </c>
      <c r="E294" s="258">
        <f>Table6[[#This Row],[Date]]-DAY(Table6[[#This Row],[Date]])+1</f>
        <v>45748</v>
      </c>
      <c r="F294" s="259">
        <v>45764</v>
      </c>
      <c r="G294" s="35" t="s">
        <v>138</v>
      </c>
      <c r="H294" s="35" t="str">
        <f>IFERROR(_xlfn.XLOOKUP(Table6[[#This Row],[Affected WTG]],'Basic Data'!$A:$A,'Basic Data'!$B:$B),"")</f>
        <v>TQGXIIPL</v>
      </c>
      <c r="I294" s="35" t="str">
        <f>IFERROR(_xlfn.XLOOKUP(Table6[[#This Row],[Affected WTG]],'Basic Data'!$A:$A,'Basic Data'!$C:$C),"")</f>
        <v>GEDA</v>
      </c>
      <c r="J294" s="260">
        <f>IFERROR(_xlfn.XLOOKUP(Table6[[#This Row],[Affected WTG]],'Basic Data'!$A:$A,'Basic Data'!$E:$E),"")</f>
        <v>3.846153846153845E-2</v>
      </c>
      <c r="K294" s="102">
        <v>55</v>
      </c>
      <c r="L294" s="35" t="str">
        <f>IFERROR(_xlfn.XLOOKUP(Table6[[#This Row],[Error Code]],'Basic Data'!$AA:$AA,'Basic Data'!$AB:$AB),"Incorrect Error Code")</f>
        <v>WTG shut down</v>
      </c>
      <c r="M294" s="35" t="s">
        <v>266</v>
      </c>
      <c r="N294" s="264"/>
      <c r="O294" s="265">
        <v>0.76597222222222228</v>
      </c>
      <c r="P294" s="265">
        <v>0.76597222222222228</v>
      </c>
      <c r="Q294" s="266">
        <v>0.78194444444444444</v>
      </c>
      <c r="R294" s="261">
        <f>IF(Table6[[#This Row],[Work Start TimeStamp]]="","",(Table6[[#This Row],[Work Start TimeStamp]]-Table6[[#This Row],[Fault Start TimeStamp]])*24)</f>
        <v>0</v>
      </c>
      <c r="S294" s="261">
        <f>(Table6[[#This Row],[Fault Clearance time]]-Table6[[#This Row],[Work Start TimeStamp]])*24</f>
        <v>0.38333333333333197</v>
      </c>
      <c r="T294" s="261">
        <f>(Table6[[#This Row],[Fault Clearance time]]-Table6[[#This Row],[Fault Start TimeStamp]])*24</f>
        <v>0.38333333333333197</v>
      </c>
      <c r="U294" s="35" t="s">
        <v>320</v>
      </c>
      <c r="V294" s="102" t="s">
        <v>268</v>
      </c>
      <c r="W294" s="267">
        <f>IFERROR(Table6[[#This Row],[Breakdown Time]]*Table6[[#This Row],[Plant Equivalent Weightage]],"")</f>
        <v>1.4743589743589686E-2</v>
      </c>
      <c r="X294" s="262" t="s">
        <v>296</v>
      </c>
      <c r="Y294" s="263" t="s">
        <v>134</v>
      </c>
      <c r="Z294" s="102">
        <v>33211</v>
      </c>
      <c r="AA294" s="257">
        <f>(Table6[[#This Row],[Paired WTG Generation for loss calculation]]/24)*Table6[[#This Row],[Breakdown Time]]</f>
        <v>530.4534722222204</v>
      </c>
      <c r="AB294" s="102"/>
      <c r="AC294" s="35"/>
      <c r="AD294" s="35"/>
    </row>
    <row r="295" spans="1:30">
      <c r="A295" s="102">
        <f t="shared" si="5"/>
        <v>294</v>
      </c>
      <c r="B295" s="257">
        <f>YEAR(Table6[[#This Row],[Date]])+IF(MONTH(Table6[[#This Row],[Date]])&gt;=4,1,0)</f>
        <v>2026</v>
      </c>
      <c r="C295" s="102">
        <f>YEAR(Table6[[#This Row],[Date]])</f>
        <v>2025</v>
      </c>
      <c r="D295" s="102" t="s">
        <v>265</v>
      </c>
      <c r="E295" s="258">
        <f>Table6[[#This Row],[Date]]-DAY(Table6[[#This Row],[Date]])+1</f>
        <v>45748</v>
      </c>
      <c r="F295" s="259">
        <v>45764</v>
      </c>
      <c r="G295" s="35" t="s">
        <v>138</v>
      </c>
      <c r="H295" s="35" t="str">
        <f>IFERROR(_xlfn.XLOOKUP(Table6[[#This Row],[Affected WTG]],'Basic Data'!$A:$A,'Basic Data'!$B:$B),"")</f>
        <v>TQGXIIPL</v>
      </c>
      <c r="I295" s="35" t="str">
        <f>IFERROR(_xlfn.XLOOKUP(Table6[[#This Row],[Affected WTG]],'Basic Data'!$A:$A,'Basic Data'!$C:$C),"")</f>
        <v>GEDA</v>
      </c>
      <c r="J295" s="260">
        <f>IFERROR(_xlfn.XLOOKUP(Table6[[#This Row],[Affected WTG]],'Basic Data'!$A:$A,'Basic Data'!$E:$E),"")</f>
        <v>3.846153846153845E-2</v>
      </c>
      <c r="K295" s="102">
        <v>55</v>
      </c>
      <c r="L295" s="35" t="str">
        <f>IFERROR(_xlfn.XLOOKUP(Table6[[#This Row],[Error Code]],'Basic Data'!$AA:$AA,'Basic Data'!$AB:$AB),"Incorrect Error Code")</f>
        <v>WTG shut down</v>
      </c>
      <c r="M295" s="35" t="s">
        <v>266</v>
      </c>
      <c r="N295" s="264"/>
      <c r="O295" s="265">
        <v>0.96736111111111112</v>
      </c>
      <c r="P295" s="265">
        <v>0.96736111111111112</v>
      </c>
      <c r="Q295" s="266">
        <v>1</v>
      </c>
      <c r="R295" s="261">
        <f>IF(Table6[[#This Row],[Work Start TimeStamp]]="","",(Table6[[#This Row],[Work Start TimeStamp]]-Table6[[#This Row],[Fault Start TimeStamp]])*24)</f>
        <v>0</v>
      </c>
      <c r="S295" s="261">
        <f>(Table6[[#This Row],[Fault Clearance time]]-Table6[[#This Row],[Work Start TimeStamp]])*24</f>
        <v>0.78333333333333321</v>
      </c>
      <c r="T295" s="261">
        <f>(Table6[[#This Row],[Fault Clearance time]]-Table6[[#This Row],[Fault Start TimeStamp]])*24</f>
        <v>0.78333333333333321</v>
      </c>
      <c r="U295" s="35" t="s">
        <v>335</v>
      </c>
      <c r="V295" s="102" t="s">
        <v>289</v>
      </c>
      <c r="W295" s="267">
        <f>IFERROR(Table6[[#This Row],[Breakdown Time]]*Table6[[#This Row],[Plant Equivalent Weightage]],"")</f>
        <v>3.0128205128205115E-2</v>
      </c>
      <c r="X295" s="262" t="s">
        <v>296</v>
      </c>
      <c r="Y295" s="263" t="s">
        <v>134</v>
      </c>
      <c r="Z295" s="102">
        <v>33211</v>
      </c>
      <c r="AA295" s="257">
        <f>(Table6[[#This Row],[Paired WTG Generation for loss calculation]]/24)*Table6[[#This Row],[Breakdown Time]]</f>
        <v>1083.9701388888889</v>
      </c>
      <c r="AB295" s="102"/>
      <c r="AC295" s="35"/>
      <c r="AD295" s="35"/>
    </row>
    <row r="296" spans="1:30">
      <c r="A296" s="102">
        <f t="shared" si="5"/>
        <v>295</v>
      </c>
      <c r="B296" s="257">
        <f>YEAR(Table6[[#This Row],[Date]])+IF(MONTH(Table6[[#This Row],[Date]])&gt;=4,1,0)</f>
        <v>2026</v>
      </c>
      <c r="C296" s="102">
        <f>YEAR(Table6[[#This Row],[Date]])</f>
        <v>2025</v>
      </c>
      <c r="D296" s="102" t="s">
        <v>265</v>
      </c>
      <c r="E296" s="258">
        <f>Table6[[#This Row],[Date]]-DAY(Table6[[#This Row],[Date]])+1</f>
        <v>45748</v>
      </c>
      <c r="F296" s="259">
        <v>45764</v>
      </c>
      <c r="G296" s="35" t="s">
        <v>139</v>
      </c>
      <c r="H296" s="35" t="str">
        <f>IFERROR(_xlfn.XLOOKUP(Table6[[#This Row],[Affected WTG]],'Basic Data'!$A:$A,'Basic Data'!$B:$B),"")</f>
        <v>TQGXIIPL</v>
      </c>
      <c r="I296" s="35" t="str">
        <f>IFERROR(_xlfn.XLOOKUP(Table6[[#This Row],[Affected WTG]],'Basic Data'!$A:$A,'Basic Data'!$C:$C),"")</f>
        <v>GEDA</v>
      </c>
      <c r="J296" s="260">
        <f>IFERROR(_xlfn.XLOOKUP(Table6[[#This Row],[Affected WTG]],'Basic Data'!$A:$A,'Basic Data'!$E:$E),"")</f>
        <v>3.846153846153845E-2</v>
      </c>
      <c r="K296" s="102">
        <v>3110</v>
      </c>
      <c r="L296" s="35" t="str">
        <f>IFERROR(_xlfn.XLOOKUP(Table6[[#This Row],[Error Code]],'Basic Data'!$AA:$AA,'Basic Data'!$AB:$AB),"Incorrect Error Code")</f>
        <v>Frequency converter error</v>
      </c>
      <c r="M296" s="35" t="s">
        <v>266</v>
      </c>
      <c r="N296" s="264"/>
      <c r="O296" s="265">
        <v>0.16597222222222222</v>
      </c>
      <c r="P296" s="265">
        <v>0.16597222222222222</v>
      </c>
      <c r="Q296" s="266">
        <v>0.18541666666666667</v>
      </c>
      <c r="R296" s="261">
        <f>IF(Table6[[#This Row],[Work Start TimeStamp]]="","",(Table6[[#This Row],[Work Start TimeStamp]]-Table6[[#This Row],[Fault Start TimeStamp]])*24)</f>
        <v>0</v>
      </c>
      <c r="S296" s="261">
        <f>(Table6[[#This Row],[Fault Clearance time]]-Table6[[#This Row],[Work Start TimeStamp]])*24</f>
        <v>0.46666666666666701</v>
      </c>
      <c r="T296" s="261">
        <f>(Table6[[#This Row],[Fault Clearance time]]-Table6[[#This Row],[Fault Start TimeStamp]])*24</f>
        <v>0.46666666666666701</v>
      </c>
      <c r="U296" s="35" t="s">
        <v>267</v>
      </c>
      <c r="V296" s="102" t="s">
        <v>268</v>
      </c>
      <c r="W296" s="267">
        <f>IFERROR(Table6[[#This Row],[Breakdown Time]]*Table6[[#This Row],[Plant Equivalent Weightage]],"")</f>
        <v>1.7948717948717958E-2</v>
      </c>
      <c r="X296" s="262" t="s">
        <v>269</v>
      </c>
      <c r="Y296" s="263" t="s">
        <v>115</v>
      </c>
      <c r="Z296" s="102">
        <v>36843</v>
      </c>
      <c r="AA296" s="257">
        <f>(Table6[[#This Row],[Paired WTG Generation for loss calculation]]/24)*Table6[[#This Row],[Breakdown Time]]</f>
        <v>716.39166666666722</v>
      </c>
      <c r="AB296" s="102"/>
      <c r="AC296" s="35"/>
      <c r="AD296" s="35"/>
    </row>
    <row r="297" spans="1:30">
      <c r="A297" s="102">
        <f t="shared" si="5"/>
        <v>296</v>
      </c>
      <c r="B297" s="257">
        <f>YEAR(Table6[[#This Row],[Date]])+IF(MONTH(Table6[[#This Row],[Date]])&gt;=4,1,0)</f>
        <v>2026</v>
      </c>
      <c r="C297" s="102">
        <f>YEAR(Table6[[#This Row],[Date]])</f>
        <v>2025</v>
      </c>
      <c r="D297" s="102" t="s">
        <v>265</v>
      </c>
      <c r="E297" s="258">
        <f>Table6[[#This Row],[Date]]-DAY(Table6[[#This Row],[Date]])+1</f>
        <v>45748</v>
      </c>
      <c r="F297" s="259">
        <v>45764</v>
      </c>
      <c r="G297" s="35" t="s">
        <v>139</v>
      </c>
      <c r="H297" s="35" t="str">
        <f>IFERROR(_xlfn.XLOOKUP(Table6[[#This Row],[Affected WTG]],'Basic Data'!$A:$A,'Basic Data'!$B:$B),"")</f>
        <v>TQGXIIPL</v>
      </c>
      <c r="I297" s="35" t="str">
        <f>IFERROR(_xlfn.XLOOKUP(Table6[[#This Row],[Affected WTG]],'Basic Data'!$A:$A,'Basic Data'!$C:$C),"")</f>
        <v>GEDA</v>
      </c>
      <c r="J297" s="260">
        <f>IFERROR(_xlfn.XLOOKUP(Table6[[#This Row],[Affected WTG]],'Basic Data'!$A:$A,'Basic Data'!$E:$E),"")</f>
        <v>3.846153846153845E-2</v>
      </c>
      <c r="K297" s="102">
        <v>55</v>
      </c>
      <c r="L297" s="35" t="str">
        <f>IFERROR(_xlfn.XLOOKUP(Table6[[#This Row],[Error Code]],'Basic Data'!$AA:$AA,'Basic Data'!$AB:$AB),"Incorrect Error Code")</f>
        <v>WTG shut down</v>
      </c>
      <c r="M297" s="35" t="s">
        <v>266</v>
      </c>
      <c r="N297" s="264"/>
      <c r="O297" s="265">
        <v>0.77013888888888893</v>
      </c>
      <c r="P297" s="265">
        <v>0.77013888888888893</v>
      </c>
      <c r="Q297" s="266">
        <v>0.77500000000000002</v>
      </c>
      <c r="R297" s="261">
        <f>IF(Table6[[#This Row],[Work Start TimeStamp]]="","",(Table6[[#This Row],[Work Start TimeStamp]]-Table6[[#This Row],[Fault Start TimeStamp]])*24)</f>
        <v>0</v>
      </c>
      <c r="S297" s="261">
        <f>(Table6[[#This Row],[Fault Clearance time]]-Table6[[#This Row],[Work Start TimeStamp]])*24</f>
        <v>0.11666666666666625</v>
      </c>
      <c r="T297" s="261">
        <f>(Table6[[#This Row],[Fault Clearance time]]-Table6[[#This Row],[Fault Start TimeStamp]])*24</f>
        <v>0.11666666666666625</v>
      </c>
      <c r="U297" s="35" t="s">
        <v>320</v>
      </c>
      <c r="V297" s="102" t="s">
        <v>268</v>
      </c>
      <c r="W297" s="267">
        <f>IFERROR(Table6[[#This Row],[Breakdown Time]]*Table6[[#This Row],[Plant Equivalent Weightage]],"")</f>
        <v>4.4871794871794695E-3</v>
      </c>
      <c r="X297" s="262" t="s">
        <v>296</v>
      </c>
      <c r="Y297" s="263" t="s">
        <v>115</v>
      </c>
      <c r="Z297" s="102">
        <v>36843</v>
      </c>
      <c r="AA297" s="257">
        <f>(Table6[[#This Row],[Paired WTG Generation for loss calculation]]/24)*Table6[[#This Row],[Breakdown Time]]</f>
        <v>179.09791666666604</v>
      </c>
      <c r="AB297" s="102"/>
      <c r="AC297" s="35"/>
      <c r="AD297" s="35"/>
    </row>
    <row r="298" spans="1:30">
      <c r="A298" s="102">
        <f t="shared" si="5"/>
        <v>297</v>
      </c>
      <c r="B298" s="257">
        <f>YEAR(Table6[[#This Row],[Date]])+IF(MONTH(Table6[[#This Row],[Date]])&gt;=4,1,0)</f>
        <v>2026</v>
      </c>
      <c r="C298" s="102">
        <f>YEAR(Table6[[#This Row],[Date]])</f>
        <v>2025</v>
      </c>
      <c r="D298" s="102" t="s">
        <v>265</v>
      </c>
      <c r="E298" s="258">
        <f>Table6[[#This Row],[Date]]-DAY(Table6[[#This Row],[Date]])+1</f>
        <v>45748</v>
      </c>
      <c r="F298" s="259">
        <v>45764</v>
      </c>
      <c r="G298" s="35" t="s">
        <v>139</v>
      </c>
      <c r="H298" s="35" t="str">
        <f>IFERROR(_xlfn.XLOOKUP(Table6[[#This Row],[Affected WTG]],'Basic Data'!$A:$A,'Basic Data'!$B:$B),"")</f>
        <v>TQGXIIPL</v>
      </c>
      <c r="I298" s="35" t="str">
        <f>IFERROR(_xlfn.XLOOKUP(Table6[[#This Row],[Affected WTG]],'Basic Data'!$A:$A,'Basic Data'!$C:$C),"")</f>
        <v>GEDA</v>
      </c>
      <c r="J298" s="260">
        <f>IFERROR(_xlfn.XLOOKUP(Table6[[#This Row],[Affected WTG]],'Basic Data'!$A:$A,'Basic Data'!$E:$E),"")</f>
        <v>3.846153846153845E-2</v>
      </c>
      <c r="K298" s="102">
        <v>55</v>
      </c>
      <c r="L298" s="35" t="str">
        <f>IFERROR(_xlfn.XLOOKUP(Table6[[#This Row],[Error Code]],'Basic Data'!$AA:$AA,'Basic Data'!$AB:$AB),"Incorrect Error Code")</f>
        <v>WTG shut down</v>
      </c>
      <c r="M298" s="35" t="s">
        <v>300</v>
      </c>
      <c r="N298" s="264"/>
      <c r="O298" s="265">
        <v>0.86736111111111114</v>
      </c>
      <c r="P298" s="265">
        <v>0.86736111111111114</v>
      </c>
      <c r="Q298" s="266">
        <v>0.90972222222222221</v>
      </c>
      <c r="R298" s="261">
        <f>IF(Table6[[#This Row],[Work Start TimeStamp]]="","",(Table6[[#This Row],[Work Start TimeStamp]]-Table6[[#This Row],[Fault Start TimeStamp]])*24)</f>
        <v>0</v>
      </c>
      <c r="S298" s="261">
        <f>(Table6[[#This Row],[Fault Clearance time]]-Table6[[#This Row],[Work Start TimeStamp]])*24</f>
        <v>1.0166666666666657</v>
      </c>
      <c r="T298" s="261">
        <f>(Table6[[#This Row],[Fault Clearance time]]-Table6[[#This Row],[Fault Start TimeStamp]])*24</f>
        <v>1.0166666666666657</v>
      </c>
      <c r="U298" s="35" t="s">
        <v>301</v>
      </c>
      <c r="V298" s="102" t="s">
        <v>268</v>
      </c>
      <c r="W298" s="267">
        <f>IFERROR(Table6[[#This Row],[Breakdown Time]]*Table6[[#This Row],[Plant Equivalent Weightage]],"")</f>
        <v>3.9102564102564054E-2</v>
      </c>
      <c r="X298" s="262" t="s">
        <v>296</v>
      </c>
      <c r="Y298" s="263" t="s">
        <v>115</v>
      </c>
      <c r="Z298" s="102">
        <v>36843</v>
      </c>
      <c r="AA298" s="257">
        <f>(Table6[[#This Row],[Paired WTG Generation for loss calculation]]/24)*Table6[[#This Row],[Breakdown Time]]</f>
        <v>1560.7104166666652</v>
      </c>
      <c r="AB298" s="102"/>
      <c r="AC298" s="35"/>
      <c r="AD298" s="35"/>
    </row>
    <row r="299" spans="1:30">
      <c r="A299" s="102">
        <f t="shared" si="5"/>
        <v>298</v>
      </c>
      <c r="B299" s="257">
        <f>YEAR(Table6[[#This Row],[Date]])+IF(MONTH(Table6[[#This Row],[Date]])&gt;=4,1,0)</f>
        <v>2026</v>
      </c>
      <c r="C299" s="102">
        <f>YEAR(Table6[[#This Row],[Date]])</f>
        <v>2025</v>
      </c>
      <c r="D299" s="102" t="s">
        <v>265</v>
      </c>
      <c r="E299" s="258">
        <f>Table6[[#This Row],[Date]]-DAY(Table6[[#This Row],[Date]])+1</f>
        <v>45748</v>
      </c>
      <c r="F299" s="259">
        <v>45765</v>
      </c>
      <c r="G299" s="35" t="s">
        <v>116</v>
      </c>
      <c r="H299" s="35" t="str">
        <f>IFERROR(_xlfn.XLOOKUP(Table6[[#This Row],[Affected WTG]],'Basic Data'!$A:$A,'Basic Data'!$B:$B),"")</f>
        <v>TQGXIIPL</v>
      </c>
      <c r="I299" s="35" t="str">
        <f>IFERROR(_xlfn.XLOOKUP(Table6[[#This Row],[Affected WTG]],'Basic Data'!$A:$A,'Basic Data'!$C:$C),"")</f>
        <v>GEDA</v>
      </c>
      <c r="J299" s="260">
        <f>IFERROR(_xlfn.XLOOKUP(Table6[[#This Row],[Affected WTG]],'Basic Data'!$A:$A,'Basic Data'!$E:$E),"")</f>
        <v>3.846153846153845E-2</v>
      </c>
      <c r="K299" s="102">
        <v>55</v>
      </c>
      <c r="L299" s="35" t="str">
        <f>IFERROR(_xlfn.XLOOKUP(Table6[[#This Row],[Error Code]],'Basic Data'!$AA:$AA,'Basic Data'!$AB:$AB),"Incorrect Error Code")</f>
        <v>WTG shut down</v>
      </c>
      <c r="M299" s="35" t="s">
        <v>271</v>
      </c>
      <c r="N299" s="264"/>
      <c r="O299" s="265">
        <v>0.27152777777777776</v>
      </c>
      <c r="P299" s="265">
        <v>0.27638888888888891</v>
      </c>
      <c r="Q299" s="266">
        <v>0.51458333333333328</v>
      </c>
      <c r="R299" s="261">
        <f>IF(Table6[[#This Row],[Work Start TimeStamp]]="","",(Table6[[#This Row],[Work Start TimeStamp]]-Table6[[#This Row],[Fault Start TimeStamp]])*24)</f>
        <v>0.11666666666666758</v>
      </c>
      <c r="S299" s="261">
        <f>(Table6[[#This Row],[Fault Clearance time]]-Table6[[#This Row],[Work Start TimeStamp]])*24</f>
        <v>5.716666666666665</v>
      </c>
      <c r="T299" s="261">
        <f>(Table6[[#This Row],[Fault Clearance time]]-Table6[[#This Row],[Fault Start TimeStamp]])*24</f>
        <v>5.8333333333333321</v>
      </c>
      <c r="U299" s="35" t="s">
        <v>328</v>
      </c>
      <c r="V299" s="102" t="s">
        <v>268</v>
      </c>
      <c r="W299" s="267">
        <f>IFERROR(Table6[[#This Row],[Breakdown Time]]*Table6[[#This Row],[Plant Equivalent Weightage]],"")</f>
        <v>0.22435897435897426</v>
      </c>
      <c r="X299" s="262" t="s">
        <v>273</v>
      </c>
      <c r="Y299" s="263" t="s">
        <v>119</v>
      </c>
      <c r="Z299" s="102">
        <v>34316</v>
      </c>
      <c r="AA299" s="257">
        <f>(Table6[[#This Row],[Paired WTG Generation for loss calculation]]/24)*Table6[[#This Row],[Breakdown Time]]</f>
        <v>8340.6944444444416</v>
      </c>
      <c r="AB299" s="102"/>
      <c r="AC299" s="35"/>
      <c r="AD299" s="35"/>
    </row>
    <row r="300" spans="1:30">
      <c r="A300" s="102">
        <f t="shared" si="5"/>
        <v>299</v>
      </c>
      <c r="B300" s="257">
        <f>YEAR(Table6[[#This Row],[Date]])+IF(MONTH(Table6[[#This Row],[Date]])&gt;=4,1,0)</f>
        <v>2026</v>
      </c>
      <c r="C300" s="102">
        <f>YEAR(Table6[[#This Row],[Date]])</f>
        <v>2025</v>
      </c>
      <c r="D300" s="102" t="s">
        <v>265</v>
      </c>
      <c r="E300" s="258">
        <f>Table6[[#This Row],[Date]]-DAY(Table6[[#This Row],[Date]])+1</f>
        <v>45748</v>
      </c>
      <c r="F300" s="259">
        <v>45765</v>
      </c>
      <c r="G300" s="35" t="s">
        <v>117</v>
      </c>
      <c r="H300" s="35" t="str">
        <f>IFERROR(_xlfn.XLOOKUP(Table6[[#This Row],[Affected WTG]],'Basic Data'!$A:$A,'Basic Data'!$B:$B),"")</f>
        <v>TQGXIIPL</v>
      </c>
      <c r="I300" s="35" t="str">
        <f>IFERROR(_xlfn.XLOOKUP(Table6[[#This Row],[Affected WTG]],'Basic Data'!$A:$A,'Basic Data'!$C:$C),"")</f>
        <v>GEDA</v>
      </c>
      <c r="J300" s="260">
        <f>IFERROR(_xlfn.XLOOKUP(Table6[[#This Row],[Affected WTG]],'Basic Data'!$A:$A,'Basic Data'!$E:$E),"")</f>
        <v>3.846153846153845E-2</v>
      </c>
      <c r="K300" s="102">
        <v>4960</v>
      </c>
      <c r="L300" s="35" t="str">
        <f>IFERROR(_xlfn.XLOOKUP(Table6[[#This Row],[Error Code]],'Basic Data'!$AA:$AA,'Basic Data'!$AB:$AB),"Incorrect Error Code")</f>
        <v>Tower oscillation YF</v>
      </c>
      <c r="M300" s="35" t="s">
        <v>266</v>
      </c>
      <c r="N300" s="264"/>
      <c r="O300" s="265">
        <v>0.55208333333333337</v>
      </c>
      <c r="P300" s="265">
        <v>0.55208333333333337</v>
      </c>
      <c r="Q300" s="266">
        <v>0.56319444444444444</v>
      </c>
      <c r="R300" s="261">
        <f>IF(Table6[[#This Row],[Work Start TimeStamp]]="","",(Table6[[#This Row],[Work Start TimeStamp]]-Table6[[#This Row],[Fault Start TimeStamp]])*24)</f>
        <v>0</v>
      </c>
      <c r="S300" s="261">
        <f>(Table6[[#This Row],[Fault Clearance time]]-Table6[[#This Row],[Work Start TimeStamp]])*24</f>
        <v>0.26666666666666572</v>
      </c>
      <c r="T300" s="261">
        <f>(Table6[[#This Row],[Fault Clearance time]]-Table6[[#This Row],[Fault Start TimeStamp]])*24</f>
        <v>0.26666666666666572</v>
      </c>
      <c r="U300" s="35" t="s">
        <v>267</v>
      </c>
      <c r="V300" s="102" t="s">
        <v>268</v>
      </c>
      <c r="W300" s="267">
        <f>IFERROR(Table6[[#This Row],[Breakdown Time]]*Table6[[#This Row],[Plant Equivalent Weightage]],"")</f>
        <v>1.0256410256410217E-2</v>
      </c>
      <c r="X300" s="262" t="s">
        <v>269</v>
      </c>
      <c r="Y300" s="263" t="s">
        <v>123</v>
      </c>
      <c r="Z300" s="102">
        <v>31138</v>
      </c>
      <c r="AA300" s="257">
        <f>(Table6[[#This Row],[Paired WTG Generation for loss calculation]]/24)*Table6[[#This Row],[Breakdown Time]]</f>
        <v>345.97777777777657</v>
      </c>
      <c r="AB300" s="102"/>
      <c r="AC300" s="35"/>
      <c r="AD300" s="35"/>
    </row>
    <row r="301" spans="1:30">
      <c r="A301" s="102">
        <f t="shared" si="5"/>
        <v>300</v>
      </c>
      <c r="B301" s="257">
        <f>YEAR(Table6[[#This Row],[Date]])+IF(MONTH(Table6[[#This Row],[Date]])&gt;=4,1,0)</f>
        <v>2026</v>
      </c>
      <c r="C301" s="102">
        <f>YEAR(Table6[[#This Row],[Date]])</f>
        <v>2025</v>
      </c>
      <c r="D301" s="102" t="s">
        <v>265</v>
      </c>
      <c r="E301" s="258">
        <f>Table6[[#This Row],[Date]]-DAY(Table6[[#This Row],[Date]])+1</f>
        <v>45748</v>
      </c>
      <c r="F301" s="259">
        <v>45765</v>
      </c>
      <c r="G301" s="35" t="s">
        <v>118</v>
      </c>
      <c r="H301" s="35" t="str">
        <f>IFERROR(_xlfn.XLOOKUP(Table6[[#This Row],[Affected WTG]],'Basic Data'!$A:$A,'Basic Data'!$B:$B),"")</f>
        <v>TQGXIIPL</v>
      </c>
      <c r="I301" s="35" t="str">
        <f>IFERROR(_xlfn.XLOOKUP(Table6[[#This Row],[Affected WTG]],'Basic Data'!$A:$A,'Basic Data'!$C:$C),"")</f>
        <v>GEDA</v>
      </c>
      <c r="J301" s="260">
        <f>IFERROR(_xlfn.XLOOKUP(Table6[[#This Row],[Affected WTG]],'Basic Data'!$A:$A,'Basic Data'!$E:$E),"")</f>
        <v>3.846153846153845E-2</v>
      </c>
      <c r="K301" s="102">
        <v>4960</v>
      </c>
      <c r="L301" s="35" t="str">
        <f>IFERROR(_xlfn.XLOOKUP(Table6[[#This Row],[Error Code]],'Basic Data'!$AA:$AA,'Basic Data'!$AB:$AB),"Incorrect Error Code")</f>
        <v>Tower oscillation YF</v>
      </c>
      <c r="M301" s="35" t="s">
        <v>266</v>
      </c>
      <c r="N301" s="264"/>
      <c r="O301" s="265">
        <v>0.68888888888888888</v>
      </c>
      <c r="P301" s="265">
        <v>0.68888888888888888</v>
      </c>
      <c r="Q301" s="266">
        <v>0.7</v>
      </c>
      <c r="R301" s="261">
        <f>IF(Table6[[#This Row],[Work Start TimeStamp]]="","",(Table6[[#This Row],[Work Start TimeStamp]]-Table6[[#This Row],[Fault Start TimeStamp]])*24)</f>
        <v>0</v>
      </c>
      <c r="S301" s="261">
        <f>(Table6[[#This Row],[Fault Clearance time]]-Table6[[#This Row],[Work Start TimeStamp]])*24</f>
        <v>0.26666666666666572</v>
      </c>
      <c r="T301" s="261">
        <f>(Table6[[#This Row],[Fault Clearance time]]-Table6[[#This Row],[Fault Start TimeStamp]])*24</f>
        <v>0.26666666666666572</v>
      </c>
      <c r="U301" s="35" t="s">
        <v>267</v>
      </c>
      <c r="V301" s="102" t="s">
        <v>268</v>
      </c>
      <c r="W301" s="267">
        <f>IFERROR(Table6[[#This Row],[Breakdown Time]]*Table6[[#This Row],[Plant Equivalent Weightage]],"")</f>
        <v>1.0256410256410217E-2</v>
      </c>
      <c r="X301" s="262" t="s">
        <v>269</v>
      </c>
      <c r="Y301" s="263" t="s">
        <v>121</v>
      </c>
      <c r="Z301" s="102">
        <v>45438</v>
      </c>
      <c r="AA301" s="257">
        <f>(Table6[[#This Row],[Paired WTG Generation for loss calculation]]/24)*Table6[[#This Row],[Breakdown Time]]</f>
        <v>504.86666666666486</v>
      </c>
      <c r="AB301" s="102"/>
      <c r="AC301" s="35"/>
      <c r="AD301" s="35"/>
    </row>
    <row r="302" spans="1:30">
      <c r="A302" s="102">
        <f t="shared" si="5"/>
        <v>301</v>
      </c>
      <c r="B302" s="257">
        <f>YEAR(Table6[[#This Row],[Date]])+IF(MONTH(Table6[[#This Row],[Date]])&gt;=4,1,0)</f>
        <v>2026</v>
      </c>
      <c r="C302" s="102">
        <f>YEAR(Table6[[#This Row],[Date]])</f>
        <v>2025</v>
      </c>
      <c r="D302" s="102" t="s">
        <v>265</v>
      </c>
      <c r="E302" s="258">
        <f>Table6[[#This Row],[Date]]-DAY(Table6[[#This Row],[Date]])+1</f>
        <v>45748</v>
      </c>
      <c r="F302" s="259">
        <v>45765</v>
      </c>
      <c r="G302" s="35" t="s">
        <v>119</v>
      </c>
      <c r="H302" s="35" t="str">
        <f>IFERROR(_xlfn.XLOOKUP(Table6[[#This Row],[Affected WTG]],'Basic Data'!$A:$A,'Basic Data'!$B:$B),"")</f>
        <v>TQGXIIPL</v>
      </c>
      <c r="I302" s="35" t="str">
        <f>IFERROR(_xlfn.XLOOKUP(Table6[[#This Row],[Affected WTG]],'Basic Data'!$A:$A,'Basic Data'!$C:$C),"")</f>
        <v>GEDA</v>
      </c>
      <c r="J302" s="260">
        <f>IFERROR(_xlfn.XLOOKUP(Table6[[#This Row],[Affected WTG]],'Basic Data'!$A:$A,'Basic Data'!$E:$E),"")</f>
        <v>3.846153846153845E-2</v>
      </c>
      <c r="K302" s="102">
        <v>3211</v>
      </c>
      <c r="L302" s="35" t="str">
        <f>IFERROR(_xlfn.XLOOKUP(Table6[[#This Row],[Error Code]],'Basic Data'!$AA:$AA,'Basic Data'!$AB:$AB),"Incorrect Error Code")</f>
        <v>Conv. load shedding (CAN)</v>
      </c>
      <c r="M302" s="35" t="s">
        <v>266</v>
      </c>
      <c r="N302" s="264"/>
      <c r="O302" s="265">
        <v>0.15347222222222223</v>
      </c>
      <c r="P302" s="265">
        <v>0.15347222222222223</v>
      </c>
      <c r="Q302" s="266">
        <v>0.15763888888888888</v>
      </c>
      <c r="R302" s="261">
        <f>IF(Table6[[#This Row],[Work Start TimeStamp]]="","",(Table6[[#This Row],[Work Start TimeStamp]]-Table6[[#This Row],[Fault Start TimeStamp]])*24)</f>
        <v>0</v>
      </c>
      <c r="S302" s="261">
        <f>(Table6[[#This Row],[Fault Clearance time]]-Table6[[#This Row],[Work Start TimeStamp]])*24</f>
        <v>9.9999999999999645E-2</v>
      </c>
      <c r="T302" s="261">
        <f>(Table6[[#This Row],[Fault Clearance time]]-Table6[[#This Row],[Fault Start TimeStamp]])*24</f>
        <v>9.9999999999999645E-2</v>
      </c>
      <c r="U302" s="35" t="s">
        <v>267</v>
      </c>
      <c r="V302" s="102" t="s">
        <v>268</v>
      </c>
      <c r="W302" s="267">
        <f>IFERROR(Table6[[#This Row],[Breakdown Time]]*Table6[[#This Row],[Plant Equivalent Weightage]],"")</f>
        <v>3.8461538461538312E-3</v>
      </c>
      <c r="X302" s="262" t="s">
        <v>269</v>
      </c>
      <c r="Y302" s="263" t="s">
        <v>116</v>
      </c>
      <c r="Z302" s="102">
        <v>34912</v>
      </c>
      <c r="AA302" s="257">
        <f>(Table6[[#This Row],[Paired WTG Generation for loss calculation]]/24)*Table6[[#This Row],[Breakdown Time]]</f>
        <v>145.46666666666616</v>
      </c>
      <c r="AB302" s="102"/>
      <c r="AC302" s="35"/>
      <c r="AD302" s="35"/>
    </row>
    <row r="303" spans="1:30">
      <c r="A303" s="102">
        <f t="shared" si="5"/>
        <v>302</v>
      </c>
      <c r="B303" s="257">
        <f>YEAR(Table6[[#This Row],[Date]])+IF(MONTH(Table6[[#This Row],[Date]])&gt;=4,1,0)</f>
        <v>2026</v>
      </c>
      <c r="C303" s="102">
        <f>YEAR(Table6[[#This Row],[Date]])</f>
        <v>2025</v>
      </c>
      <c r="D303" s="102" t="s">
        <v>265</v>
      </c>
      <c r="E303" s="258">
        <f>Table6[[#This Row],[Date]]-DAY(Table6[[#This Row],[Date]])+1</f>
        <v>45748</v>
      </c>
      <c r="F303" s="259">
        <v>45765</v>
      </c>
      <c r="G303" s="35" t="s">
        <v>119</v>
      </c>
      <c r="H303" s="35" t="str">
        <f>IFERROR(_xlfn.XLOOKUP(Table6[[#This Row],[Affected WTG]],'Basic Data'!$A:$A,'Basic Data'!$B:$B),"")</f>
        <v>TQGXIIPL</v>
      </c>
      <c r="I303" s="35" t="str">
        <f>IFERROR(_xlfn.XLOOKUP(Table6[[#This Row],[Affected WTG]],'Basic Data'!$A:$A,'Basic Data'!$C:$C),"")</f>
        <v>GEDA</v>
      </c>
      <c r="J303" s="260">
        <f>IFERROR(_xlfn.XLOOKUP(Table6[[#This Row],[Affected WTG]],'Basic Data'!$A:$A,'Basic Data'!$E:$E),"")</f>
        <v>3.846153846153845E-2</v>
      </c>
      <c r="K303" s="102">
        <v>3211</v>
      </c>
      <c r="L303" s="35" t="str">
        <f>IFERROR(_xlfn.XLOOKUP(Table6[[#This Row],[Error Code]],'Basic Data'!$AA:$AA,'Basic Data'!$AB:$AB),"Incorrect Error Code")</f>
        <v>Conv. load shedding (CAN)</v>
      </c>
      <c r="M303" s="35" t="s">
        <v>266</v>
      </c>
      <c r="N303" s="264"/>
      <c r="O303" s="265">
        <v>0.16666666666666666</v>
      </c>
      <c r="P303" s="265">
        <v>0.16666666666666666</v>
      </c>
      <c r="Q303" s="266">
        <v>0.2</v>
      </c>
      <c r="R303" s="261">
        <f>IF(Table6[[#This Row],[Work Start TimeStamp]]="","",(Table6[[#This Row],[Work Start TimeStamp]]-Table6[[#This Row],[Fault Start TimeStamp]])*24)</f>
        <v>0</v>
      </c>
      <c r="S303" s="261">
        <f>(Table6[[#This Row],[Fault Clearance time]]-Table6[[#This Row],[Work Start TimeStamp]])*24</f>
        <v>0.80000000000000049</v>
      </c>
      <c r="T303" s="261">
        <f>(Table6[[#This Row],[Fault Clearance time]]-Table6[[#This Row],[Fault Start TimeStamp]])*24</f>
        <v>0.80000000000000049</v>
      </c>
      <c r="U303" s="35" t="s">
        <v>344</v>
      </c>
      <c r="V303" s="102" t="s">
        <v>268</v>
      </c>
      <c r="W303" s="267">
        <f>IFERROR(Table6[[#This Row],[Breakdown Time]]*Table6[[#This Row],[Plant Equivalent Weightage]],"")</f>
        <v>3.0769230769230778E-2</v>
      </c>
      <c r="X303" s="262" t="s">
        <v>269</v>
      </c>
      <c r="Y303" s="263" t="s">
        <v>116</v>
      </c>
      <c r="Z303" s="102">
        <v>34912</v>
      </c>
      <c r="AA303" s="257">
        <f>(Table6[[#This Row],[Paired WTG Generation for loss calculation]]/24)*Table6[[#This Row],[Breakdown Time]]</f>
        <v>1163.733333333334</v>
      </c>
      <c r="AB303" s="102"/>
      <c r="AC303" s="35"/>
      <c r="AD303" s="35"/>
    </row>
    <row r="304" spans="1:30">
      <c r="A304" s="102">
        <f t="shared" si="5"/>
        <v>303</v>
      </c>
      <c r="B304" s="257">
        <f>YEAR(Table6[[#This Row],[Date]])+IF(MONTH(Table6[[#This Row],[Date]])&gt;=4,1,0)</f>
        <v>2026</v>
      </c>
      <c r="C304" s="102">
        <f>YEAR(Table6[[#This Row],[Date]])</f>
        <v>2025</v>
      </c>
      <c r="D304" s="102" t="s">
        <v>265</v>
      </c>
      <c r="E304" s="258">
        <f>Table6[[#This Row],[Date]]-DAY(Table6[[#This Row],[Date]])+1</f>
        <v>45748</v>
      </c>
      <c r="F304" s="259">
        <v>45765</v>
      </c>
      <c r="G304" s="35" t="s">
        <v>119</v>
      </c>
      <c r="H304" s="35" t="str">
        <f>IFERROR(_xlfn.XLOOKUP(Table6[[#This Row],[Affected WTG]],'Basic Data'!$A:$A,'Basic Data'!$B:$B),"")</f>
        <v>TQGXIIPL</v>
      </c>
      <c r="I304" s="35" t="str">
        <f>IFERROR(_xlfn.XLOOKUP(Table6[[#This Row],[Affected WTG]],'Basic Data'!$A:$A,'Basic Data'!$C:$C),"")</f>
        <v>GEDA</v>
      </c>
      <c r="J304" s="260">
        <f>IFERROR(_xlfn.XLOOKUP(Table6[[#This Row],[Affected WTG]],'Basic Data'!$A:$A,'Basic Data'!$E:$E),"")</f>
        <v>3.846153846153845E-2</v>
      </c>
      <c r="K304" s="102">
        <v>3211</v>
      </c>
      <c r="L304" s="35" t="str">
        <f>IFERROR(_xlfn.XLOOKUP(Table6[[#This Row],[Error Code]],'Basic Data'!$AA:$AA,'Basic Data'!$AB:$AB),"Incorrect Error Code")</f>
        <v>Conv. load shedding (CAN)</v>
      </c>
      <c r="M304" s="35" t="s">
        <v>266</v>
      </c>
      <c r="N304" s="264"/>
      <c r="O304" s="265">
        <v>0.41249999999999998</v>
      </c>
      <c r="P304" s="265">
        <v>0.41875000000000001</v>
      </c>
      <c r="Q304" s="266">
        <v>0.46458333333333335</v>
      </c>
      <c r="R304" s="261">
        <f>IF(Table6[[#This Row],[Work Start TimeStamp]]="","",(Table6[[#This Row],[Work Start TimeStamp]]-Table6[[#This Row],[Fault Start TimeStamp]])*24)</f>
        <v>0.1500000000000008</v>
      </c>
      <c r="S304" s="261">
        <f>(Table6[[#This Row],[Fault Clearance time]]-Table6[[#This Row],[Work Start TimeStamp]])*24</f>
        <v>1.1000000000000001</v>
      </c>
      <c r="T304" s="261">
        <f>(Table6[[#This Row],[Fault Clearance time]]-Table6[[#This Row],[Fault Start TimeStamp]])*24</f>
        <v>1.2500000000000009</v>
      </c>
      <c r="U304" s="35" t="s">
        <v>345</v>
      </c>
      <c r="V304" s="102" t="s">
        <v>268</v>
      </c>
      <c r="W304" s="267">
        <f>IFERROR(Table6[[#This Row],[Breakdown Time]]*Table6[[#This Row],[Plant Equivalent Weightage]],"")</f>
        <v>4.8076923076923093E-2</v>
      </c>
      <c r="X304" s="262" t="s">
        <v>269</v>
      </c>
      <c r="Y304" s="263" t="s">
        <v>116</v>
      </c>
      <c r="Z304" s="102">
        <v>34912</v>
      </c>
      <c r="AA304" s="257">
        <f>(Table6[[#This Row],[Paired WTG Generation for loss calculation]]/24)*Table6[[#This Row],[Breakdown Time]]</f>
        <v>1818.3333333333346</v>
      </c>
      <c r="AB304" s="102"/>
      <c r="AC304" s="35"/>
      <c r="AD304" s="35"/>
    </row>
    <row r="305" spans="1:30">
      <c r="A305" s="102">
        <f t="shared" si="5"/>
        <v>304</v>
      </c>
      <c r="B305" s="257">
        <f>YEAR(Table6[[#This Row],[Date]])+IF(MONTH(Table6[[#This Row],[Date]])&gt;=4,1,0)</f>
        <v>2026</v>
      </c>
      <c r="C305" s="102">
        <f>YEAR(Table6[[#This Row],[Date]])</f>
        <v>2025</v>
      </c>
      <c r="D305" s="102" t="s">
        <v>265</v>
      </c>
      <c r="E305" s="258">
        <f>Table6[[#This Row],[Date]]-DAY(Table6[[#This Row],[Date]])+1</f>
        <v>45748</v>
      </c>
      <c r="F305" s="259">
        <v>45765</v>
      </c>
      <c r="G305" s="35" t="s">
        <v>119</v>
      </c>
      <c r="H305" s="35" t="str">
        <f>IFERROR(_xlfn.XLOOKUP(Table6[[#This Row],[Affected WTG]],'Basic Data'!$A:$A,'Basic Data'!$B:$B),"")</f>
        <v>TQGXIIPL</v>
      </c>
      <c r="I305" s="35" t="str">
        <f>IFERROR(_xlfn.XLOOKUP(Table6[[#This Row],[Affected WTG]],'Basic Data'!$A:$A,'Basic Data'!$C:$C),"")</f>
        <v>GEDA</v>
      </c>
      <c r="J305" s="260">
        <f>IFERROR(_xlfn.XLOOKUP(Table6[[#This Row],[Affected WTG]],'Basic Data'!$A:$A,'Basic Data'!$E:$E),"")</f>
        <v>3.846153846153845E-2</v>
      </c>
      <c r="K305" s="102">
        <v>55</v>
      </c>
      <c r="L305" s="35" t="str">
        <f>IFERROR(_xlfn.XLOOKUP(Table6[[#This Row],[Error Code]],'Basic Data'!$AA:$AA,'Basic Data'!$AB:$AB),"Incorrect Error Code")</f>
        <v>WTG shut down</v>
      </c>
      <c r="M305" s="35" t="s">
        <v>300</v>
      </c>
      <c r="N305" s="264"/>
      <c r="O305" s="265">
        <v>0.7680555555555556</v>
      </c>
      <c r="P305" s="265">
        <v>0.7680555555555556</v>
      </c>
      <c r="Q305" s="266">
        <v>0.83472222222222225</v>
      </c>
      <c r="R305" s="261">
        <f>IF(Table6[[#This Row],[Work Start TimeStamp]]="","",(Table6[[#This Row],[Work Start TimeStamp]]-Table6[[#This Row],[Fault Start TimeStamp]])*24)</f>
        <v>0</v>
      </c>
      <c r="S305" s="261">
        <f>(Table6[[#This Row],[Fault Clearance time]]-Table6[[#This Row],[Work Start TimeStamp]])*24</f>
        <v>1.5999999999999996</v>
      </c>
      <c r="T305" s="261">
        <f>(Table6[[#This Row],[Fault Clearance time]]-Table6[[#This Row],[Fault Start TimeStamp]])*24</f>
        <v>1.5999999999999996</v>
      </c>
      <c r="U305" s="35" t="s">
        <v>301</v>
      </c>
      <c r="V305" s="102" t="s">
        <v>268</v>
      </c>
      <c r="W305" s="267">
        <f>IFERROR(Table6[[#This Row],[Breakdown Time]]*Table6[[#This Row],[Plant Equivalent Weightage]],"")</f>
        <v>6.1538461538461507E-2</v>
      </c>
      <c r="X305" s="262" t="s">
        <v>296</v>
      </c>
      <c r="Y305" s="263" t="s">
        <v>116</v>
      </c>
      <c r="Z305" s="102">
        <v>34912</v>
      </c>
      <c r="AA305" s="257">
        <f>(Table6[[#This Row],[Paired WTG Generation for loss calculation]]/24)*Table6[[#This Row],[Breakdown Time]]</f>
        <v>2327.4666666666662</v>
      </c>
      <c r="AB305" s="102"/>
      <c r="AC305" s="35"/>
      <c r="AD305" s="35"/>
    </row>
    <row r="306" spans="1:30">
      <c r="A306" s="102">
        <f t="shared" si="5"/>
        <v>305</v>
      </c>
      <c r="B306" s="257">
        <f>YEAR(Table6[[#This Row],[Date]])+IF(MONTH(Table6[[#This Row],[Date]])&gt;=4,1,0)</f>
        <v>2026</v>
      </c>
      <c r="C306" s="102">
        <f>YEAR(Table6[[#This Row],[Date]])</f>
        <v>2025</v>
      </c>
      <c r="D306" s="102" t="s">
        <v>265</v>
      </c>
      <c r="E306" s="258">
        <f>Table6[[#This Row],[Date]]-DAY(Table6[[#This Row],[Date]])+1</f>
        <v>45748</v>
      </c>
      <c r="F306" s="259">
        <v>45765</v>
      </c>
      <c r="G306" s="35" t="s">
        <v>120</v>
      </c>
      <c r="H306" s="35" t="str">
        <f>IFERROR(_xlfn.XLOOKUP(Table6[[#This Row],[Affected WTG]],'Basic Data'!$A:$A,'Basic Data'!$B:$B),"")</f>
        <v>TQGXIIPL</v>
      </c>
      <c r="I306" s="35" t="str">
        <f>IFERROR(_xlfn.XLOOKUP(Table6[[#This Row],[Affected WTG]],'Basic Data'!$A:$A,'Basic Data'!$C:$C),"")</f>
        <v>GEDA</v>
      </c>
      <c r="J306" s="260">
        <f>IFERROR(_xlfn.XLOOKUP(Table6[[#This Row],[Affected WTG]],'Basic Data'!$A:$A,'Basic Data'!$E:$E),"")</f>
        <v>3.846153846153845E-2</v>
      </c>
      <c r="K306" s="102">
        <v>55</v>
      </c>
      <c r="L306" s="35" t="str">
        <f>IFERROR(_xlfn.XLOOKUP(Table6[[#This Row],[Error Code]],'Basic Data'!$AA:$AA,'Basic Data'!$AB:$AB),"Incorrect Error Code")</f>
        <v>WTG shut down</v>
      </c>
      <c r="M306" s="35" t="s">
        <v>266</v>
      </c>
      <c r="N306" s="264"/>
      <c r="O306" s="265">
        <v>0.70694444444444449</v>
      </c>
      <c r="P306" s="265">
        <v>0.70694444444444449</v>
      </c>
      <c r="Q306" s="266">
        <v>0.72777777777777775</v>
      </c>
      <c r="R306" s="261">
        <f>IF(Table6[[#This Row],[Work Start TimeStamp]]="","",(Table6[[#This Row],[Work Start TimeStamp]]-Table6[[#This Row],[Fault Start TimeStamp]])*24)</f>
        <v>0</v>
      </c>
      <c r="S306" s="261">
        <f>(Table6[[#This Row],[Fault Clearance time]]-Table6[[#This Row],[Work Start TimeStamp]])*24</f>
        <v>0.49999999999999822</v>
      </c>
      <c r="T306" s="261">
        <f>(Table6[[#This Row],[Fault Clearance time]]-Table6[[#This Row],[Fault Start TimeStamp]])*24</f>
        <v>0.49999999999999822</v>
      </c>
      <c r="U306" s="35" t="s">
        <v>320</v>
      </c>
      <c r="V306" s="102" t="s">
        <v>268</v>
      </c>
      <c r="W306" s="267">
        <f>IFERROR(Table6[[#This Row],[Breakdown Time]]*Table6[[#This Row],[Plant Equivalent Weightage]],"")</f>
        <v>1.9230769230769156E-2</v>
      </c>
      <c r="X306" s="262" t="s">
        <v>296</v>
      </c>
      <c r="Y306" s="263" t="s">
        <v>135</v>
      </c>
      <c r="Z306" s="102">
        <v>31662</v>
      </c>
      <c r="AA306" s="257">
        <f>(Table6[[#This Row],[Paired WTG Generation for loss calculation]]/24)*Table6[[#This Row],[Breakdown Time]]</f>
        <v>659.62499999999761</v>
      </c>
      <c r="AB306" s="102"/>
      <c r="AC306" s="35"/>
      <c r="AD306" s="35"/>
    </row>
    <row r="307" spans="1:30">
      <c r="A307" s="102">
        <f t="shared" si="5"/>
        <v>306</v>
      </c>
      <c r="B307" s="257">
        <f>YEAR(Table6[[#This Row],[Date]])+IF(MONTH(Table6[[#This Row],[Date]])&gt;=4,1,0)</f>
        <v>2026</v>
      </c>
      <c r="C307" s="102">
        <f>YEAR(Table6[[#This Row],[Date]])</f>
        <v>2025</v>
      </c>
      <c r="D307" s="102" t="s">
        <v>265</v>
      </c>
      <c r="E307" s="258">
        <f>Table6[[#This Row],[Date]]-DAY(Table6[[#This Row],[Date]])+1</f>
        <v>45748</v>
      </c>
      <c r="F307" s="259">
        <v>45765</v>
      </c>
      <c r="G307" s="35" t="s">
        <v>125</v>
      </c>
      <c r="H307" s="35" t="str">
        <f>IFERROR(_xlfn.XLOOKUP(Table6[[#This Row],[Affected WTG]],'Basic Data'!$A:$A,'Basic Data'!$B:$B),"")</f>
        <v>TQGXIIPL</v>
      </c>
      <c r="I307" s="35" t="str">
        <f>IFERROR(_xlfn.XLOOKUP(Table6[[#This Row],[Affected WTG]],'Basic Data'!$A:$A,'Basic Data'!$C:$C),"")</f>
        <v>GEDA</v>
      </c>
      <c r="J307" s="260">
        <f>IFERROR(_xlfn.XLOOKUP(Table6[[#This Row],[Affected WTG]],'Basic Data'!$A:$A,'Basic Data'!$E:$E),"")</f>
        <v>3.846153846153845E-2</v>
      </c>
      <c r="K307" s="102">
        <v>175</v>
      </c>
      <c r="L307" s="35" t="str">
        <f>IFERROR(_xlfn.XLOOKUP(Table6[[#This Row],[Error Code]],'Basic Data'!$AA:$AA,'Basic Data'!$AB:$AB),"Incorrect Error Code")</f>
        <v>SLC error</v>
      </c>
      <c r="M307" s="35" t="s">
        <v>266</v>
      </c>
      <c r="N307" s="264"/>
      <c r="O307" s="265">
        <v>1.3888888888888889E-3</v>
      </c>
      <c r="P307" s="265">
        <v>1.3888888888888889E-3</v>
      </c>
      <c r="Q307" s="266">
        <v>2.6388888888888889E-2</v>
      </c>
      <c r="R307" s="261">
        <f>IF(Table6[[#This Row],[Work Start TimeStamp]]="","",(Table6[[#This Row],[Work Start TimeStamp]]-Table6[[#This Row],[Fault Start TimeStamp]])*24)</f>
        <v>0</v>
      </c>
      <c r="S307" s="261">
        <f>(Table6[[#This Row],[Fault Clearance time]]-Table6[[#This Row],[Work Start TimeStamp]])*24</f>
        <v>0.60000000000000009</v>
      </c>
      <c r="T307" s="261">
        <f>(Table6[[#This Row],[Fault Clearance time]]-Table6[[#This Row],[Fault Start TimeStamp]])*24</f>
        <v>0.60000000000000009</v>
      </c>
      <c r="U307" s="35" t="s">
        <v>267</v>
      </c>
      <c r="V307" s="102" t="s">
        <v>268</v>
      </c>
      <c r="W307" s="267">
        <f>IFERROR(Table6[[#This Row],[Breakdown Time]]*Table6[[#This Row],[Plant Equivalent Weightage]],"")</f>
        <v>2.3076923076923075E-2</v>
      </c>
      <c r="X307" s="262" t="s">
        <v>269</v>
      </c>
      <c r="Y307" s="263" t="s">
        <v>126</v>
      </c>
      <c r="Z307" s="102">
        <v>30866</v>
      </c>
      <c r="AA307" s="257">
        <f>(Table6[[#This Row],[Paired WTG Generation for loss calculation]]/24)*Table6[[#This Row],[Breakdown Time]]</f>
        <v>771.65000000000009</v>
      </c>
      <c r="AB307" s="102"/>
      <c r="AC307" s="35"/>
      <c r="AD307" s="35"/>
    </row>
    <row r="308" spans="1:30">
      <c r="A308" s="102">
        <f t="shared" si="5"/>
        <v>307</v>
      </c>
      <c r="B308" s="257">
        <f>YEAR(Table6[[#This Row],[Date]])+IF(MONTH(Table6[[#This Row],[Date]])&gt;=4,1,0)</f>
        <v>2026</v>
      </c>
      <c r="C308" s="102">
        <f>YEAR(Table6[[#This Row],[Date]])</f>
        <v>2025</v>
      </c>
      <c r="D308" s="102" t="s">
        <v>265</v>
      </c>
      <c r="E308" s="258">
        <f>Table6[[#This Row],[Date]]-DAY(Table6[[#This Row],[Date]])+1</f>
        <v>45748</v>
      </c>
      <c r="F308" s="259">
        <v>45765</v>
      </c>
      <c r="G308" s="35" t="s">
        <v>125</v>
      </c>
      <c r="H308" s="35" t="str">
        <f>IFERROR(_xlfn.XLOOKUP(Table6[[#This Row],[Affected WTG]],'Basic Data'!$A:$A,'Basic Data'!$B:$B),"")</f>
        <v>TQGXIIPL</v>
      </c>
      <c r="I308" s="35" t="str">
        <f>IFERROR(_xlfn.XLOOKUP(Table6[[#This Row],[Affected WTG]],'Basic Data'!$A:$A,'Basic Data'!$C:$C),"")</f>
        <v>GEDA</v>
      </c>
      <c r="J308" s="260">
        <f>IFERROR(_xlfn.XLOOKUP(Table6[[#This Row],[Affected WTG]],'Basic Data'!$A:$A,'Basic Data'!$E:$E),"")</f>
        <v>3.846153846153845E-2</v>
      </c>
      <c r="K308" s="102">
        <v>175</v>
      </c>
      <c r="L308" s="35" t="str">
        <f>IFERROR(_xlfn.XLOOKUP(Table6[[#This Row],[Error Code]],'Basic Data'!$AA:$AA,'Basic Data'!$AB:$AB),"Incorrect Error Code")</f>
        <v>SLC error</v>
      </c>
      <c r="M308" s="35" t="s">
        <v>266</v>
      </c>
      <c r="N308" s="264"/>
      <c r="O308" s="265">
        <v>0.5854166666666667</v>
      </c>
      <c r="P308" s="265">
        <v>0.5854166666666667</v>
      </c>
      <c r="Q308" s="266">
        <v>0.62777777777777777</v>
      </c>
      <c r="R308" s="261">
        <f>IF(Table6[[#This Row],[Work Start TimeStamp]]="","",(Table6[[#This Row],[Work Start TimeStamp]]-Table6[[#This Row],[Fault Start TimeStamp]])*24)</f>
        <v>0</v>
      </c>
      <c r="S308" s="261">
        <f>(Table6[[#This Row],[Fault Clearance time]]-Table6[[#This Row],[Work Start TimeStamp]])*24</f>
        <v>1.0166666666666657</v>
      </c>
      <c r="T308" s="261">
        <f>(Table6[[#This Row],[Fault Clearance time]]-Table6[[#This Row],[Fault Start TimeStamp]])*24</f>
        <v>1.0166666666666657</v>
      </c>
      <c r="U308" s="35" t="s">
        <v>346</v>
      </c>
      <c r="V308" s="102" t="s">
        <v>268</v>
      </c>
      <c r="W308" s="267">
        <f>IFERROR(Table6[[#This Row],[Breakdown Time]]*Table6[[#This Row],[Plant Equivalent Weightage]],"")</f>
        <v>3.9102564102564054E-2</v>
      </c>
      <c r="X308" s="262" t="s">
        <v>269</v>
      </c>
      <c r="Y308" s="263" t="s">
        <v>126</v>
      </c>
      <c r="Z308" s="102">
        <v>30866</v>
      </c>
      <c r="AA308" s="257">
        <f>(Table6[[#This Row],[Paired WTG Generation for loss calculation]]/24)*Table6[[#This Row],[Breakdown Time]]</f>
        <v>1307.5180555555542</v>
      </c>
      <c r="AB308" s="102"/>
      <c r="AC308" s="35"/>
      <c r="AD308" s="35"/>
    </row>
    <row r="309" spans="1:30">
      <c r="A309" s="102">
        <f t="shared" si="5"/>
        <v>308</v>
      </c>
      <c r="B309" s="257">
        <f>YEAR(Table6[[#This Row],[Date]])+IF(MONTH(Table6[[#This Row],[Date]])&gt;=4,1,0)</f>
        <v>2026</v>
      </c>
      <c r="C309" s="102">
        <f>YEAR(Table6[[#This Row],[Date]])</f>
        <v>2025</v>
      </c>
      <c r="D309" s="102" t="s">
        <v>265</v>
      </c>
      <c r="E309" s="258">
        <f>Table6[[#This Row],[Date]]-DAY(Table6[[#This Row],[Date]])+1</f>
        <v>45748</v>
      </c>
      <c r="F309" s="259">
        <v>45765</v>
      </c>
      <c r="G309" s="35" t="s">
        <v>131</v>
      </c>
      <c r="H309" s="35" t="str">
        <f>IFERROR(_xlfn.XLOOKUP(Table6[[#This Row],[Affected WTG]],'Basic Data'!$A:$A,'Basic Data'!$B:$B),"")</f>
        <v>TQGXIIPL</v>
      </c>
      <c r="I309" s="35" t="str">
        <f>IFERROR(_xlfn.XLOOKUP(Table6[[#This Row],[Affected WTG]],'Basic Data'!$A:$A,'Basic Data'!$C:$C),"")</f>
        <v>GEDA</v>
      </c>
      <c r="J309" s="260">
        <f>IFERROR(_xlfn.XLOOKUP(Table6[[#This Row],[Affected WTG]],'Basic Data'!$A:$A,'Basic Data'!$E:$E),"")</f>
        <v>3.846153846153845E-2</v>
      </c>
      <c r="K309" s="102">
        <v>6605</v>
      </c>
      <c r="L309" s="35" t="str">
        <f>IFERROR(_xlfn.XLOOKUP(Table6[[#This Row],[Error Code]],'Basic Data'!$AA:$AA,'Basic Data'!$AB:$AB),"Incorrect Error Code")</f>
        <v>Wind.dir. diff. level 2</v>
      </c>
      <c r="M309" s="35" t="s">
        <v>266</v>
      </c>
      <c r="N309" s="264"/>
      <c r="O309" s="265">
        <v>0.46527777777777779</v>
      </c>
      <c r="P309" s="265">
        <v>0.46527777777777779</v>
      </c>
      <c r="Q309" s="266">
        <v>0.50069444444444444</v>
      </c>
      <c r="R309" s="261">
        <f>IF(Table6[[#This Row],[Work Start TimeStamp]]="","",(Table6[[#This Row],[Work Start TimeStamp]]-Table6[[#This Row],[Fault Start TimeStamp]])*24)</f>
        <v>0</v>
      </c>
      <c r="S309" s="261">
        <f>(Table6[[#This Row],[Fault Clearance time]]-Table6[[#This Row],[Work Start TimeStamp]])*24</f>
        <v>0.84999999999999964</v>
      </c>
      <c r="T309" s="261">
        <f>(Table6[[#This Row],[Fault Clearance time]]-Table6[[#This Row],[Fault Start TimeStamp]])*24</f>
        <v>0.84999999999999964</v>
      </c>
      <c r="U309" s="35" t="s">
        <v>267</v>
      </c>
      <c r="V309" s="102" t="s">
        <v>268</v>
      </c>
      <c r="W309" s="267">
        <f>IFERROR(Table6[[#This Row],[Breakdown Time]]*Table6[[#This Row],[Plant Equivalent Weightage]],"")</f>
        <v>3.2692307692307666E-2</v>
      </c>
      <c r="X309" s="262" t="s">
        <v>269</v>
      </c>
      <c r="Y309" s="263" t="s">
        <v>136</v>
      </c>
      <c r="Z309" s="102">
        <v>36369</v>
      </c>
      <c r="AA309" s="257">
        <f>(Table6[[#This Row],[Paired WTG Generation for loss calculation]]/24)*Table6[[#This Row],[Breakdown Time]]</f>
        <v>1288.0687499999995</v>
      </c>
      <c r="AB309" s="102"/>
      <c r="AC309" s="35"/>
      <c r="AD309" s="35"/>
    </row>
    <row r="310" spans="1:30">
      <c r="A310" s="102">
        <f t="shared" si="5"/>
        <v>309</v>
      </c>
      <c r="B310" s="257">
        <f>YEAR(Table6[[#This Row],[Date]])+IF(MONTH(Table6[[#This Row],[Date]])&gt;=4,1,0)</f>
        <v>2026</v>
      </c>
      <c r="C310" s="102">
        <f>YEAR(Table6[[#This Row],[Date]])</f>
        <v>2025</v>
      </c>
      <c r="D310" s="102" t="s">
        <v>265</v>
      </c>
      <c r="E310" s="258">
        <f>Table6[[#This Row],[Date]]-DAY(Table6[[#This Row],[Date]])+1</f>
        <v>45748</v>
      </c>
      <c r="F310" s="259">
        <v>45765</v>
      </c>
      <c r="G310" s="35" t="s">
        <v>132</v>
      </c>
      <c r="H310" s="35" t="str">
        <f>IFERROR(_xlfn.XLOOKUP(Table6[[#This Row],[Affected WTG]],'Basic Data'!$A:$A,'Basic Data'!$B:$B),"")</f>
        <v>TQGXIIPL</v>
      </c>
      <c r="I310" s="35" t="str">
        <f>IFERROR(_xlfn.XLOOKUP(Table6[[#This Row],[Affected WTG]],'Basic Data'!$A:$A,'Basic Data'!$C:$C),"")</f>
        <v>GEDA</v>
      </c>
      <c r="J310" s="260">
        <f>IFERROR(_xlfn.XLOOKUP(Table6[[#This Row],[Affected WTG]],'Basic Data'!$A:$A,'Basic Data'!$E:$E),"")</f>
        <v>3.846153846153845E-2</v>
      </c>
      <c r="K310" s="102">
        <v>6130</v>
      </c>
      <c r="L310" s="35" t="str">
        <f>IFERROR(_xlfn.XLOOKUP(Table6[[#This Row],[Error Code]],'Basic Data'!$AA:$AA,'Basic Data'!$AB:$AB),"Incorrect Error Code")</f>
        <v>Yaw speed high</v>
      </c>
      <c r="M310" s="35" t="s">
        <v>266</v>
      </c>
      <c r="N310" s="264"/>
      <c r="O310" s="265">
        <v>0.60833333333333328</v>
      </c>
      <c r="P310" s="265">
        <v>0.60833333333333328</v>
      </c>
      <c r="Q310" s="266">
        <v>0.61250000000000004</v>
      </c>
      <c r="R310" s="261">
        <f>IF(Table6[[#This Row],[Work Start TimeStamp]]="","",(Table6[[#This Row],[Work Start TimeStamp]]-Table6[[#This Row],[Fault Start TimeStamp]])*24)</f>
        <v>0</v>
      </c>
      <c r="S310" s="261">
        <f>(Table6[[#This Row],[Fault Clearance time]]-Table6[[#This Row],[Work Start TimeStamp]])*24</f>
        <v>0.10000000000000231</v>
      </c>
      <c r="T310" s="261">
        <f>(Table6[[#This Row],[Fault Clearance time]]-Table6[[#This Row],[Fault Start TimeStamp]])*24</f>
        <v>0.10000000000000231</v>
      </c>
      <c r="U310" s="35" t="s">
        <v>267</v>
      </c>
      <c r="V310" s="102" t="s">
        <v>268</v>
      </c>
      <c r="W310" s="267">
        <f>IFERROR(Table6[[#This Row],[Breakdown Time]]*Table6[[#This Row],[Plant Equivalent Weightage]],"")</f>
        <v>3.846153846153934E-3</v>
      </c>
      <c r="X310" s="262" t="s">
        <v>269</v>
      </c>
      <c r="Y310" s="263" t="s">
        <v>120</v>
      </c>
      <c r="Z310" s="102">
        <v>28245</v>
      </c>
      <c r="AA310" s="257">
        <f>(Table6[[#This Row],[Paired WTG Generation for loss calculation]]/24)*Table6[[#This Row],[Breakdown Time]]</f>
        <v>117.68750000000271</v>
      </c>
      <c r="AB310" s="102"/>
      <c r="AC310" s="35"/>
      <c r="AD310" s="35"/>
    </row>
    <row r="311" spans="1:30">
      <c r="A311" s="102">
        <f t="shared" si="5"/>
        <v>310</v>
      </c>
      <c r="B311" s="257">
        <f>YEAR(Table6[[#This Row],[Date]])+IF(MONTH(Table6[[#This Row],[Date]])&gt;=4,1,0)</f>
        <v>2026</v>
      </c>
      <c r="C311" s="102">
        <f>YEAR(Table6[[#This Row],[Date]])</f>
        <v>2025</v>
      </c>
      <c r="D311" s="102" t="s">
        <v>265</v>
      </c>
      <c r="E311" s="258">
        <f>Table6[[#This Row],[Date]]-DAY(Table6[[#This Row],[Date]])+1</f>
        <v>45748</v>
      </c>
      <c r="F311" s="259">
        <v>45765</v>
      </c>
      <c r="G311" s="35" t="s">
        <v>133</v>
      </c>
      <c r="H311" s="35" t="str">
        <f>IFERROR(_xlfn.XLOOKUP(Table6[[#This Row],[Affected WTG]],'Basic Data'!$A:$A,'Basic Data'!$B:$B),"")</f>
        <v>TQGXIIPL</v>
      </c>
      <c r="I311" s="35" t="str">
        <f>IFERROR(_xlfn.XLOOKUP(Table6[[#This Row],[Affected WTG]],'Basic Data'!$A:$A,'Basic Data'!$C:$C),"")</f>
        <v>GEDA</v>
      </c>
      <c r="J311" s="260">
        <f>IFERROR(_xlfn.XLOOKUP(Table6[[#This Row],[Affected WTG]],'Basic Data'!$A:$A,'Basic Data'!$E:$E),"")</f>
        <v>3.846153846153845E-2</v>
      </c>
      <c r="K311" s="102">
        <v>4960</v>
      </c>
      <c r="L311" s="35" t="str">
        <f>IFERROR(_xlfn.XLOOKUP(Table6[[#This Row],[Error Code]],'Basic Data'!$AA:$AA,'Basic Data'!$AB:$AB),"Incorrect Error Code")</f>
        <v>Tower oscillation YF</v>
      </c>
      <c r="M311" s="35" t="s">
        <v>266</v>
      </c>
      <c r="N311" s="264"/>
      <c r="O311" s="265">
        <v>0.33194444444444443</v>
      </c>
      <c r="P311" s="265">
        <v>0.33194444444444443</v>
      </c>
      <c r="Q311" s="266">
        <v>0.34305555555555556</v>
      </c>
      <c r="R311" s="261">
        <f>IF(Table6[[#This Row],[Work Start TimeStamp]]="","",(Table6[[#This Row],[Work Start TimeStamp]]-Table6[[#This Row],[Fault Start TimeStamp]])*24)</f>
        <v>0</v>
      </c>
      <c r="S311" s="261">
        <f>(Table6[[#This Row],[Fault Clearance time]]-Table6[[#This Row],[Work Start TimeStamp]])*24</f>
        <v>0.26666666666666705</v>
      </c>
      <c r="T311" s="261">
        <f>(Table6[[#This Row],[Fault Clearance time]]-Table6[[#This Row],[Fault Start TimeStamp]])*24</f>
        <v>0.26666666666666705</v>
      </c>
      <c r="U311" s="35" t="s">
        <v>267</v>
      </c>
      <c r="V311" s="102" t="s">
        <v>268</v>
      </c>
      <c r="W311" s="267">
        <f>IFERROR(Table6[[#This Row],[Breakdown Time]]*Table6[[#This Row],[Plant Equivalent Weightage]],"")</f>
        <v>1.0256410256410269E-2</v>
      </c>
      <c r="X311" s="262" t="s">
        <v>269</v>
      </c>
      <c r="Y311" s="263" t="s">
        <v>121</v>
      </c>
      <c r="Z311" s="102">
        <v>45438</v>
      </c>
      <c r="AA311" s="257">
        <f>(Table6[[#This Row],[Paired WTG Generation for loss calculation]]/24)*Table6[[#This Row],[Breakdown Time]]</f>
        <v>504.86666666666741</v>
      </c>
      <c r="AB311" s="102"/>
      <c r="AC311" s="35"/>
      <c r="AD311" s="35"/>
    </row>
    <row r="312" spans="1:30">
      <c r="A312" s="102">
        <f t="shared" si="5"/>
        <v>311</v>
      </c>
      <c r="B312" s="257">
        <f>YEAR(Table6[[#This Row],[Date]])+IF(MONTH(Table6[[#This Row],[Date]])&gt;=4,1,0)</f>
        <v>2026</v>
      </c>
      <c r="C312" s="102">
        <f>YEAR(Table6[[#This Row],[Date]])</f>
        <v>2025</v>
      </c>
      <c r="D312" s="102" t="s">
        <v>265</v>
      </c>
      <c r="E312" s="258">
        <f>Table6[[#This Row],[Date]]-DAY(Table6[[#This Row],[Date]])+1</f>
        <v>45748</v>
      </c>
      <c r="F312" s="259">
        <v>45765</v>
      </c>
      <c r="G312" s="35" t="s">
        <v>133</v>
      </c>
      <c r="H312" s="35" t="str">
        <f>IFERROR(_xlfn.XLOOKUP(Table6[[#This Row],[Affected WTG]],'Basic Data'!$A:$A,'Basic Data'!$B:$B),"")</f>
        <v>TQGXIIPL</v>
      </c>
      <c r="I312" s="35" t="str">
        <f>IFERROR(_xlfn.XLOOKUP(Table6[[#This Row],[Affected WTG]],'Basic Data'!$A:$A,'Basic Data'!$C:$C),"")</f>
        <v>GEDA</v>
      </c>
      <c r="J312" s="260">
        <f>IFERROR(_xlfn.XLOOKUP(Table6[[#This Row],[Affected WTG]],'Basic Data'!$A:$A,'Basic Data'!$E:$E),"")</f>
        <v>3.846153846153845E-2</v>
      </c>
      <c r="K312" s="102">
        <v>4960</v>
      </c>
      <c r="L312" s="35" t="str">
        <f>IFERROR(_xlfn.XLOOKUP(Table6[[#This Row],[Error Code]],'Basic Data'!$AA:$AA,'Basic Data'!$AB:$AB),"Incorrect Error Code")</f>
        <v>Tower oscillation YF</v>
      </c>
      <c r="M312" s="35" t="s">
        <v>266</v>
      </c>
      <c r="N312" s="264"/>
      <c r="O312" s="265">
        <v>0.36319444444444443</v>
      </c>
      <c r="P312" s="265">
        <v>0.36319444444444443</v>
      </c>
      <c r="Q312" s="266">
        <v>0.36736111111111114</v>
      </c>
      <c r="R312" s="261">
        <f>IF(Table6[[#This Row],[Work Start TimeStamp]]="","",(Table6[[#This Row],[Work Start TimeStamp]]-Table6[[#This Row],[Fault Start TimeStamp]])*24)</f>
        <v>0</v>
      </c>
      <c r="S312" s="261">
        <f>(Table6[[#This Row],[Fault Clearance time]]-Table6[[#This Row],[Work Start TimeStamp]])*24</f>
        <v>0.10000000000000098</v>
      </c>
      <c r="T312" s="261">
        <f>(Table6[[#This Row],[Fault Clearance time]]-Table6[[#This Row],[Fault Start TimeStamp]])*24</f>
        <v>0.10000000000000098</v>
      </c>
      <c r="U312" s="35" t="s">
        <v>267</v>
      </c>
      <c r="V312" s="102" t="s">
        <v>268</v>
      </c>
      <c r="W312" s="267">
        <f>IFERROR(Table6[[#This Row],[Breakdown Time]]*Table6[[#This Row],[Plant Equivalent Weightage]],"")</f>
        <v>3.8461538461538824E-3</v>
      </c>
      <c r="X312" s="262" t="s">
        <v>269</v>
      </c>
      <c r="Y312" s="263" t="s">
        <v>121</v>
      </c>
      <c r="Z312" s="102">
        <v>45438</v>
      </c>
      <c r="AA312" s="257">
        <f>(Table6[[#This Row],[Paired WTG Generation for loss calculation]]/24)*Table6[[#This Row],[Breakdown Time]]</f>
        <v>189.32500000000184</v>
      </c>
      <c r="AB312" s="102"/>
      <c r="AC312" s="35"/>
      <c r="AD312" s="35"/>
    </row>
    <row r="313" spans="1:30">
      <c r="A313" s="102">
        <f t="shared" si="5"/>
        <v>312</v>
      </c>
      <c r="B313" s="257">
        <f>YEAR(Table6[[#This Row],[Date]])+IF(MONTH(Table6[[#This Row],[Date]])&gt;=4,1,0)</f>
        <v>2026</v>
      </c>
      <c r="C313" s="102">
        <f>YEAR(Table6[[#This Row],[Date]])</f>
        <v>2025</v>
      </c>
      <c r="D313" s="102" t="s">
        <v>265</v>
      </c>
      <c r="E313" s="258">
        <f>Table6[[#This Row],[Date]]-DAY(Table6[[#This Row],[Date]])+1</f>
        <v>45748</v>
      </c>
      <c r="F313" s="259">
        <v>45765</v>
      </c>
      <c r="G313" s="35" t="s">
        <v>136</v>
      </c>
      <c r="H313" s="35" t="str">
        <f>IFERROR(_xlfn.XLOOKUP(Table6[[#This Row],[Affected WTG]],'Basic Data'!$A:$A,'Basic Data'!$B:$B),"")</f>
        <v>TQGXIIPL</v>
      </c>
      <c r="I313" s="35" t="str">
        <f>IFERROR(_xlfn.XLOOKUP(Table6[[#This Row],[Affected WTG]],'Basic Data'!$A:$A,'Basic Data'!$C:$C),"")</f>
        <v>GEDA</v>
      </c>
      <c r="J313" s="260">
        <f>IFERROR(_xlfn.XLOOKUP(Table6[[#This Row],[Affected WTG]],'Basic Data'!$A:$A,'Basic Data'!$E:$E),"")</f>
        <v>3.846153846153845E-2</v>
      </c>
      <c r="K313" s="102">
        <v>6130</v>
      </c>
      <c r="L313" s="35" t="str">
        <f>IFERROR(_xlfn.XLOOKUP(Table6[[#This Row],[Error Code]],'Basic Data'!$AA:$AA,'Basic Data'!$AB:$AB),"Incorrect Error Code")</f>
        <v>Yaw speed high</v>
      </c>
      <c r="M313" s="35" t="s">
        <v>266</v>
      </c>
      <c r="N313" s="264"/>
      <c r="O313" s="265">
        <v>0.60763888888888884</v>
      </c>
      <c r="P313" s="265">
        <v>0.60763888888888884</v>
      </c>
      <c r="Q313" s="266">
        <v>0.6118055555555556</v>
      </c>
      <c r="R313" s="261">
        <f>IF(Table6[[#This Row],[Work Start TimeStamp]]="","",(Table6[[#This Row],[Work Start TimeStamp]]-Table6[[#This Row],[Fault Start TimeStamp]])*24)</f>
        <v>0</v>
      </c>
      <c r="S313" s="261">
        <f>(Table6[[#This Row],[Fault Clearance time]]-Table6[[#This Row],[Work Start TimeStamp]])*24</f>
        <v>0.10000000000000231</v>
      </c>
      <c r="T313" s="261">
        <f>(Table6[[#This Row],[Fault Clearance time]]-Table6[[#This Row],[Fault Start TimeStamp]])*24</f>
        <v>0.10000000000000231</v>
      </c>
      <c r="U313" s="35" t="s">
        <v>267</v>
      </c>
      <c r="V313" s="102" t="s">
        <v>268</v>
      </c>
      <c r="W313" s="267">
        <f>IFERROR(Table6[[#This Row],[Breakdown Time]]*Table6[[#This Row],[Plant Equivalent Weightage]],"")</f>
        <v>3.846153846153934E-3</v>
      </c>
      <c r="X313" s="262" t="s">
        <v>269</v>
      </c>
      <c r="Y313" s="263" t="s">
        <v>120</v>
      </c>
      <c r="Z313" s="102">
        <v>28245</v>
      </c>
      <c r="AA313" s="257">
        <f>(Table6[[#This Row],[Paired WTG Generation for loss calculation]]/24)*Table6[[#This Row],[Breakdown Time]]</f>
        <v>117.68750000000271</v>
      </c>
      <c r="AB313" s="102"/>
      <c r="AC313" s="35"/>
      <c r="AD313" s="35"/>
    </row>
    <row r="314" spans="1:30">
      <c r="A314" s="102">
        <f t="shared" si="5"/>
        <v>313</v>
      </c>
      <c r="B314" s="257">
        <f>YEAR(Table6[[#This Row],[Date]])+IF(MONTH(Table6[[#This Row],[Date]])&gt;=4,1,0)</f>
        <v>2026</v>
      </c>
      <c r="C314" s="102">
        <f>YEAR(Table6[[#This Row],[Date]])</f>
        <v>2025</v>
      </c>
      <c r="D314" s="102" t="s">
        <v>265</v>
      </c>
      <c r="E314" s="258">
        <f>Table6[[#This Row],[Date]]-DAY(Table6[[#This Row],[Date]])+1</f>
        <v>45748</v>
      </c>
      <c r="F314" s="259">
        <v>45765</v>
      </c>
      <c r="G314" s="35" t="s">
        <v>136</v>
      </c>
      <c r="H314" s="35" t="str">
        <f>IFERROR(_xlfn.XLOOKUP(Table6[[#This Row],[Affected WTG]],'Basic Data'!$A:$A,'Basic Data'!$B:$B),"")</f>
        <v>TQGXIIPL</v>
      </c>
      <c r="I314" s="35" t="str">
        <f>IFERROR(_xlfn.XLOOKUP(Table6[[#This Row],[Affected WTG]],'Basic Data'!$A:$A,'Basic Data'!$C:$C),"")</f>
        <v>GEDA</v>
      </c>
      <c r="J314" s="260">
        <f>IFERROR(_xlfn.XLOOKUP(Table6[[#This Row],[Affected WTG]],'Basic Data'!$A:$A,'Basic Data'!$E:$E),"")</f>
        <v>3.846153846153845E-2</v>
      </c>
      <c r="K314" s="102">
        <v>6130</v>
      </c>
      <c r="L314" s="35" t="str">
        <f>IFERROR(_xlfn.XLOOKUP(Table6[[#This Row],[Error Code]],'Basic Data'!$AA:$AA,'Basic Data'!$AB:$AB),"Incorrect Error Code")</f>
        <v>Yaw speed high</v>
      </c>
      <c r="M314" s="35" t="s">
        <v>266</v>
      </c>
      <c r="N314" s="264"/>
      <c r="O314" s="265">
        <v>0.63680555555555551</v>
      </c>
      <c r="P314" s="265">
        <v>0.63680555555555551</v>
      </c>
      <c r="Q314" s="266">
        <v>0.64930555555555558</v>
      </c>
      <c r="R314" s="261">
        <f>IF(Table6[[#This Row],[Work Start TimeStamp]]="","",(Table6[[#This Row],[Work Start TimeStamp]]-Table6[[#This Row],[Fault Start TimeStamp]])*24)</f>
        <v>0</v>
      </c>
      <c r="S314" s="261">
        <f>(Table6[[#This Row],[Fault Clearance time]]-Table6[[#This Row],[Work Start TimeStamp]])*24</f>
        <v>0.3000000000000016</v>
      </c>
      <c r="T314" s="261">
        <f>(Table6[[#This Row],[Fault Clearance time]]-Table6[[#This Row],[Fault Start TimeStamp]])*24</f>
        <v>0.3000000000000016</v>
      </c>
      <c r="U314" s="35" t="s">
        <v>267</v>
      </c>
      <c r="V314" s="102" t="s">
        <v>268</v>
      </c>
      <c r="W314" s="267">
        <f>IFERROR(Table6[[#This Row],[Breakdown Time]]*Table6[[#This Row],[Plant Equivalent Weightage]],"")</f>
        <v>1.1538461538461596E-2</v>
      </c>
      <c r="X314" s="262" t="s">
        <v>269</v>
      </c>
      <c r="Y314" s="263" t="s">
        <v>120</v>
      </c>
      <c r="Z314" s="102">
        <v>28245</v>
      </c>
      <c r="AA314" s="257">
        <f>(Table6[[#This Row],[Paired WTG Generation for loss calculation]]/24)*Table6[[#This Row],[Breakdown Time]]</f>
        <v>353.06250000000188</v>
      </c>
      <c r="AB314" s="102"/>
      <c r="AC314" s="35"/>
      <c r="AD314" s="35"/>
    </row>
    <row r="315" spans="1:30">
      <c r="A315" s="102">
        <f t="shared" si="5"/>
        <v>314</v>
      </c>
      <c r="B315" s="257">
        <f>YEAR(Table6[[#This Row],[Date]])+IF(MONTH(Table6[[#This Row],[Date]])&gt;=4,1,0)</f>
        <v>2026</v>
      </c>
      <c r="C315" s="102">
        <f>YEAR(Table6[[#This Row],[Date]])</f>
        <v>2025</v>
      </c>
      <c r="D315" s="102" t="s">
        <v>265</v>
      </c>
      <c r="E315" s="258">
        <f>Table6[[#This Row],[Date]]-DAY(Table6[[#This Row],[Date]])+1</f>
        <v>45748</v>
      </c>
      <c r="F315" s="259">
        <v>45765</v>
      </c>
      <c r="G315" s="35" t="s">
        <v>138</v>
      </c>
      <c r="H315" s="35" t="str">
        <f>IFERROR(_xlfn.XLOOKUP(Table6[[#This Row],[Affected WTG]],'Basic Data'!$A:$A,'Basic Data'!$B:$B),"")</f>
        <v>TQGXIIPL</v>
      </c>
      <c r="I315" s="35" t="str">
        <f>IFERROR(_xlfn.XLOOKUP(Table6[[#This Row],[Affected WTG]],'Basic Data'!$A:$A,'Basic Data'!$C:$C),"")</f>
        <v>GEDA</v>
      </c>
      <c r="J315" s="260">
        <f>IFERROR(_xlfn.XLOOKUP(Table6[[#This Row],[Affected WTG]],'Basic Data'!$A:$A,'Basic Data'!$E:$E),"")</f>
        <v>3.846153846153845E-2</v>
      </c>
      <c r="K315" s="102">
        <v>55</v>
      </c>
      <c r="L315" s="35" t="str">
        <f>IFERROR(_xlfn.XLOOKUP(Table6[[#This Row],[Error Code]],'Basic Data'!$AA:$AA,'Basic Data'!$AB:$AB),"Incorrect Error Code")</f>
        <v>WTG shut down</v>
      </c>
      <c r="M315" s="35" t="s">
        <v>266</v>
      </c>
      <c r="N315" s="264"/>
      <c r="O315" s="265">
        <v>0</v>
      </c>
      <c r="P315" s="265">
        <v>0</v>
      </c>
      <c r="Q315" s="266">
        <v>0.15625</v>
      </c>
      <c r="R315" s="261">
        <f>IF(Table6[[#This Row],[Work Start TimeStamp]]="","",(Table6[[#This Row],[Work Start TimeStamp]]-Table6[[#This Row],[Fault Start TimeStamp]])*24)</f>
        <v>0</v>
      </c>
      <c r="S315" s="261">
        <f>(Table6[[#This Row],[Fault Clearance time]]-Table6[[#This Row],[Work Start TimeStamp]])*24</f>
        <v>3.75</v>
      </c>
      <c r="T315" s="261">
        <f>(Table6[[#This Row],[Fault Clearance time]]-Table6[[#This Row],[Fault Start TimeStamp]])*24</f>
        <v>3.75</v>
      </c>
      <c r="U315" s="35" t="s">
        <v>347</v>
      </c>
      <c r="V315" s="102" t="s">
        <v>268</v>
      </c>
      <c r="W315" s="267">
        <f>IFERROR(Table6[[#This Row],[Breakdown Time]]*Table6[[#This Row],[Plant Equivalent Weightage]],"")</f>
        <v>0.14423076923076919</v>
      </c>
      <c r="X315" s="262" t="s">
        <v>269</v>
      </c>
      <c r="Y315" s="263" t="s">
        <v>134</v>
      </c>
      <c r="Z315" s="102">
        <v>34801</v>
      </c>
      <c r="AA315" s="257">
        <f>(Table6[[#This Row],[Paired WTG Generation for loss calculation]]/24)*Table6[[#This Row],[Breakdown Time]]</f>
        <v>5437.65625</v>
      </c>
      <c r="AB315" s="102"/>
      <c r="AC315" s="35"/>
      <c r="AD315" s="35"/>
    </row>
    <row r="316" spans="1:30">
      <c r="A316" s="102">
        <f t="shared" si="5"/>
        <v>315</v>
      </c>
      <c r="B316" s="257">
        <f>YEAR(Table6[[#This Row],[Date]])+IF(MONTH(Table6[[#This Row],[Date]])&gt;=4,1,0)</f>
        <v>2026</v>
      </c>
      <c r="C316" s="102">
        <f>YEAR(Table6[[#This Row],[Date]])</f>
        <v>2025</v>
      </c>
      <c r="D316" s="102" t="s">
        <v>265</v>
      </c>
      <c r="E316" s="258">
        <f>Table6[[#This Row],[Date]]-DAY(Table6[[#This Row],[Date]])+1</f>
        <v>45748</v>
      </c>
      <c r="F316" s="259">
        <v>45765</v>
      </c>
      <c r="G316" s="35" t="s">
        <v>139</v>
      </c>
      <c r="H316" s="35" t="str">
        <f>IFERROR(_xlfn.XLOOKUP(Table6[[#This Row],[Affected WTG]],'Basic Data'!$A:$A,'Basic Data'!$B:$B),"")</f>
        <v>TQGXIIPL</v>
      </c>
      <c r="I316" s="35" t="str">
        <f>IFERROR(_xlfn.XLOOKUP(Table6[[#This Row],[Affected WTG]],'Basic Data'!$A:$A,'Basic Data'!$C:$C),"")</f>
        <v>GEDA</v>
      </c>
      <c r="J316" s="260">
        <f>IFERROR(_xlfn.XLOOKUP(Table6[[#This Row],[Affected WTG]],'Basic Data'!$A:$A,'Basic Data'!$E:$E),"")</f>
        <v>3.846153846153845E-2</v>
      </c>
      <c r="K316" s="102">
        <v>3211</v>
      </c>
      <c r="L316" s="35" t="str">
        <f>IFERROR(_xlfn.XLOOKUP(Table6[[#This Row],[Error Code]],'Basic Data'!$AA:$AA,'Basic Data'!$AB:$AB),"Incorrect Error Code")</f>
        <v>Conv. load shedding (CAN)</v>
      </c>
      <c r="M316" s="35" t="s">
        <v>266</v>
      </c>
      <c r="N316" s="264"/>
      <c r="O316" s="265">
        <v>0.73472222222222228</v>
      </c>
      <c r="P316" s="265">
        <v>0.73472222222222228</v>
      </c>
      <c r="Q316" s="266">
        <v>0.74722222222222223</v>
      </c>
      <c r="R316" s="261">
        <f>IF(Table6[[#This Row],[Work Start TimeStamp]]="","",(Table6[[#This Row],[Work Start TimeStamp]]-Table6[[#This Row],[Fault Start TimeStamp]])*24)</f>
        <v>0</v>
      </c>
      <c r="S316" s="261">
        <f>(Table6[[#This Row],[Fault Clearance time]]-Table6[[#This Row],[Work Start TimeStamp]])*24</f>
        <v>0.29999999999999893</v>
      </c>
      <c r="T316" s="261">
        <f>(Table6[[#This Row],[Fault Clearance time]]-Table6[[#This Row],[Fault Start TimeStamp]])*24</f>
        <v>0.29999999999999893</v>
      </c>
      <c r="U316" s="35" t="s">
        <v>267</v>
      </c>
      <c r="V316" s="102" t="s">
        <v>268</v>
      </c>
      <c r="W316" s="267">
        <f>IFERROR(Table6[[#This Row],[Breakdown Time]]*Table6[[#This Row],[Plant Equivalent Weightage]],"")</f>
        <v>1.1538461538461494E-2</v>
      </c>
      <c r="X316" s="262" t="s">
        <v>269</v>
      </c>
      <c r="Y316" s="263" t="s">
        <v>115</v>
      </c>
      <c r="Z316" s="102">
        <v>34294</v>
      </c>
      <c r="AA316" s="257">
        <f>(Table6[[#This Row],[Paired WTG Generation for loss calculation]]/24)*Table6[[#This Row],[Breakdown Time]]</f>
        <v>428.67499999999848</v>
      </c>
      <c r="AB316" s="102"/>
      <c r="AC316" s="35"/>
      <c r="AD316" s="35"/>
    </row>
    <row r="317" spans="1:30">
      <c r="A317" s="102">
        <f t="shared" si="5"/>
        <v>316</v>
      </c>
      <c r="B317" s="257">
        <f>YEAR(Table6[[#This Row],[Date]])+IF(MONTH(Table6[[#This Row],[Date]])&gt;=4,1,0)</f>
        <v>2026</v>
      </c>
      <c r="C317" s="102">
        <f>YEAR(Table6[[#This Row],[Date]])</f>
        <v>2025</v>
      </c>
      <c r="D317" s="102" t="s">
        <v>265</v>
      </c>
      <c r="E317" s="258">
        <f>Table6[[#This Row],[Date]]-DAY(Table6[[#This Row],[Date]])+1</f>
        <v>45748</v>
      </c>
      <c r="F317" s="259">
        <v>45765</v>
      </c>
      <c r="G317" s="35" t="s">
        <v>139</v>
      </c>
      <c r="H317" s="35" t="str">
        <f>IFERROR(_xlfn.XLOOKUP(Table6[[#This Row],[Affected WTG]],'Basic Data'!$A:$A,'Basic Data'!$B:$B),"")</f>
        <v>TQGXIIPL</v>
      </c>
      <c r="I317" s="35" t="str">
        <f>IFERROR(_xlfn.XLOOKUP(Table6[[#This Row],[Affected WTG]],'Basic Data'!$A:$A,'Basic Data'!$C:$C),"")</f>
        <v>GEDA</v>
      </c>
      <c r="J317" s="260">
        <f>IFERROR(_xlfn.XLOOKUP(Table6[[#This Row],[Affected WTG]],'Basic Data'!$A:$A,'Basic Data'!$E:$E),"")</f>
        <v>3.846153846153845E-2</v>
      </c>
      <c r="K317" s="102">
        <v>55</v>
      </c>
      <c r="L317" s="35" t="str">
        <f>IFERROR(_xlfn.XLOOKUP(Table6[[#This Row],[Error Code]],'Basic Data'!$AA:$AA,'Basic Data'!$AB:$AB),"Incorrect Error Code")</f>
        <v>WTG shut down</v>
      </c>
      <c r="M317" s="35" t="s">
        <v>300</v>
      </c>
      <c r="N317" s="264"/>
      <c r="O317" s="265">
        <v>0.7583333333333333</v>
      </c>
      <c r="P317" s="265">
        <v>0.7583333333333333</v>
      </c>
      <c r="Q317" s="266">
        <v>0.86527777777777781</v>
      </c>
      <c r="R317" s="261">
        <f>IF(Table6[[#This Row],[Work Start TimeStamp]]="","",(Table6[[#This Row],[Work Start TimeStamp]]-Table6[[#This Row],[Fault Start TimeStamp]])*24)</f>
        <v>0</v>
      </c>
      <c r="S317" s="261">
        <f>(Table6[[#This Row],[Fault Clearance time]]-Table6[[#This Row],[Work Start TimeStamp]])*24</f>
        <v>2.5666666666666682</v>
      </c>
      <c r="T317" s="261">
        <f>(Table6[[#This Row],[Fault Clearance time]]-Table6[[#This Row],[Fault Start TimeStamp]])*24</f>
        <v>2.5666666666666682</v>
      </c>
      <c r="U317" s="35" t="s">
        <v>301</v>
      </c>
      <c r="V317" s="102" t="s">
        <v>268</v>
      </c>
      <c r="W317" s="267">
        <f>IFERROR(Table6[[#This Row],[Breakdown Time]]*Table6[[#This Row],[Plant Equivalent Weightage]],"")</f>
        <v>9.8717948717948742E-2</v>
      </c>
      <c r="X317" s="262" t="s">
        <v>296</v>
      </c>
      <c r="Y317" s="263" t="s">
        <v>115</v>
      </c>
      <c r="Z317" s="102">
        <v>34294</v>
      </c>
      <c r="AA317" s="257">
        <f>(Table6[[#This Row],[Paired WTG Generation for loss calculation]]/24)*Table6[[#This Row],[Breakdown Time]]</f>
        <v>3667.5527777777802</v>
      </c>
      <c r="AB317" s="102"/>
      <c r="AC317" s="35"/>
      <c r="AD317" s="35"/>
    </row>
    <row r="318" spans="1:30">
      <c r="A318" s="102">
        <f t="shared" si="5"/>
        <v>317</v>
      </c>
      <c r="B318" s="257">
        <f>YEAR(Table6[[#This Row],[Date]])+IF(MONTH(Table6[[#This Row],[Date]])&gt;=4,1,0)</f>
        <v>2026</v>
      </c>
      <c r="C318" s="102">
        <f>YEAR(Table6[[#This Row],[Date]])</f>
        <v>2025</v>
      </c>
      <c r="D318" s="102" t="s">
        <v>265</v>
      </c>
      <c r="E318" s="258">
        <f>Table6[[#This Row],[Date]]-DAY(Table6[[#This Row],[Date]])+1</f>
        <v>45748</v>
      </c>
      <c r="F318" s="259">
        <v>45765</v>
      </c>
      <c r="G318" s="35" t="s">
        <v>139</v>
      </c>
      <c r="H318" s="35" t="str">
        <f>IFERROR(_xlfn.XLOOKUP(Table6[[#This Row],[Affected WTG]],'Basic Data'!$A:$A,'Basic Data'!$B:$B),"")</f>
        <v>TQGXIIPL</v>
      </c>
      <c r="I318" s="35" t="str">
        <f>IFERROR(_xlfn.XLOOKUP(Table6[[#This Row],[Affected WTG]],'Basic Data'!$A:$A,'Basic Data'!$C:$C),"")</f>
        <v>GEDA</v>
      </c>
      <c r="J318" s="260">
        <f>IFERROR(_xlfn.XLOOKUP(Table6[[#This Row],[Affected WTG]],'Basic Data'!$A:$A,'Basic Data'!$E:$E),"")</f>
        <v>3.846153846153845E-2</v>
      </c>
      <c r="K318" s="102">
        <v>55</v>
      </c>
      <c r="L318" s="35" t="str">
        <f>IFERROR(_xlfn.XLOOKUP(Table6[[#This Row],[Error Code]],'Basic Data'!$AA:$AA,'Basic Data'!$AB:$AB),"Incorrect Error Code")</f>
        <v>WTG shut down</v>
      </c>
      <c r="M318" s="35" t="s">
        <v>300</v>
      </c>
      <c r="N318" s="264"/>
      <c r="O318" s="265">
        <v>0.90208333333333335</v>
      </c>
      <c r="P318" s="265">
        <v>0.90208333333333335</v>
      </c>
      <c r="Q318" s="266">
        <v>0.9375</v>
      </c>
      <c r="R318" s="261">
        <f>IF(Table6[[#This Row],[Work Start TimeStamp]]="","",(Table6[[#This Row],[Work Start TimeStamp]]-Table6[[#This Row],[Fault Start TimeStamp]])*24)</f>
        <v>0</v>
      </c>
      <c r="S318" s="261">
        <f>(Table6[[#This Row],[Fault Clearance time]]-Table6[[#This Row],[Work Start TimeStamp]])*24</f>
        <v>0.84999999999999964</v>
      </c>
      <c r="T318" s="261">
        <f>(Table6[[#This Row],[Fault Clearance time]]-Table6[[#This Row],[Fault Start TimeStamp]])*24</f>
        <v>0.84999999999999964</v>
      </c>
      <c r="U318" s="35" t="s">
        <v>301</v>
      </c>
      <c r="V318" s="102" t="s">
        <v>268</v>
      </c>
      <c r="W318" s="267">
        <f>IFERROR(Table6[[#This Row],[Breakdown Time]]*Table6[[#This Row],[Plant Equivalent Weightage]],"")</f>
        <v>3.2692307692307666E-2</v>
      </c>
      <c r="X318" s="262" t="s">
        <v>296</v>
      </c>
      <c r="Y318" s="263" t="s">
        <v>115</v>
      </c>
      <c r="Z318" s="102">
        <v>34294</v>
      </c>
      <c r="AA318" s="257">
        <f>(Table6[[#This Row],[Paired WTG Generation for loss calculation]]/24)*Table6[[#This Row],[Breakdown Time]]</f>
        <v>1214.5791666666662</v>
      </c>
      <c r="AB318" s="102"/>
      <c r="AC318" s="35"/>
      <c r="AD318" s="35"/>
    </row>
    <row r="319" spans="1:30">
      <c r="A319" s="102">
        <f t="shared" si="5"/>
        <v>318</v>
      </c>
      <c r="B319" s="257">
        <f>YEAR(Table6[[#This Row],[Date]])+IF(MONTH(Table6[[#This Row],[Date]])&gt;=4,1,0)</f>
        <v>2026</v>
      </c>
      <c r="C319" s="102">
        <f>YEAR(Table6[[#This Row],[Date]])</f>
        <v>2025</v>
      </c>
      <c r="D319" s="102" t="s">
        <v>265</v>
      </c>
      <c r="E319" s="258">
        <f>Table6[[#This Row],[Date]]-DAY(Table6[[#This Row],[Date]])+1</f>
        <v>45748</v>
      </c>
      <c r="F319" s="259">
        <v>45766</v>
      </c>
      <c r="G319" s="35" t="s">
        <v>115</v>
      </c>
      <c r="H319" s="35" t="str">
        <f>IFERROR(_xlfn.XLOOKUP(Table6[[#This Row],[Affected WTG]],'Basic Data'!$A:$A,'Basic Data'!$B:$B),"")</f>
        <v>TQGXIIPL</v>
      </c>
      <c r="I319" s="35" t="str">
        <f>IFERROR(_xlfn.XLOOKUP(Table6[[#This Row],[Affected WTG]],'Basic Data'!$A:$A,'Basic Data'!$C:$C),"")</f>
        <v>GEDA</v>
      </c>
      <c r="J319" s="260">
        <f>IFERROR(_xlfn.XLOOKUP(Table6[[#This Row],[Affected WTG]],'Basic Data'!$A:$A,'Basic Data'!$E:$E),"")</f>
        <v>3.846153846153845E-2</v>
      </c>
      <c r="K319" s="102">
        <v>3110</v>
      </c>
      <c r="L319" s="35" t="str">
        <f>IFERROR(_xlfn.XLOOKUP(Table6[[#This Row],[Error Code]],'Basic Data'!$AA:$AA,'Basic Data'!$AB:$AB),"Incorrect Error Code")</f>
        <v>Frequency converter error</v>
      </c>
      <c r="M319" s="35" t="s">
        <v>266</v>
      </c>
      <c r="N319" s="264"/>
      <c r="O319" s="265">
        <v>0.71666666666666667</v>
      </c>
      <c r="P319" s="265">
        <v>0.71666666666666667</v>
      </c>
      <c r="Q319" s="266">
        <v>0.73124999999999996</v>
      </c>
      <c r="R319" s="261">
        <f>IF(Table6[[#This Row],[Work Start TimeStamp]]="","",(Table6[[#This Row],[Work Start TimeStamp]]-Table6[[#This Row],[Fault Start TimeStamp]])*24)</f>
        <v>0</v>
      </c>
      <c r="S319" s="261">
        <f>(Table6[[#This Row],[Fault Clearance time]]-Table6[[#This Row],[Work Start TimeStamp]])*24</f>
        <v>0.34999999999999876</v>
      </c>
      <c r="T319" s="261">
        <f>(Table6[[#This Row],[Fault Clearance time]]-Table6[[#This Row],[Fault Start TimeStamp]])*24</f>
        <v>0.34999999999999876</v>
      </c>
      <c r="U319" s="35" t="s">
        <v>267</v>
      </c>
      <c r="V319" s="102" t="s">
        <v>268</v>
      </c>
      <c r="W319" s="267">
        <f>IFERROR(Table6[[#This Row],[Breakdown Time]]*Table6[[#This Row],[Plant Equivalent Weightage]],"")</f>
        <v>1.346153846153841E-2</v>
      </c>
      <c r="X319" s="262" t="s">
        <v>269</v>
      </c>
      <c r="Y319" s="263" t="s">
        <v>140</v>
      </c>
      <c r="Z319" s="102">
        <v>45701</v>
      </c>
      <c r="AA319" s="257">
        <f>(Table6[[#This Row],[Paired WTG Generation for loss calculation]]/24)*Table6[[#This Row],[Breakdown Time]]</f>
        <v>666.47291666666422</v>
      </c>
      <c r="AB319" s="102"/>
      <c r="AC319" s="35"/>
      <c r="AD319" s="35"/>
    </row>
    <row r="320" spans="1:30">
      <c r="A320" s="102">
        <f t="shared" si="5"/>
        <v>319</v>
      </c>
      <c r="B320" s="257">
        <f>YEAR(Table6[[#This Row],[Date]])+IF(MONTH(Table6[[#This Row],[Date]])&gt;=4,1,0)</f>
        <v>2026</v>
      </c>
      <c r="C320" s="102">
        <f>YEAR(Table6[[#This Row],[Date]])</f>
        <v>2025</v>
      </c>
      <c r="D320" s="102" t="s">
        <v>265</v>
      </c>
      <c r="E320" s="258">
        <f>Table6[[#This Row],[Date]]-DAY(Table6[[#This Row],[Date]])+1</f>
        <v>45748</v>
      </c>
      <c r="F320" s="259">
        <v>45766</v>
      </c>
      <c r="G320" s="35" t="s">
        <v>115</v>
      </c>
      <c r="H320" s="35" t="str">
        <f>IFERROR(_xlfn.XLOOKUP(Table6[[#This Row],[Affected WTG]],'Basic Data'!$A:$A,'Basic Data'!$B:$B),"")</f>
        <v>TQGXIIPL</v>
      </c>
      <c r="I320" s="35" t="str">
        <f>IFERROR(_xlfn.XLOOKUP(Table6[[#This Row],[Affected WTG]],'Basic Data'!$A:$A,'Basic Data'!$C:$C),"")</f>
        <v>GEDA</v>
      </c>
      <c r="J320" s="260">
        <f>IFERROR(_xlfn.XLOOKUP(Table6[[#This Row],[Affected WTG]],'Basic Data'!$A:$A,'Basic Data'!$E:$E),"")</f>
        <v>3.846153846153845E-2</v>
      </c>
      <c r="K320" s="102">
        <v>55</v>
      </c>
      <c r="L320" s="35" t="str">
        <f>IFERROR(_xlfn.XLOOKUP(Table6[[#This Row],[Error Code]],'Basic Data'!$AA:$AA,'Basic Data'!$AB:$AB),"Incorrect Error Code")</f>
        <v>WTG shut down</v>
      </c>
      <c r="M320" s="35" t="s">
        <v>300</v>
      </c>
      <c r="N320" s="264"/>
      <c r="O320" s="265">
        <v>0.75763888888888886</v>
      </c>
      <c r="P320" s="265">
        <v>0.75763888888888886</v>
      </c>
      <c r="Q320" s="266">
        <v>0.86041666666666672</v>
      </c>
      <c r="R320" s="261">
        <f>IF(Table6[[#This Row],[Work Start TimeStamp]]="","",(Table6[[#This Row],[Work Start TimeStamp]]-Table6[[#This Row],[Fault Start TimeStamp]])*24)</f>
        <v>0</v>
      </c>
      <c r="S320" s="261">
        <f>(Table6[[#This Row],[Fault Clearance time]]-Table6[[#This Row],[Work Start TimeStamp]])*24</f>
        <v>2.4666666666666686</v>
      </c>
      <c r="T320" s="261">
        <f>(Table6[[#This Row],[Fault Clearance time]]-Table6[[#This Row],[Fault Start TimeStamp]])*24</f>
        <v>2.4666666666666686</v>
      </c>
      <c r="U320" s="35" t="s">
        <v>301</v>
      </c>
      <c r="V320" s="102" t="s">
        <v>268</v>
      </c>
      <c r="W320" s="267">
        <f>IFERROR(Table6[[#This Row],[Breakdown Time]]*Table6[[#This Row],[Plant Equivalent Weightage]],"")</f>
        <v>9.4871794871794909E-2</v>
      </c>
      <c r="X320" s="262" t="s">
        <v>296</v>
      </c>
      <c r="Y320" s="263" t="s">
        <v>140</v>
      </c>
      <c r="Z320" s="102">
        <v>45701</v>
      </c>
      <c r="AA320" s="257">
        <f>(Table6[[#This Row],[Paired WTG Generation for loss calculation]]/24)*Table6[[#This Row],[Breakdown Time]]</f>
        <v>4697.0472222222261</v>
      </c>
      <c r="AB320" s="102"/>
      <c r="AC320" s="35"/>
      <c r="AD320" s="35"/>
    </row>
    <row r="321" spans="1:30">
      <c r="A321" s="102">
        <f t="shared" si="5"/>
        <v>320</v>
      </c>
      <c r="B321" s="257">
        <f>YEAR(Table6[[#This Row],[Date]])+IF(MONTH(Table6[[#This Row],[Date]])&gt;=4,1,0)</f>
        <v>2026</v>
      </c>
      <c r="C321" s="102">
        <f>YEAR(Table6[[#This Row],[Date]])</f>
        <v>2025</v>
      </c>
      <c r="D321" s="102" t="s">
        <v>265</v>
      </c>
      <c r="E321" s="258">
        <f>Table6[[#This Row],[Date]]-DAY(Table6[[#This Row],[Date]])+1</f>
        <v>45748</v>
      </c>
      <c r="F321" s="259">
        <v>45766</v>
      </c>
      <c r="G321" s="35" t="s">
        <v>119</v>
      </c>
      <c r="H321" s="35" t="str">
        <f>IFERROR(_xlfn.XLOOKUP(Table6[[#This Row],[Affected WTG]],'Basic Data'!$A:$A,'Basic Data'!$B:$B),"")</f>
        <v>TQGXIIPL</v>
      </c>
      <c r="I321" s="35" t="str">
        <f>IFERROR(_xlfn.XLOOKUP(Table6[[#This Row],[Affected WTG]],'Basic Data'!$A:$A,'Basic Data'!$C:$C),"")</f>
        <v>GEDA</v>
      </c>
      <c r="J321" s="260">
        <f>IFERROR(_xlfn.XLOOKUP(Table6[[#This Row],[Affected WTG]],'Basic Data'!$A:$A,'Basic Data'!$E:$E),"")</f>
        <v>3.846153846153845E-2</v>
      </c>
      <c r="K321" s="102">
        <v>3110</v>
      </c>
      <c r="L321" s="35" t="str">
        <f>IFERROR(_xlfn.XLOOKUP(Table6[[#This Row],[Error Code]],'Basic Data'!$AA:$AA,'Basic Data'!$AB:$AB),"Incorrect Error Code")</f>
        <v>Frequency converter error</v>
      </c>
      <c r="M321" s="35" t="s">
        <v>266</v>
      </c>
      <c r="N321" s="264"/>
      <c r="O321" s="265">
        <v>0.72569444444444442</v>
      </c>
      <c r="P321" s="265">
        <v>0.72569444444444442</v>
      </c>
      <c r="Q321" s="266">
        <v>0.73541666666666672</v>
      </c>
      <c r="R321" s="261">
        <f>IF(Table6[[#This Row],[Work Start TimeStamp]]="","",(Table6[[#This Row],[Work Start TimeStamp]]-Table6[[#This Row],[Fault Start TimeStamp]])*24)</f>
        <v>0</v>
      </c>
      <c r="S321" s="261">
        <f>(Table6[[#This Row],[Fault Clearance time]]-Table6[[#This Row],[Work Start TimeStamp]])*24</f>
        <v>0.23333333333333517</v>
      </c>
      <c r="T321" s="261">
        <f>(Table6[[#This Row],[Fault Clearance time]]-Table6[[#This Row],[Fault Start TimeStamp]])*24</f>
        <v>0.23333333333333517</v>
      </c>
      <c r="U321" s="35" t="s">
        <v>267</v>
      </c>
      <c r="V321" s="102" t="s">
        <v>268</v>
      </c>
      <c r="W321" s="267">
        <f>IFERROR(Table6[[#This Row],[Breakdown Time]]*Table6[[#This Row],[Plant Equivalent Weightage]],"")</f>
        <v>8.9743589743590414E-3</v>
      </c>
      <c r="X321" s="262" t="s">
        <v>269</v>
      </c>
      <c r="Y321" s="263" t="s">
        <v>116</v>
      </c>
      <c r="Z321" s="102">
        <v>53626</v>
      </c>
      <c r="AA321" s="257">
        <f>(Table6[[#This Row],[Paired WTG Generation for loss calculation]]/24)*Table6[[#This Row],[Breakdown Time]]</f>
        <v>521.36388888889292</v>
      </c>
      <c r="AB321" s="102"/>
      <c r="AC321" s="35"/>
      <c r="AD321" s="35"/>
    </row>
    <row r="322" spans="1:30">
      <c r="A322" s="102">
        <f t="shared" si="5"/>
        <v>321</v>
      </c>
      <c r="B322" s="257">
        <f>YEAR(Table6[[#This Row],[Date]])+IF(MONTH(Table6[[#This Row],[Date]])&gt;=4,1,0)</f>
        <v>2026</v>
      </c>
      <c r="C322" s="102">
        <f>YEAR(Table6[[#This Row],[Date]])</f>
        <v>2025</v>
      </c>
      <c r="D322" s="102" t="s">
        <v>265</v>
      </c>
      <c r="E322" s="258">
        <f>Table6[[#This Row],[Date]]-DAY(Table6[[#This Row],[Date]])+1</f>
        <v>45748</v>
      </c>
      <c r="F322" s="259">
        <v>45766</v>
      </c>
      <c r="G322" s="35" t="s">
        <v>119</v>
      </c>
      <c r="H322" s="35" t="str">
        <f>IFERROR(_xlfn.XLOOKUP(Table6[[#This Row],[Affected WTG]],'Basic Data'!$A:$A,'Basic Data'!$B:$B),"")</f>
        <v>TQGXIIPL</v>
      </c>
      <c r="I322" s="35" t="str">
        <f>IFERROR(_xlfn.XLOOKUP(Table6[[#This Row],[Affected WTG]],'Basic Data'!$A:$A,'Basic Data'!$C:$C),"")</f>
        <v>GEDA</v>
      </c>
      <c r="J322" s="260">
        <f>IFERROR(_xlfn.XLOOKUP(Table6[[#This Row],[Affected WTG]],'Basic Data'!$A:$A,'Basic Data'!$E:$E),"")</f>
        <v>3.846153846153845E-2</v>
      </c>
      <c r="K322" s="102">
        <v>55</v>
      </c>
      <c r="L322" s="35" t="str">
        <f>IFERROR(_xlfn.XLOOKUP(Table6[[#This Row],[Error Code]],'Basic Data'!$AA:$AA,'Basic Data'!$AB:$AB),"Incorrect Error Code")</f>
        <v>WTG shut down</v>
      </c>
      <c r="M322" s="35" t="s">
        <v>300</v>
      </c>
      <c r="N322" s="264"/>
      <c r="O322" s="265">
        <v>0.75</v>
      </c>
      <c r="P322" s="265">
        <v>0.75</v>
      </c>
      <c r="Q322" s="266">
        <v>0.77916666666666667</v>
      </c>
      <c r="R322" s="261">
        <f>IF(Table6[[#This Row],[Work Start TimeStamp]]="","",(Table6[[#This Row],[Work Start TimeStamp]]-Table6[[#This Row],[Fault Start TimeStamp]])*24)</f>
        <v>0</v>
      </c>
      <c r="S322" s="261">
        <f>(Table6[[#This Row],[Fault Clearance time]]-Table6[[#This Row],[Work Start TimeStamp]])*24</f>
        <v>0.70000000000000018</v>
      </c>
      <c r="T322" s="261">
        <f>(Table6[[#This Row],[Fault Clearance time]]-Table6[[#This Row],[Fault Start TimeStamp]])*24</f>
        <v>0.70000000000000018</v>
      </c>
      <c r="U322" s="35" t="s">
        <v>301</v>
      </c>
      <c r="V322" s="102" t="s">
        <v>268</v>
      </c>
      <c r="W322" s="267">
        <f>IFERROR(Table6[[#This Row],[Breakdown Time]]*Table6[[#This Row],[Plant Equivalent Weightage]],"")</f>
        <v>2.6923076923076921E-2</v>
      </c>
      <c r="X322" s="262" t="s">
        <v>296</v>
      </c>
      <c r="Y322" s="263" t="s">
        <v>116</v>
      </c>
      <c r="Z322" s="102">
        <v>53626</v>
      </c>
      <c r="AA322" s="257">
        <f>(Table6[[#This Row],[Paired WTG Generation for loss calculation]]/24)*Table6[[#This Row],[Breakdown Time]]</f>
        <v>1564.0916666666669</v>
      </c>
      <c r="AB322" s="102"/>
      <c r="AC322" s="35"/>
      <c r="AD322" s="35"/>
    </row>
    <row r="323" spans="1:30">
      <c r="A323" s="102">
        <f t="shared" si="5"/>
        <v>322</v>
      </c>
      <c r="B323" s="257">
        <f>YEAR(Table6[[#This Row],[Date]])+IF(MONTH(Table6[[#This Row],[Date]])&gt;=4,1,0)</f>
        <v>2026</v>
      </c>
      <c r="C323" s="102">
        <f>YEAR(Table6[[#This Row],[Date]])</f>
        <v>2025</v>
      </c>
      <c r="D323" s="102" t="s">
        <v>265</v>
      </c>
      <c r="E323" s="258">
        <f>Table6[[#This Row],[Date]]-DAY(Table6[[#This Row],[Date]])+1</f>
        <v>45748</v>
      </c>
      <c r="F323" s="259">
        <v>45766</v>
      </c>
      <c r="G323" s="35" t="s">
        <v>120</v>
      </c>
      <c r="H323" s="35" t="str">
        <f>IFERROR(_xlfn.XLOOKUP(Table6[[#This Row],[Affected WTG]],'Basic Data'!$A:$A,'Basic Data'!$B:$B),"")</f>
        <v>TQGXIIPL</v>
      </c>
      <c r="I323" s="35" t="str">
        <f>IFERROR(_xlfn.XLOOKUP(Table6[[#This Row],[Affected WTG]],'Basic Data'!$A:$A,'Basic Data'!$C:$C),"")</f>
        <v>GEDA</v>
      </c>
      <c r="J323" s="260">
        <f>IFERROR(_xlfn.XLOOKUP(Table6[[#This Row],[Affected WTG]],'Basic Data'!$A:$A,'Basic Data'!$E:$E),"")</f>
        <v>3.846153846153845E-2</v>
      </c>
      <c r="K323" s="102">
        <v>1700</v>
      </c>
      <c r="L323" s="35" t="str">
        <f>IFERROR(_xlfn.XLOOKUP(Table6[[#This Row],[Error Code]],'Basic Data'!$AA:$AA,'Basic Data'!$AB:$AB),"Incorrect Error Code")</f>
        <v>High temp. gear bearing 1</v>
      </c>
      <c r="M323" s="35" t="s">
        <v>266</v>
      </c>
      <c r="N323" s="264"/>
      <c r="O323" s="265">
        <v>0.71388888888888891</v>
      </c>
      <c r="P323" s="265">
        <v>0.71388888888888891</v>
      </c>
      <c r="Q323" s="266">
        <v>0.71597222222222223</v>
      </c>
      <c r="R323" s="261">
        <f>IF(Table6[[#This Row],[Work Start TimeStamp]]="","",(Table6[[#This Row],[Work Start TimeStamp]]-Table6[[#This Row],[Fault Start TimeStamp]])*24)</f>
        <v>0</v>
      </c>
      <c r="S323" s="261">
        <f>(Table6[[#This Row],[Fault Clearance time]]-Table6[[#This Row],[Work Start TimeStamp]])*24</f>
        <v>4.9999999999999822E-2</v>
      </c>
      <c r="T323" s="261">
        <f>(Table6[[#This Row],[Fault Clearance time]]-Table6[[#This Row],[Fault Start TimeStamp]])*24</f>
        <v>4.9999999999999822E-2</v>
      </c>
      <c r="U323" s="35" t="s">
        <v>267</v>
      </c>
      <c r="V323" s="102" t="s">
        <v>268</v>
      </c>
      <c r="W323" s="267">
        <f>IFERROR(Table6[[#This Row],[Breakdown Time]]*Table6[[#This Row],[Plant Equivalent Weightage]],"")</f>
        <v>1.9230769230769156E-3</v>
      </c>
      <c r="X323" s="262" t="s">
        <v>269</v>
      </c>
      <c r="Y323" s="263" t="s">
        <v>135</v>
      </c>
      <c r="Z323" s="102">
        <v>45633</v>
      </c>
      <c r="AA323" s="257">
        <f>(Table6[[#This Row],[Paired WTG Generation for loss calculation]]/24)*Table6[[#This Row],[Breakdown Time]]</f>
        <v>95.068749999999667</v>
      </c>
      <c r="AB323" s="102"/>
      <c r="AC323" s="35"/>
      <c r="AD323" s="35"/>
    </row>
    <row r="324" spans="1:30">
      <c r="A324" s="102">
        <f t="shared" si="5"/>
        <v>323</v>
      </c>
      <c r="B324" s="257">
        <f>YEAR(Table6[[#This Row],[Date]])+IF(MONTH(Table6[[#This Row],[Date]])&gt;=4,1,0)</f>
        <v>2026</v>
      </c>
      <c r="C324" s="102">
        <f>YEAR(Table6[[#This Row],[Date]])</f>
        <v>2025</v>
      </c>
      <c r="D324" s="102" t="s">
        <v>265</v>
      </c>
      <c r="E324" s="258">
        <f>Table6[[#This Row],[Date]]-DAY(Table6[[#This Row],[Date]])+1</f>
        <v>45748</v>
      </c>
      <c r="F324" s="259">
        <v>45766</v>
      </c>
      <c r="G324" s="35" t="s">
        <v>121</v>
      </c>
      <c r="H324" s="35" t="str">
        <f>IFERROR(_xlfn.XLOOKUP(Table6[[#This Row],[Affected WTG]],'Basic Data'!$A:$A,'Basic Data'!$B:$B),"")</f>
        <v>TQGXIIPL</v>
      </c>
      <c r="I324" s="35" t="str">
        <f>IFERROR(_xlfn.XLOOKUP(Table6[[#This Row],[Affected WTG]],'Basic Data'!$A:$A,'Basic Data'!$C:$C),"")</f>
        <v>GEDA</v>
      </c>
      <c r="J324" s="260">
        <f>IFERROR(_xlfn.XLOOKUP(Table6[[#This Row],[Affected WTG]],'Basic Data'!$A:$A,'Basic Data'!$E:$E),"")</f>
        <v>3.846153846153845E-2</v>
      </c>
      <c r="K324" s="102">
        <v>4960</v>
      </c>
      <c r="L324" s="35" t="str">
        <f>IFERROR(_xlfn.XLOOKUP(Table6[[#This Row],[Error Code]],'Basic Data'!$AA:$AA,'Basic Data'!$AB:$AB),"Incorrect Error Code")</f>
        <v>Tower oscillation YF</v>
      </c>
      <c r="M324" s="35" t="s">
        <v>266</v>
      </c>
      <c r="N324" s="264"/>
      <c r="O324" s="265">
        <v>0.51666666666666672</v>
      </c>
      <c r="P324" s="265">
        <v>0.51666666666666672</v>
      </c>
      <c r="Q324" s="266">
        <v>0.52777777777777779</v>
      </c>
      <c r="R324" s="261">
        <f>IF(Table6[[#This Row],[Work Start TimeStamp]]="","",(Table6[[#This Row],[Work Start TimeStamp]]-Table6[[#This Row],[Fault Start TimeStamp]])*24)</f>
        <v>0</v>
      </c>
      <c r="S324" s="261">
        <f>(Table6[[#This Row],[Fault Clearance time]]-Table6[[#This Row],[Work Start TimeStamp]])*24</f>
        <v>0.26666666666666572</v>
      </c>
      <c r="T324" s="261">
        <f>(Table6[[#This Row],[Fault Clearance time]]-Table6[[#This Row],[Fault Start TimeStamp]])*24</f>
        <v>0.26666666666666572</v>
      </c>
      <c r="U324" s="35" t="s">
        <v>267</v>
      </c>
      <c r="V324" s="102" t="s">
        <v>268</v>
      </c>
      <c r="W324" s="267">
        <f>IFERROR(Table6[[#This Row],[Breakdown Time]]*Table6[[#This Row],[Plant Equivalent Weightage]],"")</f>
        <v>1.0256410256410217E-2</v>
      </c>
      <c r="X324" s="262" t="s">
        <v>269</v>
      </c>
      <c r="Y324" s="263" t="s">
        <v>118</v>
      </c>
      <c r="Z324" s="102">
        <v>51178</v>
      </c>
      <c r="AA324" s="257">
        <f>(Table6[[#This Row],[Paired WTG Generation for loss calculation]]/24)*Table6[[#This Row],[Breakdown Time]]</f>
        <v>568.64444444444234</v>
      </c>
      <c r="AB324" s="102"/>
      <c r="AC324" s="35"/>
      <c r="AD324" s="35"/>
    </row>
    <row r="325" spans="1:30">
      <c r="A325" s="102">
        <f t="shared" si="5"/>
        <v>324</v>
      </c>
      <c r="B325" s="257">
        <f>YEAR(Table6[[#This Row],[Date]])+IF(MONTH(Table6[[#This Row],[Date]])&gt;=4,1,0)</f>
        <v>2026</v>
      </c>
      <c r="C325" s="102">
        <f>YEAR(Table6[[#This Row],[Date]])</f>
        <v>2025</v>
      </c>
      <c r="D325" s="102" t="s">
        <v>265</v>
      </c>
      <c r="E325" s="258">
        <f>Table6[[#This Row],[Date]]-DAY(Table6[[#This Row],[Date]])+1</f>
        <v>45748</v>
      </c>
      <c r="F325" s="259">
        <v>45766</v>
      </c>
      <c r="G325" s="35" t="s">
        <v>122</v>
      </c>
      <c r="H325" s="35" t="str">
        <f>IFERROR(_xlfn.XLOOKUP(Table6[[#This Row],[Affected WTG]],'Basic Data'!$A:$A,'Basic Data'!$B:$B),"")</f>
        <v>TQGXIIPL</v>
      </c>
      <c r="I325" s="35" t="str">
        <f>IFERROR(_xlfn.XLOOKUP(Table6[[#This Row],[Affected WTG]],'Basic Data'!$A:$A,'Basic Data'!$C:$C),"")</f>
        <v>GEDA</v>
      </c>
      <c r="J325" s="260">
        <f>IFERROR(_xlfn.XLOOKUP(Table6[[#This Row],[Affected WTG]],'Basic Data'!$A:$A,'Basic Data'!$E:$E),"")</f>
        <v>3.846153846153845E-2</v>
      </c>
      <c r="K325" s="102">
        <v>6605</v>
      </c>
      <c r="L325" s="35" t="str">
        <f>IFERROR(_xlfn.XLOOKUP(Table6[[#This Row],[Error Code]],'Basic Data'!$AA:$AA,'Basic Data'!$AB:$AB),"Incorrect Error Code")</f>
        <v>Wind.dir. diff. level 2</v>
      </c>
      <c r="M325" s="35" t="s">
        <v>266</v>
      </c>
      <c r="N325" s="264"/>
      <c r="O325" s="265">
        <v>0.68263888888888891</v>
      </c>
      <c r="P325" s="265">
        <v>0.68263888888888891</v>
      </c>
      <c r="Q325" s="266">
        <v>0.69374999999999998</v>
      </c>
      <c r="R325" s="261">
        <f>IF(Table6[[#This Row],[Work Start TimeStamp]]="","",(Table6[[#This Row],[Work Start TimeStamp]]-Table6[[#This Row],[Fault Start TimeStamp]])*24)</f>
        <v>0</v>
      </c>
      <c r="S325" s="261">
        <f>(Table6[[#This Row],[Fault Clearance time]]-Table6[[#This Row],[Work Start TimeStamp]])*24</f>
        <v>0.26666666666666572</v>
      </c>
      <c r="T325" s="261">
        <f>(Table6[[#This Row],[Fault Clearance time]]-Table6[[#This Row],[Fault Start TimeStamp]])*24</f>
        <v>0.26666666666666572</v>
      </c>
      <c r="U325" s="35" t="s">
        <v>267</v>
      </c>
      <c r="V325" s="102" t="s">
        <v>268</v>
      </c>
      <c r="W325" s="267">
        <f>IFERROR(Table6[[#This Row],[Breakdown Time]]*Table6[[#This Row],[Plant Equivalent Weightage]],"")</f>
        <v>1.0256410256410217E-2</v>
      </c>
      <c r="X325" s="262" t="s">
        <v>269</v>
      </c>
      <c r="Y325" s="263" t="s">
        <v>140</v>
      </c>
      <c r="Z325" s="102">
        <v>45701</v>
      </c>
      <c r="AA325" s="257">
        <f>(Table6[[#This Row],[Paired WTG Generation for loss calculation]]/24)*Table6[[#This Row],[Breakdown Time]]</f>
        <v>507.78888888888707</v>
      </c>
      <c r="AB325" s="102"/>
      <c r="AC325" s="35"/>
      <c r="AD325" s="35"/>
    </row>
    <row r="326" spans="1:30">
      <c r="A326" s="102">
        <f t="shared" si="5"/>
        <v>325</v>
      </c>
      <c r="B326" s="257">
        <f>YEAR(Table6[[#This Row],[Date]])+IF(MONTH(Table6[[#This Row],[Date]])&gt;=4,1,0)</f>
        <v>2026</v>
      </c>
      <c r="C326" s="102">
        <f>YEAR(Table6[[#This Row],[Date]])</f>
        <v>2025</v>
      </c>
      <c r="D326" s="102" t="s">
        <v>265</v>
      </c>
      <c r="E326" s="258">
        <f>Table6[[#This Row],[Date]]-DAY(Table6[[#This Row],[Date]])+1</f>
        <v>45748</v>
      </c>
      <c r="F326" s="259">
        <v>45766</v>
      </c>
      <c r="G326" s="35" t="s">
        <v>125</v>
      </c>
      <c r="H326" s="35" t="str">
        <f>IFERROR(_xlfn.XLOOKUP(Table6[[#This Row],[Affected WTG]],'Basic Data'!$A:$A,'Basic Data'!$B:$B),"")</f>
        <v>TQGXIIPL</v>
      </c>
      <c r="I326" s="35" t="str">
        <f>IFERROR(_xlfn.XLOOKUP(Table6[[#This Row],[Affected WTG]],'Basic Data'!$A:$A,'Basic Data'!$C:$C),"")</f>
        <v>GEDA</v>
      </c>
      <c r="J326" s="260">
        <f>IFERROR(_xlfn.XLOOKUP(Table6[[#This Row],[Affected WTG]],'Basic Data'!$A:$A,'Basic Data'!$E:$E),"")</f>
        <v>3.846153846153845E-2</v>
      </c>
      <c r="K326" s="102">
        <v>6130</v>
      </c>
      <c r="L326" s="35" t="str">
        <f>IFERROR(_xlfn.XLOOKUP(Table6[[#This Row],[Error Code]],'Basic Data'!$AA:$AA,'Basic Data'!$AB:$AB),"Incorrect Error Code")</f>
        <v>Yaw speed high</v>
      </c>
      <c r="M326" s="35" t="s">
        <v>266</v>
      </c>
      <c r="N326" s="264"/>
      <c r="O326" s="265">
        <v>0.60347222222222219</v>
      </c>
      <c r="P326" s="265">
        <v>0.60347222222222219</v>
      </c>
      <c r="Q326" s="266">
        <v>0.60763888888888884</v>
      </c>
      <c r="R326" s="261">
        <f>IF(Table6[[#This Row],[Work Start TimeStamp]]="","",(Table6[[#This Row],[Work Start TimeStamp]]-Table6[[#This Row],[Fault Start TimeStamp]])*24)</f>
        <v>0</v>
      </c>
      <c r="S326" s="261">
        <f>(Table6[[#This Row],[Fault Clearance time]]-Table6[[#This Row],[Work Start TimeStamp]])*24</f>
        <v>9.9999999999999645E-2</v>
      </c>
      <c r="T326" s="261">
        <f>(Table6[[#This Row],[Fault Clearance time]]-Table6[[#This Row],[Fault Start TimeStamp]])*24</f>
        <v>9.9999999999999645E-2</v>
      </c>
      <c r="U326" s="35" t="s">
        <v>267</v>
      </c>
      <c r="V326" s="102" t="s">
        <v>268</v>
      </c>
      <c r="W326" s="267">
        <f>IFERROR(Table6[[#This Row],[Breakdown Time]]*Table6[[#This Row],[Plant Equivalent Weightage]],"")</f>
        <v>3.8461538461538312E-3</v>
      </c>
      <c r="X326" s="262" t="s">
        <v>269</v>
      </c>
      <c r="Y326" s="263" t="s">
        <v>126</v>
      </c>
      <c r="Z326" s="102">
        <v>44692</v>
      </c>
      <c r="AA326" s="257">
        <f>(Table6[[#This Row],[Paired WTG Generation for loss calculation]]/24)*Table6[[#This Row],[Breakdown Time]]</f>
        <v>186.21666666666601</v>
      </c>
      <c r="AB326" s="102"/>
      <c r="AC326" s="35"/>
      <c r="AD326" s="35"/>
    </row>
    <row r="327" spans="1:30">
      <c r="A327" s="102">
        <f t="shared" si="5"/>
        <v>326</v>
      </c>
      <c r="B327" s="257">
        <f>YEAR(Table6[[#This Row],[Date]])+IF(MONTH(Table6[[#This Row],[Date]])&gt;=4,1,0)</f>
        <v>2026</v>
      </c>
      <c r="C327" s="102">
        <f>YEAR(Table6[[#This Row],[Date]])</f>
        <v>2025</v>
      </c>
      <c r="D327" s="102" t="s">
        <v>265</v>
      </c>
      <c r="E327" s="258">
        <f>Table6[[#This Row],[Date]]-DAY(Table6[[#This Row],[Date]])+1</f>
        <v>45748</v>
      </c>
      <c r="F327" s="259">
        <v>45766</v>
      </c>
      <c r="G327" s="35" t="s">
        <v>126</v>
      </c>
      <c r="H327" s="35" t="str">
        <f>IFERROR(_xlfn.XLOOKUP(Table6[[#This Row],[Affected WTG]],'Basic Data'!$A:$A,'Basic Data'!$B:$B),"")</f>
        <v>TQGXIIPL</v>
      </c>
      <c r="I327" s="35" t="str">
        <f>IFERROR(_xlfn.XLOOKUP(Table6[[#This Row],[Affected WTG]],'Basic Data'!$A:$A,'Basic Data'!$C:$C),"")</f>
        <v>GEDA</v>
      </c>
      <c r="J327" s="260">
        <f>IFERROR(_xlfn.XLOOKUP(Table6[[#This Row],[Affected WTG]],'Basic Data'!$A:$A,'Basic Data'!$E:$E),"")</f>
        <v>3.846153846153845E-2</v>
      </c>
      <c r="K327" s="102">
        <v>1700</v>
      </c>
      <c r="L327" s="35" t="str">
        <f>IFERROR(_xlfn.XLOOKUP(Table6[[#This Row],[Error Code]],'Basic Data'!$AA:$AA,'Basic Data'!$AB:$AB),"Incorrect Error Code")</f>
        <v>High temp. gear bearing 1</v>
      </c>
      <c r="M327" s="35" t="s">
        <v>266</v>
      </c>
      <c r="N327" s="264"/>
      <c r="O327" s="265">
        <v>0.70208333333333328</v>
      </c>
      <c r="P327" s="265">
        <v>0.70208333333333328</v>
      </c>
      <c r="Q327" s="266">
        <v>0.70416666666666672</v>
      </c>
      <c r="R327" s="261">
        <f>IF(Table6[[#This Row],[Work Start TimeStamp]]="","",(Table6[[#This Row],[Work Start TimeStamp]]-Table6[[#This Row],[Fault Start TimeStamp]])*24)</f>
        <v>0</v>
      </c>
      <c r="S327" s="261">
        <f>(Table6[[#This Row],[Fault Clearance time]]-Table6[[#This Row],[Work Start TimeStamp]])*24</f>
        <v>5.0000000000002487E-2</v>
      </c>
      <c r="T327" s="261">
        <f>(Table6[[#This Row],[Fault Clearance time]]-Table6[[#This Row],[Fault Start TimeStamp]])*24</f>
        <v>5.0000000000002487E-2</v>
      </c>
      <c r="U327" s="35" t="s">
        <v>267</v>
      </c>
      <c r="V327" s="102" t="s">
        <v>268</v>
      </c>
      <c r="W327" s="267">
        <f>IFERROR(Table6[[#This Row],[Breakdown Time]]*Table6[[#This Row],[Plant Equivalent Weightage]],"")</f>
        <v>1.9230769230770182E-3</v>
      </c>
      <c r="X327" s="262" t="s">
        <v>269</v>
      </c>
      <c r="Y327" s="263" t="s">
        <v>128</v>
      </c>
      <c r="Z327" s="102">
        <v>42355</v>
      </c>
      <c r="AA327" s="257">
        <f>(Table6[[#This Row],[Paired WTG Generation for loss calculation]]/24)*Table6[[#This Row],[Breakdown Time]]</f>
        <v>88.23958333333772</v>
      </c>
      <c r="AB327" s="102"/>
      <c r="AC327" s="35"/>
      <c r="AD327" s="35"/>
    </row>
    <row r="328" spans="1:30">
      <c r="A328" s="102">
        <f t="shared" si="5"/>
        <v>327</v>
      </c>
      <c r="B328" s="257">
        <f>YEAR(Table6[[#This Row],[Date]])+IF(MONTH(Table6[[#This Row],[Date]])&gt;=4,1,0)</f>
        <v>2026</v>
      </c>
      <c r="C328" s="102">
        <f>YEAR(Table6[[#This Row],[Date]])</f>
        <v>2025</v>
      </c>
      <c r="D328" s="102" t="s">
        <v>265</v>
      </c>
      <c r="E328" s="258">
        <f>Table6[[#This Row],[Date]]-DAY(Table6[[#This Row],[Date]])+1</f>
        <v>45748</v>
      </c>
      <c r="F328" s="259">
        <v>45766</v>
      </c>
      <c r="G328" s="35" t="s">
        <v>128</v>
      </c>
      <c r="H328" s="35" t="str">
        <f>IFERROR(_xlfn.XLOOKUP(Table6[[#This Row],[Affected WTG]],'Basic Data'!$A:$A,'Basic Data'!$B:$B),"")</f>
        <v>TQGXIIPL</v>
      </c>
      <c r="I328" s="35" t="str">
        <f>IFERROR(_xlfn.XLOOKUP(Table6[[#This Row],[Affected WTG]],'Basic Data'!$A:$A,'Basic Data'!$C:$C),"")</f>
        <v>GEDA</v>
      </c>
      <c r="J328" s="260">
        <f>IFERROR(_xlfn.XLOOKUP(Table6[[#This Row],[Affected WTG]],'Basic Data'!$A:$A,'Basic Data'!$E:$E),"")</f>
        <v>3.846153846153845E-2</v>
      </c>
      <c r="K328" s="102">
        <v>4960</v>
      </c>
      <c r="L328" s="35" t="str">
        <f>IFERROR(_xlfn.XLOOKUP(Table6[[#This Row],[Error Code]],'Basic Data'!$AA:$AA,'Basic Data'!$AB:$AB),"Incorrect Error Code")</f>
        <v>Tower oscillation YF</v>
      </c>
      <c r="M328" s="35" t="s">
        <v>266</v>
      </c>
      <c r="N328" s="264"/>
      <c r="O328" s="265">
        <v>0.52500000000000002</v>
      </c>
      <c r="P328" s="265">
        <v>0.52500000000000002</v>
      </c>
      <c r="Q328" s="266">
        <v>0.53263888888888888</v>
      </c>
      <c r="R328" s="261">
        <f>IF(Table6[[#This Row],[Work Start TimeStamp]]="","",(Table6[[#This Row],[Work Start TimeStamp]]-Table6[[#This Row],[Fault Start TimeStamp]])*24)</f>
        <v>0</v>
      </c>
      <c r="S328" s="261">
        <f>(Table6[[#This Row],[Fault Clearance time]]-Table6[[#This Row],[Work Start TimeStamp]])*24</f>
        <v>0.18333333333333268</v>
      </c>
      <c r="T328" s="261">
        <f>(Table6[[#This Row],[Fault Clearance time]]-Table6[[#This Row],[Fault Start TimeStamp]])*24</f>
        <v>0.18333333333333268</v>
      </c>
      <c r="U328" s="35" t="s">
        <v>267</v>
      </c>
      <c r="V328" s="102" t="s">
        <v>268</v>
      </c>
      <c r="W328" s="267">
        <f>IFERROR(Table6[[#This Row],[Breakdown Time]]*Table6[[#This Row],[Plant Equivalent Weightage]],"")</f>
        <v>7.0512820512820245E-3</v>
      </c>
      <c r="X328" s="262" t="s">
        <v>269</v>
      </c>
      <c r="Y328" s="263" t="s">
        <v>126</v>
      </c>
      <c r="Z328" s="102">
        <v>44692</v>
      </c>
      <c r="AA328" s="257">
        <f>(Table6[[#This Row],[Paired WTG Generation for loss calculation]]/24)*Table6[[#This Row],[Breakdown Time]]</f>
        <v>341.39722222222105</v>
      </c>
      <c r="AB328" s="102"/>
      <c r="AC328" s="35"/>
      <c r="AD328" s="35"/>
    </row>
    <row r="329" spans="1:30">
      <c r="A329" s="102">
        <f t="shared" si="5"/>
        <v>328</v>
      </c>
      <c r="B329" s="257">
        <f>YEAR(Table6[[#This Row],[Date]])+IF(MONTH(Table6[[#This Row],[Date]])&gt;=4,1,0)</f>
        <v>2026</v>
      </c>
      <c r="C329" s="102">
        <f>YEAR(Table6[[#This Row],[Date]])</f>
        <v>2025</v>
      </c>
      <c r="D329" s="102" t="s">
        <v>265</v>
      </c>
      <c r="E329" s="258">
        <f>Table6[[#This Row],[Date]]-DAY(Table6[[#This Row],[Date]])+1</f>
        <v>45748</v>
      </c>
      <c r="F329" s="259">
        <v>45766</v>
      </c>
      <c r="G329" s="35" t="s">
        <v>132</v>
      </c>
      <c r="H329" s="35" t="str">
        <f>IFERROR(_xlfn.XLOOKUP(Table6[[#This Row],[Affected WTG]],'Basic Data'!$A:$A,'Basic Data'!$B:$B),"")</f>
        <v>TQGXIIPL</v>
      </c>
      <c r="I329" s="35" t="str">
        <f>IFERROR(_xlfn.XLOOKUP(Table6[[#This Row],[Affected WTG]],'Basic Data'!$A:$A,'Basic Data'!$C:$C),"")</f>
        <v>GEDA</v>
      </c>
      <c r="J329" s="260">
        <f>IFERROR(_xlfn.XLOOKUP(Table6[[#This Row],[Affected WTG]],'Basic Data'!$A:$A,'Basic Data'!$E:$E),"")</f>
        <v>3.846153846153845E-2</v>
      </c>
      <c r="K329" s="102">
        <v>55</v>
      </c>
      <c r="L329" s="35" t="str">
        <f>IFERROR(_xlfn.XLOOKUP(Table6[[#This Row],[Error Code]],'Basic Data'!$AA:$AA,'Basic Data'!$AB:$AB),"Incorrect Error Code")</f>
        <v>WTG shut down</v>
      </c>
      <c r="M329" s="35" t="s">
        <v>271</v>
      </c>
      <c r="N329" s="264"/>
      <c r="O329" s="265">
        <v>0.28749999999999998</v>
      </c>
      <c r="P329" s="265">
        <v>0.28749999999999998</v>
      </c>
      <c r="Q329" s="266">
        <v>0.65069444444444446</v>
      </c>
      <c r="R329" s="261">
        <f>IF(Table6[[#This Row],[Work Start TimeStamp]]="","",(Table6[[#This Row],[Work Start TimeStamp]]-Table6[[#This Row],[Fault Start TimeStamp]])*24)</f>
        <v>0</v>
      </c>
      <c r="S329" s="261">
        <f>(Table6[[#This Row],[Fault Clearance time]]-Table6[[#This Row],[Work Start TimeStamp]])*24</f>
        <v>8.7166666666666686</v>
      </c>
      <c r="T329" s="261">
        <f>(Table6[[#This Row],[Fault Clearance time]]-Table6[[#This Row],[Fault Start TimeStamp]])*24</f>
        <v>8.7166666666666686</v>
      </c>
      <c r="U329" s="35" t="s">
        <v>272</v>
      </c>
      <c r="V329" s="102" t="s">
        <v>268</v>
      </c>
      <c r="W329" s="267">
        <f>IFERROR(Table6[[#This Row],[Breakdown Time]]*Table6[[#This Row],[Plant Equivalent Weightage]],"")</f>
        <v>0.33525641025641023</v>
      </c>
      <c r="X329" s="262" t="s">
        <v>273</v>
      </c>
      <c r="Y329" s="263" t="s">
        <v>120</v>
      </c>
      <c r="Z329" s="102">
        <v>46454</v>
      </c>
      <c r="AA329" s="257">
        <f>(Table6[[#This Row],[Paired WTG Generation for loss calculation]]/24)*Table6[[#This Row],[Breakdown Time]]</f>
        <v>16871.834722222226</v>
      </c>
      <c r="AB329" s="102"/>
      <c r="AC329" s="35"/>
      <c r="AD329" s="35"/>
    </row>
    <row r="330" spans="1:30">
      <c r="A330" s="102">
        <f t="shared" si="5"/>
        <v>329</v>
      </c>
      <c r="B330" s="257">
        <f>YEAR(Table6[[#This Row],[Date]])+IF(MONTH(Table6[[#This Row],[Date]])&gt;=4,1,0)</f>
        <v>2026</v>
      </c>
      <c r="C330" s="102">
        <f>YEAR(Table6[[#This Row],[Date]])</f>
        <v>2025</v>
      </c>
      <c r="D330" s="102" t="s">
        <v>265</v>
      </c>
      <c r="E330" s="258">
        <f>Table6[[#This Row],[Date]]-DAY(Table6[[#This Row],[Date]])+1</f>
        <v>45748</v>
      </c>
      <c r="F330" s="259">
        <v>45766</v>
      </c>
      <c r="G330" s="35" t="s">
        <v>134</v>
      </c>
      <c r="H330" s="35" t="str">
        <f>IFERROR(_xlfn.XLOOKUP(Table6[[#This Row],[Affected WTG]],'Basic Data'!$A:$A,'Basic Data'!$B:$B),"")</f>
        <v>TQGXIIPL</v>
      </c>
      <c r="I330" s="35" t="str">
        <f>IFERROR(_xlfn.XLOOKUP(Table6[[#This Row],[Affected WTG]],'Basic Data'!$A:$A,'Basic Data'!$C:$C),"")</f>
        <v>GEDA</v>
      </c>
      <c r="J330" s="260">
        <f>IFERROR(_xlfn.XLOOKUP(Table6[[#This Row],[Affected WTG]],'Basic Data'!$A:$A,'Basic Data'!$E:$E),"")</f>
        <v>3.846153846153845E-2</v>
      </c>
      <c r="K330" s="102">
        <v>4960</v>
      </c>
      <c r="L330" s="35" t="str">
        <f>IFERROR(_xlfn.XLOOKUP(Table6[[#This Row],[Error Code]],'Basic Data'!$AA:$AA,'Basic Data'!$AB:$AB),"Incorrect Error Code")</f>
        <v>Tower oscillation YF</v>
      </c>
      <c r="M330" s="35" t="s">
        <v>266</v>
      </c>
      <c r="N330" s="264"/>
      <c r="O330" s="265">
        <v>0.54097222222222219</v>
      </c>
      <c r="P330" s="265">
        <v>0.54097222222222219</v>
      </c>
      <c r="Q330" s="266">
        <v>0.55208333333333337</v>
      </c>
      <c r="R330" s="261">
        <f>IF(Table6[[#This Row],[Work Start TimeStamp]]="","",(Table6[[#This Row],[Work Start TimeStamp]]-Table6[[#This Row],[Fault Start TimeStamp]])*24)</f>
        <v>0</v>
      </c>
      <c r="S330" s="261">
        <f>(Table6[[#This Row],[Fault Clearance time]]-Table6[[#This Row],[Work Start TimeStamp]])*24</f>
        <v>0.26666666666666838</v>
      </c>
      <c r="T330" s="261">
        <f>(Table6[[#This Row],[Fault Clearance time]]-Table6[[#This Row],[Fault Start TimeStamp]])*24</f>
        <v>0.26666666666666838</v>
      </c>
      <c r="U330" s="35" t="s">
        <v>267</v>
      </c>
      <c r="V330" s="102" t="s">
        <v>268</v>
      </c>
      <c r="W330" s="267">
        <f>IFERROR(Table6[[#This Row],[Breakdown Time]]*Table6[[#This Row],[Plant Equivalent Weightage]],"")</f>
        <v>1.0256410256410319E-2</v>
      </c>
      <c r="X330" s="262" t="s">
        <v>269</v>
      </c>
      <c r="Y330" s="263" t="s">
        <v>138</v>
      </c>
      <c r="Z330" s="102">
        <v>45796</v>
      </c>
      <c r="AA330" s="257">
        <f>(Table6[[#This Row],[Paired WTG Generation for loss calculation]]/24)*Table6[[#This Row],[Breakdown Time]]</f>
        <v>508.84444444444773</v>
      </c>
      <c r="AB330" s="102"/>
      <c r="AC330" s="35"/>
      <c r="AD330" s="35"/>
    </row>
    <row r="331" spans="1:30">
      <c r="A331" s="102">
        <f t="shared" si="5"/>
        <v>330</v>
      </c>
      <c r="B331" s="257">
        <f>YEAR(Table6[[#This Row],[Date]])+IF(MONTH(Table6[[#This Row],[Date]])&gt;=4,1,0)</f>
        <v>2026</v>
      </c>
      <c r="C331" s="102">
        <f>YEAR(Table6[[#This Row],[Date]])</f>
        <v>2025</v>
      </c>
      <c r="D331" s="102" t="s">
        <v>265</v>
      </c>
      <c r="E331" s="258">
        <f>Table6[[#This Row],[Date]]-DAY(Table6[[#This Row],[Date]])+1</f>
        <v>45748</v>
      </c>
      <c r="F331" s="259">
        <v>45766</v>
      </c>
      <c r="G331" s="35" t="s">
        <v>135</v>
      </c>
      <c r="H331" s="35" t="str">
        <f>IFERROR(_xlfn.XLOOKUP(Table6[[#This Row],[Affected WTG]],'Basic Data'!$A:$A,'Basic Data'!$B:$B),"")</f>
        <v>TQGXIIPL</v>
      </c>
      <c r="I331" s="35" t="str">
        <f>IFERROR(_xlfn.XLOOKUP(Table6[[#This Row],[Affected WTG]],'Basic Data'!$A:$A,'Basic Data'!$C:$C),"")</f>
        <v>GEDA</v>
      </c>
      <c r="J331" s="260">
        <f>IFERROR(_xlfn.XLOOKUP(Table6[[#This Row],[Affected WTG]],'Basic Data'!$A:$A,'Basic Data'!$E:$E),"")</f>
        <v>3.846153846153845E-2</v>
      </c>
      <c r="K331" s="102">
        <v>6130</v>
      </c>
      <c r="L331" s="35" t="str">
        <f>IFERROR(_xlfn.XLOOKUP(Table6[[#This Row],[Error Code]],'Basic Data'!$AA:$AA,'Basic Data'!$AB:$AB),"Incorrect Error Code")</f>
        <v>Yaw speed high</v>
      </c>
      <c r="M331" s="35" t="s">
        <v>266</v>
      </c>
      <c r="N331" s="264"/>
      <c r="O331" s="265">
        <v>0.44166666666666665</v>
      </c>
      <c r="P331" s="265">
        <v>0.44166666666666665</v>
      </c>
      <c r="Q331" s="266">
        <v>0.44583333333333336</v>
      </c>
      <c r="R331" s="261">
        <f>IF(Table6[[#This Row],[Work Start TimeStamp]]="","",(Table6[[#This Row],[Work Start TimeStamp]]-Table6[[#This Row],[Fault Start TimeStamp]])*24)</f>
        <v>0</v>
      </c>
      <c r="S331" s="261">
        <f>(Table6[[#This Row],[Fault Clearance time]]-Table6[[#This Row],[Work Start TimeStamp]])*24</f>
        <v>0.10000000000000098</v>
      </c>
      <c r="T331" s="261">
        <f>(Table6[[#This Row],[Fault Clearance time]]-Table6[[#This Row],[Fault Start TimeStamp]])*24</f>
        <v>0.10000000000000098</v>
      </c>
      <c r="U331" s="35" t="s">
        <v>267</v>
      </c>
      <c r="V331" s="102" t="s">
        <v>268</v>
      </c>
      <c r="W331" s="267">
        <f>IFERROR(Table6[[#This Row],[Breakdown Time]]*Table6[[#This Row],[Plant Equivalent Weightage]],"")</f>
        <v>3.8461538461538824E-3</v>
      </c>
      <c r="X331" s="262" t="s">
        <v>269</v>
      </c>
      <c r="Y331" s="263" t="s">
        <v>120</v>
      </c>
      <c r="Z331" s="102">
        <v>46454</v>
      </c>
      <c r="AA331" s="257">
        <f>(Table6[[#This Row],[Paired WTG Generation for loss calculation]]/24)*Table6[[#This Row],[Breakdown Time]]</f>
        <v>193.55833333333521</v>
      </c>
      <c r="AB331" s="102"/>
      <c r="AC331" s="35"/>
      <c r="AD331" s="35"/>
    </row>
    <row r="332" spans="1:30">
      <c r="A332" s="102">
        <f t="shared" si="5"/>
        <v>331</v>
      </c>
      <c r="B332" s="257">
        <f>YEAR(Table6[[#This Row],[Date]])+IF(MONTH(Table6[[#This Row],[Date]])&gt;=4,1,0)</f>
        <v>2026</v>
      </c>
      <c r="C332" s="102">
        <f>YEAR(Table6[[#This Row],[Date]])</f>
        <v>2025</v>
      </c>
      <c r="D332" s="102" t="s">
        <v>265</v>
      </c>
      <c r="E332" s="258">
        <f>Table6[[#This Row],[Date]]-DAY(Table6[[#This Row],[Date]])+1</f>
        <v>45748</v>
      </c>
      <c r="F332" s="259">
        <v>45766</v>
      </c>
      <c r="G332" s="35" t="s">
        <v>137</v>
      </c>
      <c r="H332" s="35" t="str">
        <f>IFERROR(_xlfn.XLOOKUP(Table6[[#This Row],[Affected WTG]],'Basic Data'!$A:$A,'Basic Data'!$B:$B),"")</f>
        <v>TQGXIIPL</v>
      </c>
      <c r="I332" s="35" t="str">
        <f>IFERROR(_xlfn.XLOOKUP(Table6[[#This Row],[Affected WTG]],'Basic Data'!$A:$A,'Basic Data'!$C:$C),"")</f>
        <v>GEDA</v>
      </c>
      <c r="J332" s="260">
        <f>IFERROR(_xlfn.XLOOKUP(Table6[[#This Row],[Affected WTG]],'Basic Data'!$A:$A,'Basic Data'!$E:$E),"")</f>
        <v>3.846153846153845E-2</v>
      </c>
      <c r="K332" s="102">
        <v>4960</v>
      </c>
      <c r="L332" s="35" t="str">
        <f>IFERROR(_xlfn.XLOOKUP(Table6[[#This Row],[Error Code]],'Basic Data'!$AA:$AA,'Basic Data'!$AB:$AB),"Incorrect Error Code")</f>
        <v>Tower oscillation YF</v>
      </c>
      <c r="M332" s="35" t="s">
        <v>266</v>
      </c>
      <c r="N332" s="264"/>
      <c r="O332" s="265">
        <v>0.61736111111111114</v>
      </c>
      <c r="P332" s="265">
        <v>0.61736111111111114</v>
      </c>
      <c r="Q332" s="266">
        <v>0.62847222222222221</v>
      </c>
      <c r="R332" s="261">
        <f>IF(Table6[[#This Row],[Work Start TimeStamp]]="","",(Table6[[#This Row],[Work Start TimeStamp]]-Table6[[#This Row],[Fault Start TimeStamp]])*24)</f>
        <v>0</v>
      </c>
      <c r="S332" s="261">
        <f>(Table6[[#This Row],[Fault Clearance time]]-Table6[[#This Row],[Work Start TimeStamp]])*24</f>
        <v>0.26666666666666572</v>
      </c>
      <c r="T332" s="261">
        <f>(Table6[[#This Row],[Fault Clearance time]]-Table6[[#This Row],[Fault Start TimeStamp]])*24</f>
        <v>0.26666666666666572</v>
      </c>
      <c r="U332" s="35" t="s">
        <v>267</v>
      </c>
      <c r="V332" s="102" t="s">
        <v>268</v>
      </c>
      <c r="W332" s="267">
        <f>IFERROR(Table6[[#This Row],[Breakdown Time]]*Table6[[#This Row],[Plant Equivalent Weightage]],"")</f>
        <v>1.0256410256410217E-2</v>
      </c>
      <c r="X332" s="262" t="s">
        <v>269</v>
      </c>
      <c r="Y332" s="263" t="s">
        <v>125</v>
      </c>
      <c r="Z332" s="102">
        <v>45528</v>
      </c>
      <c r="AA332" s="257">
        <f>(Table6[[#This Row],[Paired WTG Generation for loss calculation]]/24)*Table6[[#This Row],[Breakdown Time]]</f>
        <v>505.86666666666486</v>
      </c>
      <c r="AB332" s="102"/>
      <c r="AC332" s="35"/>
      <c r="AD332" s="35"/>
    </row>
    <row r="333" spans="1:30">
      <c r="A333" s="102">
        <f t="shared" si="5"/>
        <v>332</v>
      </c>
      <c r="B333" s="257">
        <f>YEAR(Table6[[#This Row],[Date]])+IF(MONTH(Table6[[#This Row],[Date]])&gt;=4,1,0)</f>
        <v>2026</v>
      </c>
      <c r="C333" s="102">
        <f>YEAR(Table6[[#This Row],[Date]])</f>
        <v>2025</v>
      </c>
      <c r="D333" s="102" t="s">
        <v>265</v>
      </c>
      <c r="E333" s="258">
        <f>Table6[[#This Row],[Date]]-DAY(Table6[[#This Row],[Date]])+1</f>
        <v>45748</v>
      </c>
      <c r="F333" s="259">
        <v>45766</v>
      </c>
      <c r="G333" s="35" t="s">
        <v>139</v>
      </c>
      <c r="H333" s="35" t="str">
        <f>IFERROR(_xlfn.XLOOKUP(Table6[[#This Row],[Affected WTG]],'Basic Data'!$A:$A,'Basic Data'!$B:$B),"")</f>
        <v>TQGXIIPL</v>
      </c>
      <c r="I333" s="35" t="str">
        <f>IFERROR(_xlfn.XLOOKUP(Table6[[#This Row],[Affected WTG]],'Basic Data'!$A:$A,'Basic Data'!$C:$C),"")</f>
        <v>GEDA</v>
      </c>
      <c r="J333" s="260">
        <f>IFERROR(_xlfn.XLOOKUP(Table6[[#This Row],[Affected WTG]],'Basic Data'!$A:$A,'Basic Data'!$E:$E),"")</f>
        <v>3.846153846153845E-2</v>
      </c>
      <c r="K333" s="102">
        <v>55</v>
      </c>
      <c r="L333" s="35" t="str">
        <f>IFERROR(_xlfn.XLOOKUP(Table6[[#This Row],[Error Code]],'Basic Data'!$AA:$AA,'Basic Data'!$AB:$AB),"Incorrect Error Code")</f>
        <v>WTG shut down</v>
      </c>
      <c r="M333" s="35" t="s">
        <v>300</v>
      </c>
      <c r="N333" s="264"/>
      <c r="O333" s="265">
        <v>0.4375</v>
      </c>
      <c r="P333" s="265">
        <v>0.4375</v>
      </c>
      <c r="Q333" s="266">
        <v>0.46458333333333335</v>
      </c>
      <c r="R333" s="261">
        <f>IF(Table6[[#This Row],[Work Start TimeStamp]]="","",(Table6[[#This Row],[Work Start TimeStamp]]-Table6[[#This Row],[Fault Start TimeStamp]])*24)</f>
        <v>0</v>
      </c>
      <c r="S333" s="261">
        <f>(Table6[[#This Row],[Fault Clearance time]]-Table6[[#This Row],[Work Start TimeStamp]])*24</f>
        <v>0.65000000000000036</v>
      </c>
      <c r="T333" s="261">
        <f>(Table6[[#This Row],[Fault Clearance time]]-Table6[[#This Row],[Fault Start TimeStamp]])*24</f>
        <v>0.65000000000000036</v>
      </c>
      <c r="U333" s="35" t="s">
        <v>301</v>
      </c>
      <c r="V333" s="102" t="s">
        <v>268</v>
      </c>
      <c r="W333" s="267">
        <f>IFERROR(Table6[[#This Row],[Breakdown Time]]*Table6[[#This Row],[Plant Equivalent Weightage]],"")</f>
        <v>2.5000000000000005E-2</v>
      </c>
      <c r="X333" s="262" t="s">
        <v>296</v>
      </c>
      <c r="Y333" s="263" t="s">
        <v>115</v>
      </c>
      <c r="Z333" s="102">
        <v>39027</v>
      </c>
      <c r="AA333" s="257">
        <f>(Table6[[#This Row],[Paired WTG Generation for loss calculation]]/24)*Table6[[#This Row],[Breakdown Time]]</f>
        <v>1056.9812500000005</v>
      </c>
      <c r="AB333" s="102"/>
      <c r="AC333" s="35"/>
      <c r="AD333" s="35"/>
    </row>
    <row r="334" spans="1:30">
      <c r="A334" s="102">
        <f t="shared" ref="A334:A397" si="6">A333+1</f>
        <v>333</v>
      </c>
      <c r="B334" s="257">
        <f>YEAR(Table6[[#This Row],[Date]])+IF(MONTH(Table6[[#This Row],[Date]])&gt;=4,1,0)</f>
        <v>2026</v>
      </c>
      <c r="C334" s="102">
        <f>YEAR(Table6[[#This Row],[Date]])</f>
        <v>2025</v>
      </c>
      <c r="D334" s="102" t="s">
        <v>265</v>
      </c>
      <c r="E334" s="258">
        <f>Table6[[#This Row],[Date]]-DAY(Table6[[#This Row],[Date]])+1</f>
        <v>45748</v>
      </c>
      <c r="F334" s="259">
        <v>45766</v>
      </c>
      <c r="G334" s="35" t="s">
        <v>139</v>
      </c>
      <c r="H334" s="35" t="str">
        <f>IFERROR(_xlfn.XLOOKUP(Table6[[#This Row],[Affected WTG]],'Basic Data'!$A:$A,'Basic Data'!$B:$B),"")</f>
        <v>TQGXIIPL</v>
      </c>
      <c r="I334" s="35" t="str">
        <f>IFERROR(_xlfn.XLOOKUP(Table6[[#This Row],[Affected WTG]],'Basic Data'!$A:$A,'Basic Data'!$C:$C),"")</f>
        <v>GEDA</v>
      </c>
      <c r="J334" s="260">
        <f>IFERROR(_xlfn.XLOOKUP(Table6[[#This Row],[Affected WTG]],'Basic Data'!$A:$A,'Basic Data'!$E:$E),"")</f>
        <v>3.846153846153845E-2</v>
      </c>
      <c r="K334" s="102">
        <v>55</v>
      </c>
      <c r="L334" s="35" t="str">
        <f>IFERROR(_xlfn.XLOOKUP(Table6[[#This Row],[Error Code]],'Basic Data'!$AA:$AA,'Basic Data'!$AB:$AB),"Incorrect Error Code")</f>
        <v>WTG shut down</v>
      </c>
      <c r="M334" s="35" t="s">
        <v>300</v>
      </c>
      <c r="N334" s="264"/>
      <c r="O334" s="265">
        <v>0.70486111111111116</v>
      </c>
      <c r="P334" s="265">
        <v>0.70486111111111116</v>
      </c>
      <c r="Q334" s="266">
        <v>0.88194444444444442</v>
      </c>
      <c r="R334" s="261">
        <f>IF(Table6[[#This Row],[Work Start TimeStamp]]="","",(Table6[[#This Row],[Work Start TimeStamp]]-Table6[[#This Row],[Fault Start TimeStamp]])*24)</f>
        <v>0</v>
      </c>
      <c r="S334" s="261">
        <f>(Table6[[#This Row],[Fault Clearance time]]-Table6[[#This Row],[Work Start TimeStamp]])*24</f>
        <v>4.2499999999999982</v>
      </c>
      <c r="T334" s="261">
        <f>(Table6[[#This Row],[Fault Clearance time]]-Table6[[#This Row],[Fault Start TimeStamp]])*24</f>
        <v>4.2499999999999982</v>
      </c>
      <c r="U334" s="35" t="s">
        <v>301</v>
      </c>
      <c r="V334" s="102" t="s">
        <v>268</v>
      </c>
      <c r="W334" s="267">
        <f>IFERROR(Table6[[#This Row],[Breakdown Time]]*Table6[[#This Row],[Plant Equivalent Weightage]],"")</f>
        <v>0.16346153846153835</v>
      </c>
      <c r="X334" s="262" t="s">
        <v>296</v>
      </c>
      <c r="Y334" s="263" t="s">
        <v>115</v>
      </c>
      <c r="Z334" s="102">
        <v>39027</v>
      </c>
      <c r="AA334" s="257">
        <f>(Table6[[#This Row],[Paired WTG Generation for loss calculation]]/24)*Table6[[#This Row],[Breakdown Time]]</f>
        <v>6911.0312499999973</v>
      </c>
      <c r="AB334" s="102"/>
      <c r="AC334" s="35"/>
      <c r="AD334" s="35"/>
    </row>
    <row r="335" spans="1:30">
      <c r="A335" s="102">
        <f t="shared" si="6"/>
        <v>334</v>
      </c>
      <c r="B335" s="257">
        <f>YEAR(Table6[[#This Row],[Date]])+IF(MONTH(Table6[[#This Row],[Date]])&gt;=4,1,0)</f>
        <v>2026</v>
      </c>
      <c r="C335" s="102">
        <f>YEAR(Table6[[#This Row],[Date]])</f>
        <v>2025</v>
      </c>
      <c r="D335" s="102" t="s">
        <v>265</v>
      </c>
      <c r="E335" s="258">
        <f>Table6[[#This Row],[Date]]-DAY(Table6[[#This Row],[Date]])+1</f>
        <v>45748</v>
      </c>
      <c r="F335" s="259">
        <v>45767</v>
      </c>
      <c r="G335" s="35" t="s">
        <v>115</v>
      </c>
      <c r="H335" s="35" t="str">
        <f>IFERROR(_xlfn.XLOOKUP(Table6[[#This Row],[Affected WTG]],'Basic Data'!$A:$A,'Basic Data'!$B:$B),"")</f>
        <v>TQGXIIPL</v>
      </c>
      <c r="I335" s="35" t="str">
        <f>IFERROR(_xlfn.XLOOKUP(Table6[[#This Row],[Affected WTG]],'Basic Data'!$A:$A,'Basic Data'!$C:$C),"")</f>
        <v>GEDA</v>
      </c>
      <c r="J335" s="260">
        <f>IFERROR(_xlfn.XLOOKUP(Table6[[#This Row],[Affected WTG]],'Basic Data'!$A:$A,'Basic Data'!$E:$E),"")</f>
        <v>3.846153846153845E-2</v>
      </c>
      <c r="K335" s="102">
        <v>3110</v>
      </c>
      <c r="L335" s="35" t="str">
        <f>IFERROR(_xlfn.XLOOKUP(Table6[[#This Row],[Error Code]],'Basic Data'!$AA:$AA,'Basic Data'!$AB:$AB),"Incorrect Error Code")</f>
        <v>Frequency converter error</v>
      </c>
      <c r="M335" s="35" t="s">
        <v>266</v>
      </c>
      <c r="N335" s="264"/>
      <c r="O335" s="265">
        <v>0.93263888888888891</v>
      </c>
      <c r="P335" s="265">
        <v>0.97777777777777775</v>
      </c>
      <c r="Q335" s="266">
        <v>0.99998842592592596</v>
      </c>
      <c r="R335" s="261">
        <f>IF(Table6[[#This Row],[Work Start TimeStamp]]="","",(Table6[[#This Row],[Work Start TimeStamp]]-Table6[[#This Row],[Fault Start TimeStamp]])*24)</f>
        <v>1.0833333333333321</v>
      </c>
      <c r="S335" s="261">
        <f>(Table6[[#This Row],[Fault Clearance time]]-Table6[[#This Row],[Work Start TimeStamp]])*24</f>
        <v>0.53305555555555717</v>
      </c>
      <c r="T335" s="261">
        <f>(Table6[[#This Row],[Fault Clearance time]]-Table6[[#This Row],[Fault Start TimeStamp]])*24</f>
        <v>1.6163888888888893</v>
      </c>
      <c r="U335" s="35" t="s">
        <v>348</v>
      </c>
      <c r="V335" s="102" t="s">
        <v>289</v>
      </c>
      <c r="W335" s="267">
        <f>IFERROR(Table6[[#This Row],[Breakdown Time]]*Table6[[#This Row],[Plant Equivalent Weightage]],"")</f>
        <v>6.2168803418803417E-2</v>
      </c>
      <c r="X335" s="262" t="s">
        <v>269</v>
      </c>
      <c r="Y335" s="263" t="s">
        <v>140</v>
      </c>
      <c r="Z335" s="102">
        <v>22337</v>
      </c>
      <c r="AA335" s="257">
        <f>(Table6[[#This Row],[Paired WTG Generation for loss calculation]]/24)*Table6[[#This Row],[Breakdown Time]]</f>
        <v>1504.3866087962967</v>
      </c>
      <c r="AB335" s="102"/>
      <c r="AC335" s="35"/>
      <c r="AD335" s="35"/>
    </row>
    <row r="336" spans="1:30">
      <c r="A336" s="102">
        <f t="shared" si="6"/>
        <v>335</v>
      </c>
      <c r="B336" s="257">
        <f>YEAR(Table6[[#This Row],[Date]])+IF(MONTH(Table6[[#This Row],[Date]])&gt;=4,1,0)</f>
        <v>2026</v>
      </c>
      <c r="C336" s="102">
        <f>YEAR(Table6[[#This Row],[Date]])</f>
        <v>2025</v>
      </c>
      <c r="D336" s="102" t="s">
        <v>265</v>
      </c>
      <c r="E336" s="258">
        <f>Table6[[#This Row],[Date]]-DAY(Table6[[#This Row],[Date]])+1</f>
        <v>45748</v>
      </c>
      <c r="F336" s="259">
        <v>45767</v>
      </c>
      <c r="G336" s="35" t="s">
        <v>118</v>
      </c>
      <c r="H336" s="35" t="str">
        <f>IFERROR(_xlfn.XLOOKUP(Table6[[#This Row],[Affected WTG]],'Basic Data'!$A:$A,'Basic Data'!$B:$B),"")</f>
        <v>TQGXIIPL</v>
      </c>
      <c r="I336" s="35" t="str">
        <f>IFERROR(_xlfn.XLOOKUP(Table6[[#This Row],[Affected WTG]],'Basic Data'!$A:$A,'Basic Data'!$C:$C),"")</f>
        <v>GEDA</v>
      </c>
      <c r="J336" s="260">
        <f>IFERROR(_xlfn.XLOOKUP(Table6[[#This Row],[Affected WTG]],'Basic Data'!$A:$A,'Basic Data'!$E:$E),"")</f>
        <v>3.846153846153845E-2</v>
      </c>
      <c r="K336" s="102">
        <v>6130</v>
      </c>
      <c r="L336" s="35" t="str">
        <f>IFERROR(_xlfn.XLOOKUP(Table6[[#This Row],[Error Code]],'Basic Data'!$AA:$AA,'Basic Data'!$AB:$AB),"Incorrect Error Code")</f>
        <v>Yaw speed high</v>
      </c>
      <c r="M336" s="35" t="s">
        <v>278</v>
      </c>
      <c r="N336" s="264"/>
      <c r="O336" s="265">
        <v>0.64236111111111116</v>
      </c>
      <c r="P336" s="265">
        <v>0.64236111111111116</v>
      </c>
      <c r="Q336" s="266">
        <v>0.64652777777777781</v>
      </c>
      <c r="R336" s="261">
        <f>IF(Table6[[#This Row],[Work Start TimeStamp]]="","",(Table6[[#This Row],[Work Start TimeStamp]]-Table6[[#This Row],[Fault Start TimeStamp]])*24)</f>
        <v>0</v>
      </c>
      <c r="S336" s="261">
        <f>(Table6[[#This Row],[Fault Clearance time]]-Table6[[#This Row],[Work Start TimeStamp]])*24</f>
        <v>9.9999999999999645E-2</v>
      </c>
      <c r="T336" s="261">
        <f>(Table6[[#This Row],[Fault Clearance time]]-Table6[[#This Row],[Fault Start TimeStamp]])*24</f>
        <v>9.9999999999999645E-2</v>
      </c>
      <c r="U336" s="35" t="s">
        <v>277</v>
      </c>
      <c r="V336" s="102" t="s">
        <v>268</v>
      </c>
      <c r="W336" s="267">
        <f>IFERROR(Table6[[#This Row],[Breakdown Time]]*Table6[[#This Row],[Plant Equivalent Weightage]],"")</f>
        <v>3.8461538461538312E-3</v>
      </c>
      <c r="X336" s="262" t="s">
        <v>269</v>
      </c>
      <c r="Y336" s="263" t="s">
        <v>121</v>
      </c>
      <c r="Z336" s="102">
        <v>26515</v>
      </c>
      <c r="AA336" s="257">
        <f>(Table6[[#This Row],[Paired WTG Generation for loss calculation]]/24)*Table6[[#This Row],[Breakdown Time]]</f>
        <v>110.47916666666629</v>
      </c>
      <c r="AB336" s="102"/>
      <c r="AC336" s="35"/>
      <c r="AD336" s="35"/>
    </row>
    <row r="337" spans="1:30">
      <c r="A337" s="102">
        <f t="shared" si="6"/>
        <v>336</v>
      </c>
      <c r="B337" s="257">
        <f>YEAR(Table6[[#This Row],[Date]])+IF(MONTH(Table6[[#This Row],[Date]])&gt;=4,1,0)</f>
        <v>2026</v>
      </c>
      <c r="C337" s="102">
        <f>YEAR(Table6[[#This Row],[Date]])</f>
        <v>2025</v>
      </c>
      <c r="D337" s="102" t="s">
        <v>265</v>
      </c>
      <c r="E337" s="258">
        <f>Table6[[#This Row],[Date]]-DAY(Table6[[#This Row],[Date]])+1</f>
        <v>45748</v>
      </c>
      <c r="F337" s="259">
        <v>45767</v>
      </c>
      <c r="G337" s="35" t="s">
        <v>121</v>
      </c>
      <c r="H337" s="35" t="str">
        <f>IFERROR(_xlfn.XLOOKUP(Table6[[#This Row],[Affected WTG]],'Basic Data'!$A:$A,'Basic Data'!$B:$B),"")</f>
        <v>TQGXIIPL</v>
      </c>
      <c r="I337" s="35" t="str">
        <f>IFERROR(_xlfn.XLOOKUP(Table6[[#This Row],[Affected WTG]],'Basic Data'!$A:$A,'Basic Data'!$C:$C),"")</f>
        <v>GEDA</v>
      </c>
      <c r="J337" s="260">
        <f>IFERROR(_xlfn.XLOOKUP(Table6[[#This Row],[Affected WTG]],'Basic Data'!$A:$A,'Basic Data'!$E:$E),"")</f>
        <v>3.846153846153845E-2</v>
      </c>
      <c r="K337" s="102">
        <v>6130</v>
      </c>
      <c r="L337" s="35" t="str">
        <f>IFERROR(_xlfn.XLOOKUP(Table6[[#This Row],[Error Code]],'Basic Data'!$AA:$AA,'Basic Data'!$AB:$AB),"Incorrect Error Code")</f>
        <v>Yaw speed high</v>
      </c>
      <c r="M337" s="35" t="s">
        <v>278</v>
      </c>
      <c r="N337" s="264"/>
      <c r="O337" s="265">
        <v>0.6020833333333333</v>
      </c>
      <c r="P337" s="265">
        <v>0.6020833333333333</v>
      </c>
      <c r="Q337" s="266">
        <v>0.6069444444444444</v>
      </c>
      <c r="R337" s="261">
        <f>IF(Table6[[#This Row],[Work Start TimeStamp]]="","",(Table6[[#This Row],[Work Start TimeStamp]]-Table6[[#This Row],[Fault Start TimeStamp]])*24)</f>
        <v>0</v>
      </c>
      <c r="S337" s="261">
        <f>(Table6[[#This Row],[Fault Clearance time]]-Table6[[#This Row],[Work Start TimeStamp]])*24</f>
        <v>0.11666666666666625</v>
      </c>
      <c r="T337" s="261">
        <f>(Table6[[#This Row],[Fault Clearance time]]-Table6[[#This Row],[Fault Start TimeStamp]])*24</f>
        <v>0.11666666666666625</v>
      </c>
      <c r="U337" s="35" t="s">
        <v>277</v>
      </c>
      <c r="V337" s="102" t="s">
        <v>268</v>
      </c>
      <c r="W337" s="267">
        <f>IFERROR(Table6[[#This Row],[Breakdown Time]]*Table6[[#This Row],[Plant Equivalent Weightage]],"")</f>
        <v>4.4871794871794695E-3</v>
      </c>
      <c r="X337" s="262" t="s">
        <v>269</v>
      </c>
      <c r="Y337" s="263" t="s">
        <v>118</v>
      </c>
      <c r="Z337" s="102">
        <v>30756</v>
      </c>
      <c r="AA337" s="257">
        <f>(Table6[[#This Row],[Paired WTG Generation for loss calculation]]/24)*Table6[[#This Row],[Breakdown Time]]</f>
        <v>149.50833333333281</v>
      </c>
      <c r="AB337" s="102"/>
      <c r="AC337" s="35"/>
      <c r="AD337" s="35"/>
    </row>
    <row r="338" spans="1:30">
      <c r="A338" s="102">
        <f t="shared" si="6"/>
        <v>337</v>
      </c>
      <c r="B338" s="257">
        <f>YEAR(Table6[[#This Row],[Date]])+IF(MONTH(Table6[[#This Row],[Date]])&gt;=4,1,0)</f>
        <v>2026</v>
      </c>
      <c r="C338" s="102">
        <f>YEAR(Table6[[#This Row],[Date]])</f>
        <v>2025</v>
      </c>
      <c r="D338" s="102" t="s">
        <v>265</v>
      </c>
      <c r="E338" s="258">
        <f>Table6[[#This Row],[Date]]-DAY(Table6[[#This Row],[Date]])+1</f>
        <v>45748</v>
      </c>
      <c r="F338" s="259">
        <v>45767</v>
      </c>
      <c r="G338" s="35" t="s">
        <v>122</v>
      </c>
      <c r="H338" s="35" t="str">
        <f>IFERROR(_xlfn.XLOOKUP(Table6[[#This Row],[Affected WTG]],'Basic Data'!$A:$A,'Basic Data'!$B:$B),"")</f>
        <v>TQGXIIPL</v>
      </c>
      <c r="I338" s="35" t="str">
        <f>IFERROR(_xlfn.XLOOKUP(Table6[[#This Row],[Affected WTG]],'Basic Data'!$A:$A,'Basic Data'!$C:$C),"")</f>
        <v>GEDA</v>
      </c>
      <c r="J338" s="260">
        <f>IFERROR(_xlfn.XLOOKUP(Table6[[#This Row],[Affected WTG]],'Basic Data'!$A:$A,'Basic Data'!$E:$E),"")</f>
        <v>3.846153846153845E-2</v>
      </c>
      <c r="K338" s="102">
        <v>55</v>
      </c>
      <c r="L338" s="35" t="str">
        <f>IFERROR(_xlfn.XLOOKUP(Table6[[#This Row],[Error Code]],'Basic Data'!$AA:$AA,'Basic Data'!$AB:$AB),"Incorrect Error Code")</f>
        <v>WTG shut down</v>
      </c>
      <c r="M338" s="35" t="s">
        <v>266</v>
      </c>
      <c r="N338" s="264"/>
      <c r="O338" s="265">
        <v>0.66874999999999996</v>
      </c>
      <c r="P338" s="265">
        <v>0.66874999999999996</v>
      </c>
      <c r="Q338" s="266">
        <v>0.67361111111111116</v>
      </c>
      <c r="R338" s="261">
        <f>IF(Table6[[#This Row],[Work Start TimeStamp]]="","",(Table6[[#This Row],[Work Start TimeStamp]]-Table6[[#This Row],[Fault Start TimeStamp]])*24)</f>
        <v>0</v>
      </c>
      <c r="S338" s="261">
        <f>(Table6[[#This Row],[Fault Clearance time]]-Table6[[#This Row],[Work Start TimeStamp]])*24</f>
        <v>0.11666666666666892</v>
      </c>
      <c r="T338" s="261">
        <f>(Table6[[#This Row],[Fault Clearance time]]-Table6[[#This Row],[Fault Start TimeStamp]])*24</f>
        <v>0.11666666666666892</v>
      </c>
      <c r="U338" s="35" t="s">
        <v>320</v>
      </c>
      <c r="V338" s="102" t="s">
        <v>268</v>
      </c>
      <c r="W338" s="267">
        <f>IFERROR(Table6[[#This Row],[Breakdown Time]]*Table6[[#This Row],[Plant Equivalent Weightage]],"")</f>
        <v>4.4871794871795727E-3</v>
      </c>
      <c r="X338" s="262" t="s">
        <v>296</v>
      </c>
      <c r="Y338" s="263" t="s">
        <v>140</v>
      </c>
      <c r="Z338" s="102">
        <v>22337</v>
      </c>
      <c r="AA338" s="257">
        <f>(Table6[[#This Row],[Paired WTG Generation for loss calculation]]/24)*Table6[[#This Row],[Breakdown Time]]</f>
        <v>108.58263888889098</v>
      </c>
      <c r="AB338" s="102"/>
      <c r="AC338" s="35"/>
      <c r="AD338" s="35"/>
    </row>
    <row r="339" spans="1:30">
      <c r="A339" s="102">
        <f t="shared" si="6"/>
        <v>338</v>
      </c>
      <c r="B339" s="257">
        <f>YEAR(Table6[[#This Row],[Date]])+IF(MONTH(Table6[[#This Row],[Date]])&gt;=4,1,0)</f>
        <v>2026</v>
      </c>
      <c r="C339" s="102">
        <f>YEAR(Table6[[#This Row],[Date]])</f>
        <v>2025</v>
      </c>
      <c r="D339" s="102" t="s">
        <v>265</v>
      </c>
      <c r="E339" s="258">
        <f>Table6[[#This Row],[Date]]-DAY(Table6[[#This Row],[Date]])+1</f>
        <v>45748</v>
      </c>
      <c r="F339" s="259">
        <v>45767</v>
      </c>
      <c r="G339" s="35" t="s">
        <v>123</v>
      </c>
      <c r="H339" s="35" t="str">
        <f>IFERROR(_xlfn.XLOOKUP(Table6[[#This Row],[Affected WTG]],'Basic Data'!$A:$A,'Basic Data'!$B:$B),"")</f>
        <v>TQGXIIPL</v>
      </c>
      <c r="I339" s="35" t="str">
        <f>IFERROR(_xlfn.XLOOKUP(Table6[[#This Row],[Affected WTG]],'Basic Data'!$A:$A,'Basic Data'!$C:$C),"")</f>
        <v>GEDA</v>
      </c>
      <c r="J339" s="260">
        <f>IFERROR(_xlfn.XLOOKUP(Table6[[#This Row],[Affected WTG]],'Basic Data'!$A:$A,'Basic Data'!$E:$E),"")</f>
        <v>3.846153846153845E-2</v>
      </c>
      <c r="K339" s="102">
        <v>55</v>
      </c>
      <c r="L339" s="35" t="str">
        <f>IFERROR(_xlfn.XLOOKUP(Table6[[#This Row],[Error Code]],'Basic Data'!$AA:$AA,'Basic Data'!$AB:$AB),"Incorrect Error Code")</f>
        <v>WTG shut down</v>
      </c>
      <c r="M339" s="35" t="s">
        <v>266</v>
      </c>
      <c r="N339" s="264"/>
      <c r="O339" s="265">
        <v>0.6166666666666667</v>
      </c>
      <c r="P339" s="265">
        <v>0.6166666666666667</v>
      </c>
      <c r="Q339" s="266">
        <v>0.625</v>
      </c>
      <c r="R339" s="261">
        <f>IF(Table6[[#This Row],[Work Start TimeStamp]]="","",(Table6[[#This Row],[Work Start TimeStamp]]-Table6[[#This Row],[Fault Start TimeStamp]])*24)</f>
        <v>0</v>
      </c>
      <c r="S339" s="261">
        <f>(Table6[[#This Row],[Fault Clearance time]]-Table6[[#This Row],[Work Start TimeStamp]])*24</f>
        <v>0.19999999999999929</v>
      </c>
      <c r="T339" s="261">
        <f>(Table6[[#This Row],[Fault Clearance time]]-Table6[[#This Row],[Fault Start TimeStamp]])*24</f>
        <v>0.19999999999999929</v>
      </c>
      <c r="U339" s="35" t="s">
        <v>320</v>
      </c>
      <c r="V339" s="102" t="s">
        <v>268</v>
      </c>
      <c r="W339" s="267">
        <f>IFERROR(Table6[[#This Row],[Breakdown Time]]*Table6[[#This Row],[Plant Equivalent Weightage]],"")</f>
        <v>7.6923076923076624E-3</v>
      </c>
      <c r="X339" s="262" t="s">
        <v>296</v>
      </c>
      <c r="Y339" s="263" t="s">
        <v>117</v>
      </c>
      <c r="Z339" s="102">
        <v>22769</v>
      </c>
      <c r="AA339" s="257">
        <f>(Table6[[#This Row],[Paired WTG Generation for loss calculation]]/24)*Table6[[#This Row],[Breakdown Time]]</f>
        <v>189.74166666666599</v>
      </c>
      <c r="AB339" s="102"/>
      <c r="AC339" s="35"/>
      <c r="AD339" s="35"/>
    </row>
    <row r="340" spans="1:30">
      <c r="A340" s="102">
        <f t="shared" si="6"/>
        <v>339</v>
      </c>
      <c r="B340" s="257">
        <f>YEAR(Table6[[#This Row],[Date]])+IF(MONTH(Table6[[#This Row],[Date]])&gt;=4,1,0)</f>
        <v>2026</v>
      </c>
      <c r="C340" s="102">
        <f>YEAR(Table6[[#This Row],[Date]])</f>
        <v>2025</v>
      </c>
      <c r="D340" s="102" t="s">
        <v>265</v>
      </c>
      <c r="E340" s="258">
        <f>Table6[[#This Row],[Date]]-DAY(Table6[[#This Row],[Date]])+1</f>
        <v>45748</v>
      </c>
      <c r="F340" s="259">
        <v>45767</v>
      </c>
      <c r="G340" s="35" t="s">
        <v>125</v>
      </c>
      <c r="H340" s="35" t="str">
        <f>IFERROR(_xlfn.XLOOKUP(Table6[[#This Row],[Affected WTG]],'Basic Data'!$A:$A,'Basic Data'!$B:$B),"")</f>
        <v>TQGXIIPL</v>
      </c>
      <c r="I340" s="35" t="str">
        <f>IFERROR(_xlfn.XLOOKUP(Table6[[#This Row],[Affected WTG]],'Basic Data'!$A:$A,'Basic Data'!$C:$C),"")</f>
        <v>GEDA</v>
      </c>
      <c r="J340" s="260">
        <f>IFERROR(_xlfn.XLOOKUP(Table6[[#This Row],[Affected WTG]],'Basic Data'!$A:$A,'Basic Data'!$E:$E),"")</f>
        <v>3.846153846153845E-2</v>
      </c>
      <c r="K340" s="102">
        <v>55</v>
      </c>
      <c r="L340" s="35" t="str">
        <f>IFERROR(_xlfn.XLOOKUP(Table6[[#This Row],[Error Code]],'Basic Data'!$AA:$AA,'Basic Data'!$AB:$AB),"Incorrect Error Code")</f>
        <v>WTG shut down</v>
      </c>
      <c r="M340" s="35" t="s">
        <v>266</v>
      </c>
      <c r="N340" s="264"/>
      <c r="O340" s="265">
        <v>0.68333333333333335</v>
      </c>
      <c r="P340" s="265">
        <v>0.68333333333333335</v>
      </c>
      <c r="Q340" s="266">
        <v>0.68819444444444444</v>
      </c>
      <c r="R340" s="261">
        <f>IF(Table6[[#This Row],[Work Start TimeStamp]]="","",(Table6[[#This Row],[Work Start TimeStamp]]-Table6[[#This Row],[Fault Start TimeStamp]])*24)</f>
        <v>0</v>
      </c>
      <c r="S340" s="261">
        <f>(Table6[[#This Row],[Fault Clearance time]]-Table6[[#This Row],[Work Start TimeStamp]])*24</f>
        <v>0.11666666666666625</v>
      </c>
      <c r="T340" s="261">
        <f>(Table6[[#This Row],[Fault Clearance time]]-Table6[[#This Row],[Fault Start TimeStamp]])*24</f>
        <v>0.11666666666666625</v>
      </c>
      <c r="U340" s="35" t="s">
        <v>320</v>
      </c>
      <c r="V340" s="102" t="s">
        <v>268</v>
      </c>
      <c r="W340" s="267">
        <f>IFERROR(Table6[[#This Row],[Breakdown Time]]*Table6[[#This Row],[Plant Equivalent Weightage]],"")</f>
        <v>4.4871794871794695E-3</v>
      </c>
      <c r="X340" s="262" t="s">
        <v>296</v>
      </c>
      <c r="Y340" s="263" t="s">
        <v>126</v>
      </c>
      <c r="Z340" s="102">
        <v>27081</v>
      </c>
      <c r="AA340" s="257">
        <f>(Table6[[#This Row],[Paired WTG Generation for loss calculation]]/24)*Table6[[#This Row],[Breakdown Time]]</f>
        <v>131.64374999999953</v>
      </c>
      <c r="AB340" s="102"/>
      <c r="AC340" s="35"/>
      <c r="AD340" s="35"/>
    </row>
    <row r="341" spans="1:30">
      <c r="A341" s="102">
        <f t="shared" si="6"/>
        <v>340</v>
      </c>
      <c r="B341" s="257">
        <f>YEAR(Table6[[#This Row],[Date]])+IF(MONTH(Table6[[#This Row],[Date]])&gt;=4,1,0)</f>
        <v>2026</v>
      </c>
      <c r="C341" s="102">
        <f>YEAR(Table6[[#This Row],[Date]])</f>
        <v>2025</v>
      </c>
      <c r="D341" s="102" t="s">
        <v>265</v>
      </c>
      <c r="E341" s="258">
        <f>Table6[[#This Row],[Date]]-DAY(Table6[[#This Row],[Date]])+1</f>
        <v>45748</v>
      </c>
      <c r="F341" s="259">
        <v>45767</v>
      </c>
      <c r="G341" s="35" t="s">
        <v>126</v>
      </c>
      <c r="H341" s="35" t="str">
        <f>IFERROR(_xlfn.XLOOKUP(Table6[[#This Row],[Affected WTG]],'Basic Data'!$A:$A,'Basic Data'!$B:$B),"")</f>
        <v>TQGXIIPL</v>
      </c>
      <c r="I341" s="35" t="str">
        <f>IFERROR(_xlfn.XLOOKUP(Table6[[#This Row],[Affected WTG]],'Basic Data'!$A:$A,'Basic Data'!$C:$C),"")</f>
        <v>GEDA</v>
      </c>
      <c r="J341" s="260">
        <f>IFERROR(_xlfn.XLOOKUP(Table6[[#This Row],[Affected WTG]],'Basic Data'!$A:$A,'Basic Data'!$E:$E),"")</f>
        <v>3.846153846153845E-2</v>
      </c>
      <c r="K341" s="102">
        <v>55</v>
      </c>
      <c r="L341" s="35" t="str">
        <f>IFERROR(_xlfn.XLOOKUP(Table6[[#This Row],[Error Code]],'Basic Data'!$AA:$AA,'Basic Data'!$AB:$AB),"Incorrect Error Code")</f>
        <v>WTG shut down</v>
      </c>
      <c r="M341" s="35" t="s">
        <v>266</v>
      </c>
      <c r="N341" s="264"/>
      <c r="O341" s="265">
        <v>0.73124999999999996</v>
      </c>
      <c r="P341" s="265">
        <v>0.73124999999999996</v>
      </c>
      <c r="Q341" s="266">
        <v>0.74861111111111112</v>
      </c>
      <c r="R341" s="261">
        <f>IF(Table6[[#This Row],[Work Start TimeStamp]]="","",(Table6[[#This Row],[Work Start TimeStamp]]-Table6[[#This Row],[Fault Start TimeStamp]])*24)</f>
        <v>0</v>
      </c>
      <c r="S341" s="261">
        <f>(Table6[[#This Row],[Fault Clearance time]]-Table6[[#This Row],[Work Start TimeStamp]])*24</f>
        <v>0.41666666666666785</v>
      </c>
      <c r="T341" s="261">
        <f>(Table6[[#This Row],[Fault Clearance time]]-Table6[[#This Row],[Fault Start TimeStamp]])*24</f>
        <v>0.41666666666666785</v>
      </c>
      <c r="U341" s="35" t="s">
        <v>320</v>
      </c>
      <c r="V341" s="102" t="s">
        <v>268</v>
      </c>
      <c r="W341" s="267">
        <f>IFERROR(Table6[[#This Row],[Breakdown Time]]*Table6[[#This Row],[Plant Equivalent Weightage]],"")</f>
        <v>1.6025641025641066E-2</v>
      </c>
      <c r="X341" s="262" t="s">
        <v>296</v>
      </c>
      <c r="Y341" s="263" t="s">
        <v>128</v>
      </c>
      <c r="Z341" s="102">
        <v>25432</v>
      </c>
      <c r="AA341" s="257">
        <f>(Table6[[#This Row],[Paired WTG Generation for loss calculation]]/24)*Table6[[#This Row],[Breakdown Time]]</f>
        <v>441.52777777777908</v>
      </c>
      <c r="AB341" s="102"/>
      <c r="AC341" s="35"/>
      <c r="AD341" s="35"/>
    </row>
    <row r="342" spans="1:30">
      <c r="A342" s="102">
        <f t="shared" si="6"/>
        <v>341</v>
      </c>
      <c r="B342" s="257">
        <f>YEAR(Table6[[#This Row],[Date]])+IF(MONTH(Table6[[#This Row],[Date]])&gt;=4,1,0)</f>
        <v>2026</v>
      </c>
      <c r="C342" s="102">
        <f>YEAR(Table6[[#This Row],[Date]])</f>
        <v>2025</v>
      </c>
      <c r="D342" s="102" t="s">
        <v>265</v>
      </c>
      <c r="E342" s="258">
        <f>Table6[[#This Row],[Date]]-DAY(Table6[[#This Row],[Date]])+1</f>
        <v>45748</v>
      </c>
      <c r="F342" s="259">
        <v>45767</v>
      </c>
      <c r="G342" s="35" t="s">
        <v>127</v>
      </c>
      <c r="H342" s="35" t="str">
        <f>IFERROR(_xlfn.XLOOKUP(Table6[[#This Row],[Affected WTG]],'Basic Data'!$A:$A,'Basic Data'!$B:$B),"")</f>
        <v>TQGXIIPL</v>
      </c>
      <c r="I342" s="35" t="str">
        <f>IFERROR(_xlfn.XLOOKUP(Table6[[#This Row],[Affected WTG]],'Basic Data'!$A:$A,'Basic Data'!$C:$C),"")</f>
        <v>GEDA</v>
      </c>
      <c r="J342" s="260">
        <f>IFERROR(_xlfn.XLOOKUP(Table6[[#This Row],[Affected WTG]],'Basic Data'!$A:$A,'Basic Data'!$E:$E),"")</f>
        <v>3.846153846153845E-2</v>
      </c>
      <c r="K342" s="102">
        <v>6130</v>
      </c>
      <c r="L342" s="35" t="str">
        <f>IFERROR(_xlfn.XLOOKUP(Table6[[#This Row],[Error Code]],'Basic Data'!$AA:$AA,'Basic Data'!$AB:$AB),"Incorrect Error Code")</f>
        <v>Yaw speed high</v>
      </c>
      <c r="M342" s="35" t="s">
        <v>266</v>
      </c>
      <c r="N342" s="264"/>
      <c r="O342" s="265">
        <v>0.58125000000000004</v>
      </c>
      <c r="P342" s="265">
        <v>0.58125000000000004</v>
      </c>
      <c r="Q342" s="266">
        <v>0.5854166666666667</v>
      </c>
      <c r="R342" s="261">
        <f>IF(Table6[[#This Row],[Work Start TimeStamp]]="","",(Table6[[#This Row],[Work Start TimeStamp]]-Table6[[#This Row],[Fault Start TimeStamp]])*24)</f>
        <v>0</v>
      </c>
      <c r="S342" s="261">
        <f>(Table6[[#This Row],[Fault Clearance time]]-Table6[[#This Row],[Work Start TimeStamp]])*24</f>
        <v>9.9999999999999645E-2</v>
      </c>
      <c r="T342" s="261">
        <f>(Table6[[#This Row],[Fault Clearance time]]-Table6[[#This Row],[Fault Start TimeStamp]])*24</f>
        <v>9.9999999999999645E-2</v>
      </c>
      <c r="U342" s="35" t="s">
        <v>267</v>
      </c>
      <c r="V342" s="102" t="s">
        <v>268</v>
      </c>
      <c r="W342" s="267">
        <f>IFERROR(Table6[[#This Row],[Breakdown Time]]*Table6[[#This Row],[Plant Equivalent Weightage]],"")</f>
        <v>3.8461538461538312E-3</v>
      </c>
      <c r="X342" s="262" t="s">
        <v>269</v>
      </c>
      <c r="Y342" s="263" t="s">
        <v>125</v>
      </c>
      <c r="Z342" s="102">
        <v>27364</v>
      </c>
      <c r="AA342" s="257">
        <f>(Table6[[#This Row],[Paired WTG Generation for loss calculation]]/24)*Table6[[#This Row],[Breakdown Time]]</f>
        <v>114.01666666666627</v>
      </c>
      <c r="AB342" s="102"/>
      <c r="AC342" s="35"/>
      <c r="AD342" s="35"/>
    </row>
    <row r="343" spans="1:30">
      <c r="A343" s="102">
        <f t="shared" si="6"/>
        <v>342</v>
      </c>
      <c r="B343" s="257">
        <f>YEAR(Table6[[#This Row],[Date]])+IF(MONTH(Table6[[#This Row],[Date]])&gt;=4,1,0)</f>
        <v>2026</v>
      </c>
      <c r="C343" s="102">
        <f>YEAR(Table6[[#This Row],[Date]])</f>
        <v>2025</v>
      </c>
      <c r="D343" s="102" t="s">
        <v>265</v>
      </c>
      <c r="E343" s="258">
        <f>Table6[[#This Row],[Date]]-DAY(Table6[[#This Row],[Date]])+1</f>
        <v>45748</v>
      </c>
      <c r="F343" s="259">
        <v>45767</v>
      </c>
      <c r="G343" s="35" t="s">
        <v>127</v>
      </c>
      <c r="H343" s="35" t="str">
        <f>IFERROR(_xlfn.XLOOKUP(Table6[[#This Row],[Affected WTG]],'Basic Data'!$A:$A,'Basic Data'!$B:$B),"")</f>
        <v>TQGXIIPL</v>
      </c>
      <c r="I343" s="35" t="str">
        <f>IFERROR(_xlfn.XLOOKUP(Table6[[#This Row],[Affected WTG]],'Basic Data'!$A:$A,'Basic Data'!$C:$C),"")</f>
        <v>GEDA</v>
      </c>
      <c r="J343" s="260">
        <f>IFERROR(_xlfn.XLOOKUP(Table6[[#This Row],[Affected WTG]],'Basic Data'!$A:$A,'Basic Data'!$E:$E),"")</f>
        <v>3.846153846153845E-2</v>
      </c>
      <c r="K343" s="102">
        <v>55</v>
      </c>
      <c r="L343" s="35" t="str">
        <f>IFERROR(_xlfn.XLOOKUP(Table6[[#This Row],[Error Code]],'Basic Data'!$AA:$AA,'Basic Data'!$AB:$AB),"Incorrect Error Code")</f>
        <v>WTG shut down</v>
      </c>
      <c r="M343" s="35" t="s">
        <v>266</v>
      </c>
      <c r="N343" s="264"/>
      <c r="O343" s="265">
        <v>0.65138888888888891</v>
      </c>
      <c r="P343" s="265">
        <v>0.65138888888888891</v>
      </c>
      <c r="Q343" s="266">
        <v>0.66319444444444442</v>
      </c>
      <c r="R343" s="261">
        <f>IF(Table6[[#This Row],[Work Start TimeStamp]]="","",(Table6[[#This Row],[Work Start TimeStamp]]-Table6[[#This Row],[Fault Start TimeStamp]])*24)</f>
        <v>0</v>
      </c>
      <c r="S343" s="261">
        <f>(Table6[[#This Row],[Fault Clearance time]]-Table6[[#This Row],[Work Start TimeStamp]])*24</f>
        <v>0.28333333333333233</v>
      </c>
      <c r="T343" s="261">
        <f>(Table6[[#This Row],[Fault Clearance time]]-Table6[[#This Row],[Fault Start TimeStamp]])*24</f>
        <v>0.28333333333333233</v>
      </c>
      <c r="U343" s="35" t="s">
        <v>320</v>
      </c>
      <c r="V343" s="102" t="s">
        <v>268</v>
      </c>
      <c r="W343" s="267">
        <f>IFERROR(Table6[[#This Row],[Breakdown Time]]*Table6[[#This Row],[Plant Equivalent Weightage]],"")</f>
        <v>1.0897435897435855E-2</v>
      </c>
      <c r="X343" s="262" t="s">
        <v>296</v>
      </c>
      <c r="Y343" s="263" t="s">
        <v>125</v>
      </c>
      <c r="Z343" s="102">
        <v>27364</v>
      </c>
      <c r="AA343" s="257">
        <f>(Table6[[#This Row],[Paired WTG Generation for loss calculation]]/24)*Table6[[#This Row],[Breakdown Time]]</f>
        <v>323.04722222222108</v>
      </c>
      <c r="AB343" s="102"/>
      <c r="AC343" s="35"/>
      <c r="AD343" s="35"/>
    </row>
    <row r="344" spans="1:30">
      <c r="A344" s="102">
        <f t="shared" si="6"/>
        <v>343</v>
      </c>
      <c r="B344" s="257">
        <f>YEAR(Table6[[#This Row],[Date]])+IF(MONTH(Table6[[#This Row],[Date]])&gt;=4,1,0)</f>
        <v>2026</v>
      </c>
      <c r="C344" s="102">
        <f>YEAR(Table6[[#This Row],[Date]])</f>
        <v>2025</v>
      </c>
      <c r="D344" s="102" t="s">
        <v>265</v>
      </c>
      <c r="E344" s="258">
        <f>Table6[[#This Row],[Date]]-DAY(Table6[[#This Row],[Date]])+1</f>
        <v>45748</v>
      </c>
      <c r="F344" s="259">
        <v>45767</v>
      </c>
      <c r="G344" s="35" t="s">
        <v>128</v>
      </c>
      <c r="H344" s="35" t="str">
        <f>IFERROR(_xlfn.XLOOKUP(Table6[[#This Row],[Affected WTG]],'Basic Data'!$A:$A,'Basic Data'!$B:$B),"")</f>
        <v>TQGXIIPL</v>
      </c>
      <c r="I344" s="35" t="str">
        <f>IFERROR(_xlfn.XLOOKUP(Table6[[#This Row],[Affected WTG]],'Basic Data'!$A:$A,'Basic Data'!$C:$C),"")</f>
        <v>GEDA</v>
      </c>
      <c r="J344" s="260">
        <f>IFERROR(_xlfn.XLOOKUP(Table6[[#This Row],[Affected WTG]],'Basic Data'!$A:$A,'Basic Data'!$E:$E),"")</f>
        <v>3.846153846153845E-2</v>
      </c>
      <c r="K344" s="102">
        <v>55</v>
      </c>
      <c r="L344" s="35" t="str">
        <f>IFERROR(_xlfn.XLOOKUP(Table6[[#This Row],[Error Code]],'Basic Data'!$AA:$AA,'Basic Data'!$AB:$AB),"Incorrect Error Code")</f>
        <v>WTG shut down</v>
      </c>
      <c r="M344" s="35" t="s">
        <v>266</v>
      </c>
      <c r="N344" s="264"/>
      <c r="O344" s="265">
        <v>0.67638888888888893</v>
      </c>
      <c r="P344" s="265">
        <v>0.67638888888888893</v>
      </c>
      <c r="Q344" s="266">
        <v>0.68055555555555558</v>
      </c>
      <c r="R344" s="261">
        <f>IF(Table6[[#This Row],[Work Start TimeStamp]]="","",(Table6[[#This Row],[Work Start TimeStamp]]-Table6[[#This Row],[Fault Start TimeStamp]])*24)</f>
        <v>0</v>
      </c>
      <c r="S344" s="261">
        <f>(Table6[[#This Row],[Fault Clearance time]]-Table6[[#This Row],[Work Start TimeStamp]])*24</f>
        <v>9.9999999999999645E-2</v>
      </c>
      <c r="T344" s="261">
        <f>(Table6[[#This Row],[Fault Clearance time]]-Table6[[#This Row],[Fault Start TimeStamp]])*24</f>
        <v>9.9999999999999645E-2</v>
      </c>
      <c r="U344" s="35" t="s">
        <v>320</v>
      </c>
      <c r="V344" s="102" t="s">
        <v>268</v>
      </c>
      <c r="W344" s="267">
        <f>IFERROR(Table6[[#This Row],[Breakdown Time]]*Table6[[#This Row],[Plant Equivalent Weightage]],"")</f>
        <v>3.8461538461538312E-3</v>
      </c>
      <c r="X344" s="262" t="s">
        <v>296</v>
      </c>
      <c r="Y344" s="263" t="s">
        <v>126</v>
      </c>
      <c r="Z344" s="102">
        <v>27081</v>
      </c>
      <c r="AA344" s="257">
        <f>(Table6[[#This Row],[Paired WTG Generation for loss calculation]]/24)*Table6[[#This Row],[Breakdown Time]]</f>
        <v>112.83749999999959</v>
      </c>
      <c r="AB344" s="102"/>
      <c r="AC344" s="35"/>
      <c r="AD344" s="35"/>
    </row>
    <row r="345" spans="1:30">
      <c r="A345" s="102">
        <f t="shared" si="6"/>
        <v>344</v>
      </c>
      <c r="B345" s="257">
        <f>YEAR(Table6[[#This Row],[Date]])+IF(MONTH(Table6[[#This Row],[Date]])&gt;=4,1,0)</f>
        <v>2026</v>
      </c>
      <c r="C345" s="102">
        <f>YEAR(Table6[[#This Row],[Date]])</f>
        <v>2025</v>
      </c>
      <c r="D345" s="102" t="s">
        <v>265</v>
      </c>
      <c r="E345" s="258">
        <f>Table6[[#This Row],[Date]]-DAY(Table6[[#This Row],[Date]])+1</f>
        <v>45748</v>
      </c>
      <c r="F345" s="259">
        <v>45767</v>
      </c>
      <c r="G345" s="35" t="s">
        <v>130</v>
      </c>
      <c r="H345" s="35" t="str">
        <f>IFERROR(_xlfn.XLOOKUP(Table6[[#This Row],[Affected WTG]],'Basic Data'!$A:$A,'Basic Data'!$B:$B),"")</f>
        <v>TQGXIIPL</v>
      </c>
      <c r="I345" s="35" t="str">
        <f>IFERROR(_xlfn.XLOOKUP(Table6[[#This Row],[Affected WTG]],'Basic Data'!$A:$A,'Basic Data'!$C:$C),"")</f>
        <v>GEDA</v>
      </c>
      <c r="J345" s="260">
        <f>IFERROR(_xlfn.XLOOKUP(Table6[[#This Row],[Affected WTG]],'Basic Data'!$A:$A,'Basic Data'!$E:$E),"")</f>
        <v>3.846153846153845E-2</v>
      </c>
      <c r="K345" s="102">
        <v>55</v>
      </c>
      <c r="L345" s="35" t="str">
        <f>IFERROR(_xlfn.XLOOKUP(Table6[[#This Row],[Error Code]],'Basic Data'!$AA:$AA,'Basic Data'!$AB:$AB),"Incorrect Error Code")</f>
        <v>WTG shut down</v>
      </c>
      <c r="M345" s="35" t="s">
        <v>266</v>
      </c>
      <c r="N345" s="264"/>
      <c r="O345" s="265">
        <v>0.62013888888888891</v>
      </c>
      <c r="P345" s="265">
        <v>0.62013888888888891</v>
      </c>
      <c r="Q345" s="266">
        <v>0.62638888888888888</v>
      </c>
      <c r="R345" s="261">
        <f>IF(Table6[[#This Row],[Work Start TimeStamp]]="","",(Table6[[#This Row],[Work Start TimeStamp]]-Table6[[#This Row],[Fault Start TimeStamp]])*24)</f>
        <v>0</v>
      </c>
      <c r="S345" s="261">
        <f>(Table6[[#This Row],[Fault Clearance time]]-Table6[[#This Row],[Work Start TimeStamp]])*24</f>
        <v>0.14999999999999947</v>
      </c>
      <c r="T345" s="261">
        <f>(Table6[[#This Row],[Fault Clearance time]]-Table6[[#This Row],[Fault Start TimeStamp]])*24</f>
        <v>0.14999999999999947</v>
      </c>
      <c r="U345" s="35" t="s">
        <v>320</v>
      </c>
      <c r="V345" s="102" t="s">
        <v>268</v>
      </c>
      <c r="W345" s="267">
        <f>IFERROR(Table6[[#This Row],[Breakdown Time]]*Table6[[#This Row],[Plant Equivalent Weightage]],"")</f>
        <v>5.769230769230747E-3</v>
      </c>
      <c r="X345" s="262" t="s">
        <v>296</v>
      </c>
      <c r="Y345" s="263" t="s">
        <v>135</v>
      </c>
      <c r="Z345" s="102">
        <v>29926</v>
      </c>
      <c r="AA345" s="257">
        <f>(Table6[[#This Row],[Paired WTG Generation for loss calculation]]/24)*Table6[[#This Row],[Breakdown Time]]</f>
        <v>187.03749999999934</v>
      </c>
      <c r="AB345" s="102"/>
      <c r="AC345" s="35"/>
      <c r="AD345" s="35"/>
    </row>
    <row r="346" spans="1:30">
      <c r="A346" s="102">
        <f t="shared" si="6"/>
        <v>345</v>
      </c>
      <c r="B346" s="257">
        <f>YEAR(Table6[[#This Row],[Date]])+IF(MONTH(Table6[[#This Row],[Date]])&gt;=4,1,0)</f>
        <v>2026</v>
      </c>
      <c r="C346" s="102">
        <f>YEAR(Table6[[#This Row],[Date]])</f>
        <v>2025</v>
      </c>
      <c r="D346" s="102" t="s">
        <v>265</v>
      </c>
      <c r="E346" s="258">
        <f>Table6[[#This Row],[Date]]-DAY(Table6[[#This Row],[Date]])+1</f>
        <v>45748</v>
      </c>
      <c r="F346" s="259">
        <v>45767</v>
      </c>
      <c r="G346" s="35" t="s">
        <v>131</v>
      </c>
      <c r="H346" s="35" t="str">
        <f>IFERROR(_xlfn.XLOOKUP(Table6[[#This Row],[Affected WTG]],'Basic Data'!$A:$A,'Basic Data'!$B:$B),"")</f>
        <v>TQGXIIPL</v>
      </c>
      <c r="I346" s="35" t="str">
        <f>IFERROR(_xlfn.XLOOKUP(Table6[[#This Row],[Affected WTG]],'Basic Data'!$A:$A,'Basic Data'!$C:$C),"")</f>
        <v>GEDA</v>
      </c>
      <c r="J346" s="260">
        <f>IFERROR(_xlfn.XLOOKUP(Table6[[#This Row],[Affected WTG]],'Basic Data'!$A:$A,'Basic Data'!$E:$E),"")</f>
        <v>3.846153846153845E-2</v>
      </c>
      <c r="K346" s="102">
        <v>55</v>
      </c>
      <c r="L346" s="35" t="str">
        <f>IFERROR(_xlfn.XLOOKUP(Table6[[#This Row],[Error Code]],'Basic Data'!$AA:$AA,'Basic Data'!$AB:$AB),"Incorrect Error Code")</f>
        <v>WTG shut down</v>
      </c>
      <c r="M346" s="35" t="s">
        <v>266</v>
      </c>
      <c r="N346" s="264"/>
      <c r="O346" s="265">
        <v>0.49375000000000002</v>
      </c>
      <c r="P346" s="265">
        <v>0.49375000000000002</v>
      </c>
      <c r="Q346" s="266">
        <v>0.50138888888888888</v>
      </c>
      <c r="R346" s="261">
        <f>IF(Table6[[#This Row],[Work Start TimeStamp]]="","",(Table6[[#This Row],[Work Start TimeStamp]]-Table6[[#This Row],[Fault Start TimeStamp]])*24)</f>
        <v>0</v>
      </c>
      <c r="S346" s="261">
        <f>(Table6[[#This Row],[Fault Clearance time]]-Table6[[#This Row],[Work Start TimeStamp]])*24</f>
        <v>0.18333333333333268</v>
      </c>
      <c r="T346" s="261">
        <f>(Table6[[#This Row],[Fault Clearance time]]-Table6[[#This Row],[Fault Start TimeStamp]])*24</f>
        <v>0.18333333333333268</v>
      </c>
      <c r="U346" s="35" t="s">
        <v>320</v>
      </c>
      <c r="V346" s="102" t="s">
        <v>268</v>
      </c>
      <c r="W346" s="267">
        <f>IFERROR(Table6[[#This Row],[Breakdown Time]]*Table6[[#This Row],[Plant Equivalent Weightage]],"")</f>
        <v>7.0512820512820245E-3</v>
      </c>
      <c r="X346" s="262" t="s">
        <v>296</v>
      </c>
      <c r="Y346" s="263" t="s">
        <v>136</v>
      </c>
      <c r="Z346" s="102">
        <v>28894</v>
      </c>
      <c r="AA346" s="257">
        <f>(Table6[[#This Row],[Paired WTG Generation for loss calculation]]/24)*Table6[[#This Row],[Breakdown Time]]</f>
        <v>220.7180555555548</v>
      </c>
      <c r="AB346" s="102"/>
      <c r="AC346" s="35"/>
      <c r="AD346" s="35"/>
    </row>
    <row r="347" spans="1:30">
      <c r="A347" s="102">
        <f t="shared" si="6"/>
        <v>346</v>
      </c>
      <c r="B347" s="257">
        <f>YEAR(Table6[[#This Row],[Date]])+IF(MONTH(Table6[[#This Row],[Date]])&gt;=4,1,0)</f>
        <v>2026</v>
      </c>
      <c r="C347" s="102">
        <f>YEAR(Table6[[#This Row],[Date]])</f>
        <v>2025</v>
      </c>
      <c r="D347" s="102" t="s">
        <v>265</v>
      </c>
      <c r="E347" s="258">
        <f>Table6[[#This Row],[Date]]-DAY(Table6[[#This Row],[Date]])+1</f>
        <v>45748</v>
      </c>
      <c r="F347" s="259">
        <v>45767</v>
      </c>
      <c r="G347" s="35" t="s">
        <v>131</v>
      </c>
      <c r="H347" s="35" t="str">
        <f>IFERROR(_xlfn.XLOOKUP(Table6[[#This Row],[Affected WTG]],'Basic Data'!$A:$A,'Basic Data'!$B:$B),"")</f>
        <v>TQGXIIPL</v>
      </c>
      <c r="I347" s="35" t="str">
        <f>IFERROR(_xlfn.XLOOKUP(Table6[[#This Row],[Affected WTG]],'Basic Data'!$A:$A,'Basic Data'!$C:$C),"")</f>
        <v>GEDA</v>
      </c>
      <c r="J347" s="260">
        <f>IFERROR(_xlfn.XLOOKUP(Table6[[#This Row],[Affected WTG]],'Basic Data'!$A:$A,'Basic Data'!$E:$E),"")</f>
        <v>3.846153846153845E-2</v>
      </c>
      <c r="K347" s="102">
        <v>55</v>
      </c>
      <c r="L347" s="35" t="str">
        <f>IFERROR(_xlfn.XLOOKUP(Table6[[#This Row],[Error Code]],'Basic Data'!$AA:$AA,'Basic Data'!$AB:$AB),"Incorrect Error Code")</f>
        <v>WTG shut down</v>
      </c>
      <c r="M347" s="35" t="s">
        <v>266</v>
      </c>
      <c r="N347" s="264"/>
      <c r="O347" s="265">
        <v>0.57222222222222219</v>
      </c>
      <c r="P347" s="265">
        <v>0.57222222222222219</v>
      </c>
      <c r="Q347" s="266">
        <v>0.57777777777777772</v>
      </c>
      <c r="R347" s="261">
        <f>IF(Table6[[#This Row],[Work Start TimeStamp]]="","",(Table6[[#This Row],[Work Start TimeStamp]]-Table6[[#This Row],[Fault Start TimeStamp]])*24)</f>
        <v>0</v>
      </c>
      <c r="S347" s="261">
        <f>(Table6[[#This Row],[Fault Clearance time]]-Table6[[#This Row],[Work Start TimeStamp]])*24</f>
        <v>0.13333333333333286</v>
      </c>
      <c r="T347" s="261">
        <f>(Table6[[#This Row],[Fault Clearance time]]-Table6[[#This Row],[Fault Start TimeStamp]])*24</f>
        <v>0.13333333333333286</v>
      </c>
      <c r="U347" s="35" t="s">
        <v>320</v>
      </c>
      <c r="V347" s="102" t="s">
        <v>268</v>
      </c>
      <c r="W347" s="267">
        <f>IFERROR(Table6[[#This Row],[Breakdown Time]]*Table6[[#This Row],[Plant Equivalent Weightage]],"")</f>
        <v>5.1282051282051083E-3</v>
      </c>
      <c r="X347" s="262" t="s">
        <v>296</v>
      </c>
      <c r="Y347" s="263" t="s">
        <v>136</v>
      </c>
      <c r="Z347" s="102">
        <v>28894</v>
      </c>
      <c r="AA347" s="257">
        <f>(Table6[[#This Row],[Paired WTG Generation for loss calculation]]/24)*Table6[[#This Row],[Breakdown Time]]</f>
        <v>160.52222222222167</v>
      </c>
      <c r="AB347" s="102"/>
      <c r="AC347" s="35"/>
      <c r="AD347" s="35"/>
    </row>
    <row r="348" spans="1:30">
      <c r="A348" s="102">
        <f t="shared" si="6"/>
        <v>347</v>
      </c>
      <c r="B348" s="257">
        <f>YEAR(Table6[[#This Row],[Date]])+IF(MONTH(Table6[[#This Row],[Date]])&gt;=4,1,0)</f>
        <v>2026</v>
      </c>
      <c r="C348" s="102">
        <f>YEAR(Table6[[#This Row],[Date]])</f>
        <v>2025</v>
      </c>
      <c r="D348" s="102" t="s">
        <v>265</v>
      </c>
      <c r="E348" s="258">
        <f>Table6[[#This Row],[Date]]-DAY(Table6[[#This Row],[Date]])+1</f>
        <v>45748</v>
      </c>
      <c r="F348" s="259">
        <v>45767</v>
      </c>
      <c r="G348" s="35" t="s">
        <v>132</v>
      </c>
      <c r="H348" s="35" t="str">
        <f>IFERROR(_xlfn.XLOOKUP(Table6[[#This Row],[Affected WTG]],'Basic Data'!$A:$A,'Basic Data'!$B:$B),"")</f>
        <v>TQGXIIPL</v>
      </c>
      <c r="I348" s="35" t="str">
        <f>IFERROR(_xlfn.XLOOKUP(Table6[[#This Row],[Affected WTG]],'Basic Data'!$A:$A,'Basic Data'!$C:$C),"")</f>
        <v>GEDA</v>
      </c>
      <c r="J348" s="260">
        <f>IFERROR(_xlfn.XLOOKUP(Table6[[#This Row],[Affected WTG]],'Basic Data'!$A:$A,'Basic Data'!$E:$E),"")</f>
        <v>3.846153846153845E-2</v>
      </c>
      <c r="K348" s="102">
        <v>55</v>
      </c>
      <c r="L348" s="35" t="str">
        <f>IFERROR(_xlfn.XLOOKUP(Table6[[#This Row],[Error Code]],'Basic Data'!$AA:$AA,'Basic Data'!$AB:$AB),"Incorrect Error Code")</f>
        <v>WTG shut down</v>
      </c>
      <c r="M348" s="35" t="s">
        <v>271</v>
      </c>
      <c r="N348" s="264"/>
      <c r="O348" s="265">
        <v>0.27847222222222223</v>
      </c>
      <c r="P348" s="265">
        <v>0.28402777777777777</v>
      </c>
      <c r="Q348" s="266">
        <v>0.54374999999999996</v>
      </c>
      <c r="R348" s="261">
        <f>IF(Table6[[#This Row],[Work Start TimeStamp]]="","",(Table6[[#This Row],[Work Start TimeStamp]]-Table6[[#This Row],[Fault Start TimeStamp]])*24)</f>
        <v>0.13333333333333286</v>
      </c>
      <c r="S348" s="261">
        <f>(Table6[[#This Row],[Fault Clearance time]]-Table6[[#This Row],[Work Start TimeStamp]])*24</f>
        <v>6.2333333333333325</v>
      </c>
      <c r="T348" s="261">
        <f>(Table6[[#This Row],[Fault Clearance time]]-Table6[[#This Row],[Fault Start TimeStamp]])*24</f>
        <v>6.3666666666666654</v>
      </c>
      <c r="U348" s="35" t="s">
        <v>281</v>
      </c>
      <c r="V348" s="102" t="s">
        <v>268</v>
      </c>
      <c r="W348" s="267">
        <f>IFERROR(Table6[[#This Row],[Breakdown Time]]*Table6[[#This Row],[Plant Equivalent Weightage]],"")</f>
        <v>0.24487179487179475</v>
      </c>
      <c r="X348" s="262" t="s">
        <v>273</v>
      </c>
      <c r="Y348" s="263" t="s">
        <v>120</v>
      </c>
      <c r="Z348" s="102">
        <v>30187</v>
      </c>
      <c r="AA348" s="257">
        <f>(Table6[[#This Row],[Paired WTG Generation for loss calculation]]/24)*Table6[[#This Row],[Breakdown Time]]</f>
        <v>8007.9402777777768</v>
      </c>
      <c r="AB348" s="102"/>
      <c r="AC348" s="35"/>
      <c r="AD348" s="35"/>
    </row>
    <row r="349" spans="1:30">
      <c r="A349" s="102">
        <f t="shared" si="6"/>
        <v>348</v>
      </c>
      <c r="B349" s="257">
        <f>YEAR(Table6[[#This Row],[Date]])+IF(MONTH(Table6[[#This Row],[Date]])&gt;=4,1,0)</f>
        <v>2026</v>
      </c>
      <c r="C349" s="102">
        <f>YEAR(Table6[[#This Row],[Date]])</f>
        <v>2025</v>
      </c>
      <c r="D349" s="102" t="s">
        <v>265</v>
      </c>
      <c r="E349" s="258">
        <f>Table6[[#This Row],[Date]]-DAY(Table6[[#This Row],[Date]])+1</f>
        <v>45748</v>
      </c>
      <c r="F349" s="259">
        <v>45767</v>
      </c>
      <c r="G349" s="35" t="s">
        <v>136</v>
      </c>
      <c r="H349" s="35" t="str">
        <f>IFERROR(_xlfn.XLOOKUP(Table6[[#This Row],[Affected WTG]],'Basic Data'!$A:$A,'Basic Data'!$B:$B),"")</f>
        <v>TQGXIIPL</v>
      </c>
      <c r="I349" s="35" t="str">
        <f>IFERROR(_xlfn.XLOOKUP(Table6[[#This Row],[Affected WTG]],'Basic Data'!$A:$A,'Basic Data'!$C:$C),"")</f>
        <v>GEDA</v>
      </c>
      <c r="J349" s="260">
        <f>IFERROR(_xlfn.XLOOKUP(Table6[[#This Row],[Affected WTG]],'Basic Data'!$A:$A,'Basic Data'!$E:$E),"")</f>
        <v>3.846153846153845E-2</v>
      </c>
      <c r="K349" s="102">
        <v>55</v>
      </c>
      <c r="L349" s="35" t="str">
        <f>IFERROR(_xlfn.XLOOKUP(Table6[[#This Row],[Error Code]],'Basic Data'!$AA:$AA,'Basic Data'!$AB:$AB),"Incorrect Error Code")</f>
        <v>WTG shut down</v>
      </c>
      <c r="M349" s="35" t="s">
        <v>266</v>
      </c>
      <c r="N349" s="264"/>
      <c r="O349" s="265">
        <v>0.53680555555555554</v>
      </c>
      <c r="P349" s="265">
        <v>0.53680555555555554</v>
      </c>
      <c r="Q349" s="266">
        <v>0.54374999999999996</v>
      </c>
      <c r="R349" s="261">
        <f>IF(Table6[[#This Row],[Work Start TimeStamp]]="","",(Table6[[#This Row],[Work Start TimeStamp]]-Table6[[#This Row],[Fault Start TimeStamp]])*24)</f>
        <v>0</v>
      </c>
      <c r="S349" s="261">
        <f>(Table6[[#This Row],[Fault Clearance time]]-Table6[[#This Row],[Work Start TimeStamp]])*24</f>
        <v>0.16666666666666607</v>
      </c>
      <c r="T349" s="261">
        <f>(Table6[[#This Row],[Fault Clearance time]]-Table6[[#This Row],[Fault Start TimeStamp]])*24</f>
        <v>0.16666666666666607</v>
      </c>
      <c r="U349" s="35" t="s">
        <v>320</v>
      </c>
      <c r="V349" s="102" t="s">
        <v>268</v>
      </c>
      <c r="W349" s="267">
        <f>IFERROR(Table6[[#This Row],[Breakdown Time]]*Table6[[#This Row],[Plant Equivalent Weightage]],"")</f>
        <v>6.4102564102563857E-3</v>
      </c>
      <c r="X349" s="262" t="s">
        <v>296</v>
      </c>
      <c r="Y349" s="263" t="s">
        <v>120</v>
      </c>
      <c r="Z349" s="102">
        <v>30187</v>
      </c>
      <c r="AA349" s="257">
        <f>(Table6[[#This Row],[Paired WTG Generation for loss calculation]]/24)*Table6[[#This Row],[Breakdown Time]]</f>
        <v>209.63194444444372</v>
      </c>
      <c r="AB349" s="102"/>
      <c r="AC349" s="35"/>
      <c r="AD349" s="35"/>
    </row>
    <row r="350" spans="1:30">
      <c r="A350" s="102">
        <f t="shared" si="6"/>
        <v>349</v>
      </c>
      <c r="B350" s="257">
        <f>YEAR(Table6[[#This Row],[Date]])+IF(MONTH(Table6[[#This Row],[Date]])&gt;=4,1,0)</f>
        <v>2026</v>
      </c>
      <c r="C350" s="102">
        <f>YEAR(Table6[[#This Row],[Date]])</f>
        <v>2025</v>
      </c>
      <c r="D350" s="102" t="s">
        <v>265</v>
      </c>
      <c r="E350" s="258">
        <f>Table6[[#This Row],[Date]]-DAY(Table6[[#This Row],[Date]])+1</f>
        <v>45748</v>
      </c>
      <c r="F350" s="259">
        <v>45767</v>
      </c>
      <c r="G350" s="35" t="s">
        <v>136</v>
      </c>
      <c r="H350" s="35" t="str">
        <f>IFERROR(_xlfn.XLOOKUP(Table6[[#This Row],[Affected WTG]],'Basic Data'!$A:$A,'Basic Data'!$B:$B),"")</f>
        <v>TQGXIIPL</v>
      </c>
      <c r="I350" s="35" t="str">
        <f>IFERROR(_xlfn.XLOOKUP(Table6[[#This Row],[Affected WTG]],'Basic Data'!$A:$A,'Basic Data'!$C:$C),"")</f>
        <v>GEDA</v>
      </c>
      <c r="J350" s="260">
        <f>IFERROR(_xlfn.XLOOKUP(Table6[[#This Row],[Affected WTG]],'Basic Data'!$A:$A,'Basic Data'!$E:$E),"")</f>
        <v>3.846153846153845E-2</v>
      </c>
      <c r="K350" s="102">
        <v>6130</v>
      </c>
      <c r="L350" s="35" t="str">
        <f>IFERROR(_xlfn.XLOOKUP(Table6[[#This Row],[Error Code]],'Basic Data'!$AA:$AA,'Basic Data'!$AB:$AB),"Incorrect Error Code")</f>
        <v>Yaw speed high</v>
      </c>
      <c r="M350" s="35" t="s">
        <v>278</v>
      </c>
      <c r="N350" s="264"/>
      <c r="O350" s="265">
        <v>0.72569444444444442</v>
      </c>
      <c r="P350" s="265">
        <v>0.72569444444444442</v>
      </c>
      <c r="Q350" s="266">
        <v>0.72986111111111107</v>
      </c>
      <c r="R350" s="261">
        <f>IF(Table6[[#This Row],[Work Start TimeStamp]]="","",(Table6[[#This Row],[Work Start TimeStamp]]-Table6[[#This Row],[Fault Start TimeStamp]])*24)</f>
        <v>0</v>
      </c>
      <c r="S350" s="261">
        <f>(Table6[[#This Row],[Fault Clearance time]]-Table6[[#This Row],[Work Start TimeStamp]])*24</f>
        <v>9.9999999999999645E-2</v>
      </c>
      <c r="T350" s="261">
        <f>(Table6[[#This Row],[Fault Clearance time]]-Table6[[#This Row],[Fault Start TimeStamp]])*24</f>
        <v>9.9999999999999645E-2</v>
      </c>
      <c r="U350" s="35" t="s">
        <v>277</v>
      </c>
      <c r="V350" s="102" t="s">
        <v>268</v>
      </c>
      <c r="W350" s="267">
        <f>IFERROR(Table6[[#This Row],[Breakdown Time]]*Table6[[#This Row],[Plant Equivalent Weightage]],"")</f>
        <v>3.8461538461538312E-3</v>
      </c>
      <c r="X350" s="262" t="s">
        <v>269</v>
      </c>
      <c r="Y350" s="263" t="s">
        <v>120</v>
      </c>
      <c r="Z350" s="102">
        <v>30187</v>
      </c>
      <c r="AA350" s="257">
        <f>(Table6[[#This Row],[Paired WTG Generation for loss calculation]]/24)*Table6[[#This Row],[Breakdown Time]]</f>
        <v>125.77916666666623</v>
      </c>
      <c r="AB350" s="102"/>
      <c r="AC350" s="35"/>
      <c r="AD350" s="35"/>
    </row>
    <row r="351" spans="1:30">
      <c r="A351" s="102">
        <f t="shared" si="6"/>
        <v>350</v>
      </c>
      <c r="B351" s="257">
        <f>YEAR(Table6[[#This Row],[Date]])+IF(MONTH(Table6[[#This Row],[Date]])&gt;=4,1,0)</f>
        <v>2026</v>
      </c>
      <c r="C351" s="102">
        <f>YEAR(Table6[[#This Row],[Date]])</f>
        <v>2025</v>
      </c>
      <c r="D351" s="102" t="s">
        <v>265</v>
      </c>
      <c r="E351" s="258">
        <f>Table6[[#This Row],[Date]]-DAY(Table6[[#This Row],[Date]])+1</f>
        <v>45748</v>
      </c>
      <c r="F351" s="259">
        <v>45767</v>
      </c>
      <c r="G351" s="35" t="s">
        <v>138</v>
      </c>
      <c r="H351" s="35" t="str">
        <f>IFERROR(_xlfn.XLOOKUP(Table6[[#This Row],[Affected WTG]],'Basic Data'!$A:$A,'Basic Data'!$B:$B),"")</f>
        <v>TQGXIIPL</v>
      </c>
      <c r="I351" s="35" t="str">
        <f>IFERROR(_xlfn.XLOOKUP(Table6[[#This Row],[Affected WTG]],'Basic Data'!$A:$A,'Basic Data'!$C:$C),"")</f>
        <v>GEDA</v>
      </c>
      <c r="J351" s="260">
        <f>IFERROR(_xlfn.XLOOKUP(Table6[[#This Row],[Affected WTG]],'Basic Data'!$A:$A,'Basic Data'!$E:$E),"")</f>
        <v>3.846153846153845E-2</v>
      </c>
      <c r="K351" s="102">
        <v>175</v>
      </c>
      <c r="L351" s="35" t="str">
        <f>IFERROR(_xlfn.XLOOKUP(Table6[[#This Row],[Error Code]],'Basic Data'!$AA:$AA,'Basic Data'!$AB:$AB),"Incorrect Error Code")</f>
        <v>SLC error</v>
      </c>
      <c r="M351" s="35" t="s">
        <v>266</v>
      </c>
      <c r="N351" s="264"/>
      <c r="O351" s="265">
        <v>0.375</v>
      </c>
      <c r="P351" s="265">
        <v>0.375</v>
      </c>
      <c r="Q351" s="266">
        <v>0.38819444444444445</v>
      </c>
      <c r="R351" s="261">
        <f>IF(Table6[[#This Row],[Work Start TimeStamp]]="","",(Table6[[#This Row],[Work Start TimeStamp]]-Table6[[#This Row],[Fault Start TimeStamp]])*24)</f>
        <v>0</v>
      </c>
      <c r="S351" s="261">
        <f>(Table6[[#This Row],[Fault Clearance time]]-Table6[[#This Row],[Work Start TimeStamp]])*24</f>
        <v>0.31666666666666687</v>
      </c>
      <c r="T351" s="261">
        <f>(Table6[[#This Row],[Fault Clearance time]]-Table6[[#This Row],[Fault Start TimeStamp]])*24</f>
        <v>0.31666666666666687</v>
      </c>
      <c r="U351" s="35" t="s">
        <v>267</v>
      </c>
      <c r="V351" s="102" t="s">
        <v>268</v>
      </c>
      <c r="W351" s="267">
        <f>IFERROR(Table6[[#This Row],[Breakdown Time]]*Table6[[#This Row],[Plant Equivalent Weightage]],"")</f>
        <v>1.2179487179487183E-2</v>
      </c>
      <c r="X351" s="262" t="s">
        <v>269</v>
      </c>
      <c r="Y351" s="263" t="s">
        <v>134</v>
      </c>
      <c r="Z351" s="102">
        <v>28383</v>
      </c>
      <c r="AA351" s="257">
        <f>(Table6[[#This Row],[Paired WTG Generation for loss calculation]]/24)*Table6[[#This Row],[Breakdown Time]]</f>
        <v>374.49791666666692</v>
      </c>
      <c r="AB351" s="102"/>
      <c r="AC351" s="35"/>
      <c r="AD351" s="35"/>
    </row>
    <row r="352" spans="1:30">
      <c r="A352" s="102">
        <f t="shared" si="6"/>
        <v>351</v>
      </c>
      <c r="B352" s="257">
        <f>YEAR(Table6[[#This Row],[Date]])+IF(MONTH(Table6[[#This Row],[Date]])&gt;=4,1,0)</f>
        <v>2026</v>
      </c>
      <c r="C352" s="102">
        <f>YEAR(Table6[[#This Row],[Date]])</f>
        <v>2025</v>
      </c>
      <c r="D352" s="102" t="s">
        <v>265</v>
      </c>
      <c r="E352" s="258">
        <f>Table6[[#This Row],[Date]]-DAY(Table6[[#This Row],[Date]])+1</f>
        <v>45748</v>
      </c>
      <c r="F352" s="259">
        <v>45767</v>
      </c>
      <c r="G352" s="35" t="s">
        <v>140</v>
      </c>
      <c r="H352" s="35" t="str">
        <f>IFERROR(_xlfn.XLOOKUP(Table6[[#This Row],[Affected WTG]],'Basic Data'!$A:$A,'Basic Data'!$B:$B),"")</f>
        <v>TQGXIIPL</v>
      </c>
      <c r="I352" s="35" t="str">
        <f>IFERROR(_xlfn.XLOOKUP(Table6[[#This Row],[Affected WTG]],'Basic Data'!$A:$A,'Basic Data'!$C:$C),"")</f>
        <v>GEDA</v>
      </c>
      <c r="J352" s="260">
        <f>IFERROR(_xlfn.XLOOKUP(Table6[[#This Row],[Affected WTG]],'Basic Data'!$A:$A,'Basic Data'!$E:$E),"")</f>
        <v>3.846153846153845E-2</v>
      </c>
      <c r="K352" s="102">
        <v>658</v>
      </c>
      <c r="L352" s="35" t="str">
        <f>IFERROR(_xlfn.XLOOKUP(Table6[[#This Row],[Error Code]],'Basic Data'!$AA:$AA,'Basic Data'!$AB:$AB),"Incorrect Error Code")</f>
        <v>Error pitch converter 3</v>
      </c>
      <c r="M352" s="35" t="s">
        <v>266</v>
      </c>
      <c r="N352" s="264"/>
      <c r="O352" s="265">
        <v>0.31180555555555556</v>
      </c>
      <c r="P352" s="265">
        <v>0.31180555555555556</v>
      </c>
      <c r="Q352" s="266">
        <v>0.32361111111111113</v>
      </c>
      <c r="R352" s="261">
        <f>IF(Table6[[#This Row],[Work Start TimeStamp]]="","",(Table6[[#This Row],[Work Start TimeStamp]]-Table6[[#This Row],[Fault Start TimeStamp]])*24)</f>
        <v>0</v>
      </c>
      <c r="S352" s="261">
        <f>(Table6[[#This Row],[Fault Clearance time]]-Table6[[#This Row],[Work Start TimeStamp]])*24</f>
        <v>0.28333333333333366</v>
      </c>
      <c r="T352" s="261">
        <f>(Table6[[#This Row],[Fault Clearance time]]-Table6[[#This Row],[Fault Start TimeStamp]])*24</f>
        <v>0.28333333333333366</v>
      </c>
      <c r="U352" s="35" t="s">
        <v>267</v>
      </c>
      <c r="V352" s="102" t="s">
        <v>268</v>
      </c>
      <c r="W352" s="267">
        <f>IFERROR(Table6[[#This Row],[Breakdown Time]]*Table6[[#This Row],[Plant Equivalent Weightage]],"")</f>
        <v>1.0897435897435907E-2</v>
      </c>
      <c r="X352" s="262" t="s">
        <v>269</v>
      </c>
      <c r="Y352" s="263" t="s">
        <v>115</v>
      </c>
      <c r="Z352" s="102">
        <v>24919</v>
      </c>
      <c r="AA352" s="257">
        <f>(Table6[[#This Row],[Paired WTG Generation for loss calculation]]/24)*Table6[[#This Row],[Breakdown Time]]</f>
        <v>294.18263888888924</v>
      </c>
      <c r="AB352" s="102"/>
      <c r="AC352" s="35"/>
      <c r="AD352" s="35"/>
    </row>
    <row r="353" spans="1:30">
      <c r="A353" s="102">
        <f t="shared" si="6"/>
        <v>352</v>
      </c>
      <c r="B353" s="257">
        <f>YEAR(Table6[[#This Row],[Date]])+IF(MONTH(Table6[[#This Row],[Date]])&gt;=4,1,0)</f>
        <v>2026</v>
      </c>
      <c r="C353" s="102">
        <f>YEAR(Table6[[#This Row],[Date]])</f>
        <v>2025</v>
      </c>
      <c r="D353" s="102" t="s">
        <v>265</v>
      </c>
      <c r="E353" s="258">
        <f>Table6[[#This Row],[Date]]-DAY(Table6[[#This Row],[Date]])+1</f>
        <v>45748</v>
      </c>
      <c r="F353" s="259">
        <v>45768</v>
      </c>
      <c r="G353" s="35" t="s">
        <v>115</v>
      </c>
      <c r="H353" s="35" t="str">
        <f>IFERROR(_xlfn.XLOOKUP(Table6[[#This Row],[Affected WTG]],'Basic Data'!$A:$A,'Basic Data'!$B:$B),"")</f>
        <v>TQGXIIPL</v>
      </c>
      <c r="I353" s="35" t="str">
        <f>IFERROR(_xlfn.XLOOKUP(Table6[[#This Row],[Affected WTG]],'Basic Data'!$A:$A,'Basic Data'!$C:$C),"")</f>
        <v>GEDA</v>
      </c>
      <c r="J353" s="260">
        <f>IFERROR(_xlfn.XLOOKUP(Table6[[#This Row],[Affected WTG]],'Basic Data'!$A:$A,'Basic Data'!$E:$E),"")</f>
        <v>3.846153846153845E-2</v>
      </c>
      <c r="K353" s="102">
        <v>3110</v>
      </c>
      <c r="L353" s="35" t="str">
        <f>IFERROR(_xlfn.XLOOKUP(Table6[[#This Row],[Error Code]],'Basic Data'!$AA:$AA,'Basic Data'!$AB:$AB),"Incorrect Error Code")</f>
        <v>Frequency converter error</v>
      </c>
      <c r="M353" s="35" t="s">
        <v>266</v>
      </c>
      <c r="N353" s="264"/>
      <c r="O353" s="265">
        <v>0</v>
      </c>
      <c r="P353" s="265">
        <v>0</v>
      </c>
      <c r="Q353" s="266">
        <v>9.7222222222222224E-3</v>
      </c>
      <c r="R353" s="261">
        <f>IF(Table6[[#This Row],[Work Start TimeStamp]]="","",(Table6[[#This Row],[Work Start TimeStamp]]-Table6[[#This Row],[Fault Start TimeStamp]])*24)</f>
        <v>0</v>
      </c>
      <c r="S353" s="261">
        <f>(Table6[[#This Row],[Fault Clearance time]]-Table6[[#This Row],[Work Start TimeStamp]])*24</f>
        <v>0.23333333333333334</v>
      </c>
      <c r="T353" s="261">
        <f>(Table6[[#This Row],[Fault Clearance time]]-Table6[[#This Row],[Fault Start TimeStamp]])*24</f>
        <v>0.23333333333333334</v>
      </c>
      <c r="U353" s="35" t="s">
        <v>349</v>
      </c>
      <c r="V353" s="102" t="s">
        <v>268</v>
      </c>
      <c r="W353" s="267">
        <f>IFERROR(Table6[[#This Row],[Breakdown Time]]*Table6[[#This Row],[Plant Equivalent Weightage]],"")</f>
        <v>8.974358974358972E-3</v>
      </c>
      <c r="X353" s="262" t="s">
        <v>269</v>
      </c>
      <c r="Y353" s="263" t="s">
        <v>140</v>
      </c>
      <c r="Z353" s="102">
        <v>7446</v>
      </c>
      <c r="AA353" s="257">
        <f>(Table6[[#This Row],[Paired WTG Generation for loss calculation]]/24)*Table6[[#This Row],[Breakdown Time]]</f>
        <v>72.391666666666666</v>
      </c>
      <c r="AB353" s="102"/>
      <c r="AC353" s="35"/>
      <c r="AD353" s="35"/>
    </row>
    <row r="354" spans="1:30">
      <c r="A354" s="102">
        <f t="shared" si="6"/>
        <v>353</v>
      </c>
      <c r="B354" s="257">
        <f>YEAR(Table6[[#This Row],[Date]])+IF(MONTH(Table6[[#This Row],[Date]])&gt;=4,1,0)</f>
        <v>2026</v>
      </c>
      <c r="C354" s="102">
        <f>YEAR(Table6[[#This Row],[Date]])</f>
        <v>2025</v>
      </c>
      <c r="D354" s="102" t="s">
        <v>265</v>
      </c>
      <c r="E354" s="258">
        <f>Table6[[#This Row],[Date]]-DAY(Table6[[#This Row],[Date]])+1</f>
        <v>45748</v>
      </c>
      <c r="F354" s="259">
        <v>45768</v>
      </c>
      <c r="G354" s="35" t="s">
        <v>116</v>
      </c>
      <c r="H354" s="35" t="str">
        <f>IFERROR(_xlfn.XLOOKUP(Table6[[#This Row],[Affected WTG]],'Basic Data'!$A:$A,'Basic Data'!$B:$B),"")</f>
        <v>TQGXIIPL</v>
      </c>
      <c r="I354" s="35" t="str">
        <f>IFERROR(_xlfn.XLOOKUP(Table6[[#This Row],[Affected WTG]],'Basic Data'!$A:$A,'Basic Data'!$C:$C),"")</f>
        <v>GEDA</v>
      </c>
      <c r="J354" s="260">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266</v>
      </c>
      <c r="N354" s="264"/>
      <c r="O354" s="265">
        <v>0.79861111111111116</v>
      </c>
      <c r="P354" s="265">
        <v>0.79861111111111116</v>
      </c>
      <c r="Q354" s="266">
        <v>0.8305555555555556</v>
      </c>
      <c r="R354" s="261">
        <f>IF(Table6[[#This Row],[Work Start TimeStamp]]="","",(Table6[[#This Row],[Work Start TimeStamp]]-Table6[[#This Row],[Fault Start TimeStamp]])*24)</f>
        <v>0</v>
      </c>
      <c r="S354" s="261">
        <f>(Table6[[#This Row],[Fault Clearance time]]-Table6[[#This Row],[Work Start TimeStamp]])*24</f>
        <v>0.76666666666666661</v>
      </c>
      <c r="T354" s="261">
        <f>(Table6[[#This Row],[Fault Clearance time]]-Table6[[#This Row],[Fault Start TimeStamp]])*24</f>
        <v>0.76666666666666661</v>
      </c>
      <c r="U354" s="35" t="s">
        <v>322</v>
      </c>
      <c r="V354" s="102" t="s">
        <v>268</v>
      </c>
      <c r="W354" s="267">
        <f>IFERROR(Table6[[#This Row],[Breakdown Time]]*Table6[[#This Row],[Plant Equivalent Weightage]],"")</f>
        <v>2.9487179487179476E-2</v>
      </c>
      <c r="X354" s="262" t="s">
        <v>269</v>
      </c>
      <c r="Y354" s="263" t="s">
        <v>119</v>
      </c>
      <c r="Z354" s="102">
        <v>12194</v>
      </c>
      <c r="AA354" s="257">
        <f>(Table6[[#This Row],[Paired WTG Generation for loss calculation]]/24)*Table6[[#This Row],[Breakdown Time]]</f>
        <v>389.53055555555551</v>
      </c>
      <c r="AB354" s="102"/>
      <c r="AC354" s="35"/>
      <c r="AD354" s="35"/>
    </row>
    <row r="355" spans="1:30">
      <c r="A355" s="102">
        <f t="shared" si="6"/>
        <v>354</v>
      </c>
      <c r="B355" s="257">
        <f>YEAR(Table6[[#This Row],[Date]])+IF(MONTH(Table6[[#This Row],[Date]])&gt;=4,1,0)</f>
        <v>2026</v>
      </c>
      <c r="C355" s="102">
        <f>YEAR(Table6[[#This Row],[Date]])</f>
        <v>2025</v>
      </c>
      <c r="D355" s="102" t="s">
        <v>265</v>
      </c>
      <c r="E355" s="258">
        <f>Table6[[#This Row],[Date]]-DAY(Table6[[#This Row],[Date]])+1</f>
        <v>45748</v>
      </c>
      <c r="F355" s="259">
        <v>45768</v>
      </c>
      <c r="G355" s="35" t="s">
        <v>120</v>
      </c>
      <c r="H355" s="35" t="str">
        <f>IFERROR(_xlfn.XLOOKUP(Table6[[#This Row],[Affected WTG]],'Basic Data'!$A:$A,'Basic Data'!$B:$B),"")</f>
        <v>TQGXIIPL</v>
      </c>
      <c r="I355" s="35" t="str">
        <f>IFERROR(_xlfn.XLOOKUP(Table6[[#This Row],[Affected WTG]],'Basic Data'!$A:$A,'Basic Data'!$C:$C),"")</f>
        <v>GEDA</v>
      </c>
      <c r="J355" s="260">
        <f>IFERROR(_xlfn.XLOOKUP(Table6[[#This Row],[Affected WTG]],'Basic Data'!$A:$A,'Basic Data'!$E:$E),"")</f>
        <v>3.846153846153845E-2</v>
      </c>
      <c r="K355" s="102">
        <v>6130</v>
      </c>
      <c r="L355" s="35" t="str">
        <f>IFERROR(_xlfn.XLOOKUP(Table6[[#This Row],[Error Code]],'Basic Data'!$AA:$AA,'Basic Data'!$AB:$AB),"Incorrect Error Code")</f>
        <v>Yaw speed high</v>
      </c>
      <c r="M355" s="35" t="s">
        <v>266</v>
      </c>
      <c r="N355" s="264"/>
      <c r="O355" s="265">
        <v>0.70694444444444449</v>
      </c>
      <c r="P355" s="265">
        <v>0.70694444444444449</v>
      </c>
      <c r="Q355" s="266">
        <v>0.71180555555555558</v>
      </c>
      <c r="R355" s="261">
        <f>IF(Table6[[#This Row],[Work Start TimeStamp]]="","",(Table6[[#This Row],[Work Start TimeStamp]]-Table6[[#This Row],[Fault Start TimeStamp]])*24)</f>
        <v>0</v>
      </c>
      <c r="S355" s="261">
        <f>(Table6[[#This Row],[Fault Clearance time]]-Table6[[#This Row],[Work Start TimeStamp]])*24</f>
        <v>0.11666666666666625</v>
      </c>
      <c r="T355" s="261">
        <f>(Table6[[#This Row],[Fault Clearance time]]-Table6[[#This Row],[Fault Start TimeStamp]])*24</f>
        <v>0.11666666666666625</v>
      </c>
      <c r="U355" s="35" t="s">
        <v>267</v>
      </c>
      <c r="V355" s="102" t="s">
        <v>268</v>
      </c>
      <c r="W355" s="267">
        <f>IFERROR(Table6[[#This Row],[Breakdown Time]]*Table6[[#This Row],[Plant Equivalent Weightage]],"")</f>
        <v>4.4871794871794695E-3</v>
      </c>
      <c r="X355" s="262" t="s">
        <v>269</v>
      </c>
      <c r="Y355" s="263" t="s">
        <v>135</v>
      </c>
      <c r="Z355" s="102">
        <v>9310</v>
      </c>
      <c r="AA355" s="257">
        <f>(Table6[[#This Row],[Paired WTG Generation for loss calculation]]/24)*Table6[[#This Row],[Breakdown Time]]</f>
        <v>45.256944444444287</v>
      </c>
      <c r="AB355" s="102"/>
      <c r="AC355" s="35"/>
      <c r="AD355" s="35"/>
    </row>
    <row r="356" spans="1:30">
      <c r="A356" s="102">
        <f t="shared" si="6"/>
        <v>355</v>
      </c>
      <c r="B356" s="257">
        <f>YEAR(Table6[[#This Row],[Date]])+IF(MONTH(Table6[[#This Row],[Date]])&gt;=4,1,0)</f>
        <v>2026</v>
      </c>
      <c r="C356" s="102">
        <f>YEAR(Table6[[#This Row],[Date]])</f>
        <v>2025</v>
      </c>
      <c r="D356" s="102" t="s">
        <v>265</v>
      </c>
      <c r="E356" s="258">
        <f>Table6[[#This Row],[Date]]-DAY(Table6[[#This Row],[Date]])+1</f>
        <v>45748</v>
      </c>
      <c r="F356" s="259">
        <v>45768</v>
      </c>
      <c r="G356" s="35" t="s">
        <v>125</v>
      </c>
      <c r="H356" s="35" t="str">
        <f>IFERROR(_xlfn.XLOOKUP(Table6[[#This Row],[Affected WTG]],'Basic Data'!$A:$A,'Basic Data'!$B:$B),"")</f>
        <v>TQGXIIPL</v>
      </c>
      <c r="I356" s="35" t="str">
        <f>IFERROR(_xlfn.XLOOKUP(Table6[[#This Row],[Affected WTG]],'Basic Data'!$A:$A,'Basic Data'!$C:$C),"")</f>
        <v>GEDA</v>
      </c>
      <c r="J356" s="260">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266</v>
      </c>
      <c r="N356" s="264"/>
      <c r="O356" s="265">
        <v>0.79861111111111116</v>
      </c>
      <c r="P356" s="265">
        <v>0.79861111111111116</v>
      </c>
      <c r="Q356" s="266">
        <v>0.83263888888888893</v>
      </c>
      <c r="R356" s="261">
        <f>IF(Table6[[#This Row],[Work Start TimeStamp]]="","",(Table6[[#This Row],[Work Start TimeStamp]]-Table6[[#This Row],[Fault Start TimeStamp]])*24)</f>
        <v>0</v>
      </c>
      <c r="S356" s="261">
        <f>(Table6[[#This Row],[Fault Clearance time]]-Table6[[#This Row],[Work Start TimeStamp]])*24</f>
        <v>0.81666666666666643</v>
      </c>
      <c r="T356" s="261">
        <f>(Table6[[#This Row],[Fault Clearance time]]-Table6[[#This Row],[Fault Start TimeStamp]])*24</f>
        <v>0.81666666666666643</v>
      </c>
      <c r="U356" s="35" t="s">
        <v>350</v>
      </c>
      <c r="V356" s="102" t="s">
        <v>268</v>
      </c>
      <c r="W356" s="267">
        <f>IFERROR(Table6[[#This Row],[Breakdown Time]]*Table6[[#This Row],[Plant Equivalent Weightage]],"")</f>
        <v>3.1410256410256389E-2</v>
      </c>
      <c r="X356" s="262" t="s">
        <v>269</v>
      </c>
      <c r="Y356" s="263" t="s">
        <v>126</v>
      </c>
      <c r="Z356" s="102">
        <v>9575</v>
      </c>
      <c r="AA356" s="257">
        <f>(Table6[[#This Row],[Paired WTG Generation for loss calculation]]/24)*Table6[[#This Row],[Breakdown Time]]</f>
        <v>325.81597222222211</v>
      </c>
      <c r="AB356" s="102"/>
      <c r="AC356" s="35"/>
      <c r="AD356" s="35"/>
    </row>
    <row r="357" spans="1:30">
      <c r="A357" s="102">
        <f t="shared" si="6"/>
        <v>356</v>
      </c>
      <c r="B357" s="257">
        <f>YEAR(Table6[[#This Row],[Date]])+IF(MONTH(Table6[[#This Row],[Date]])&gt;=4,1,0)</f>
        <v>2026</v>
      </c>
      <c r="C357" s="102">
        <f>YEAR(Table6[[#This Row],[Date]])</f>
        <v>2025</v>
      </c>
      <c r="D357" s="102" t="s">
        <v>265</v>
      </c>
      <c r="E357" s="258">
        <f>Table6[[#This Row],[Date]]-DAY(Table6[[#This Row],[Date]])+1</f>
        <v>45748</v>
      </c>
      <c r="F357" s="259">
        <v>45768</v>
      </c>
      <c r="G357" s="35" t="s">
        <v>125</v>
      </c>
      <c r="H357" s="35" t="str">
        <f>IFERROR(_xlfn.XLOOKUP(Table6[[#This Row],[Affected WTG]],'Basic Data'!$A:$A,'Basic Data'!$B:$B),"")</f>
        <v>TQGXIIPL</v>
      </c>
      <c r="I357" s="35" t="str">
        <f>IFERROR(_xlfn.XLOOKUP(Table6[[#This Row],[Affected WTG]],'Basic Data'!$A:$A,'Basic Data'!$C:$C),"")</f>
        <v>GEDA</v>
      </c>
      <c r="J357" s="260">
        <f>IFERROR(_xlfn.XLOOKUP(Table6[[#This Row],[Affected WTG]],'Basic Data'!$A:$A,'Basic Data'!$E:$E),"")</f>
        <v>3.846153846153845E-2</v>
      </c>
      <c r="K357" s="102">
        <v>665</v>
      </c>
      <c r="L357" s="35" t="str">
        <f>IFERROR(_xlfn.XLOOKUP(Table6[[#This Row],[Error Code]],'Basic Data'!$AA:$AA,'Basic Data'!$AB:$AB),"Incorrect Error Code")</f>
        <v>Pitch error</v>
      </c>
      <c r="M357" s="35" t="s">
        <v>266</v>
      </c>
      <c r="N357" s="264"/>
      <c r="O357" s="265">
        <v>0.85833333333333328</v>
      </c>
      <c r="P357" s="265">
        <v>0.9375</v>
      </c>
      <c r="Q357" s="266">
        <v>0.99998842592592596</v>
      </c>
      <c r="R357" s="261">
        <f>IF(Table6[[#This Row],[Work Start TimeStamp]]="","",(Table6[[#This Row],[Work Start TimeStamp]]-Table6[[#This Row],[Fault Start TimeStamp]])*24)</f>
        <v>1.9000000000000012</v>
      </c>
      <c r="S357" s="261">
        <f>(Table6[[#This Row],[Fault Clearance time]]-Table6[[#This Row],[Work Start TimeStamp]])*24</f>
        <v>1.4997222222222231</v>
      </c>
      <c r="T357" s="261">
        <f>(Table6[[#This Row],[Fault Clearance time]]-Table6[[#This Row],[Fault Start TimeStamp]])*24</f>
        <v>3.3997222222222243</v>
      </c>
      <c r="U357" s="35" t="s">
        <v>351</v>
      </c>
      <c r="V357" s="102" t="s">
        <v>289</v>
      </c>
      <c r="W357" s="267">
        <f>IFERROR(Table6[[#This Row],[Breakdown Time]]*Table6[[#This Row],[Plant Equivalent Weightage]],"")</f>
        <v>0.13075854700854705</v>
      </c>
      <c r="X357" s="262" t="s">
        <v>269</v>
      </c>
      <c r="Y357" s="263" t="s">
        <v>126</v>
      </c>
      <c r="Z357" s="102">
        <v>9575</v>
      </c>
      <c r="AA357" s="257">
        <f>(Table6[[#This Row],[Paired WTG Generation for loss calculation]]/24)*Table6[[#This Row],[Breakdown Time]]</f>
        <v>1356.3475115740748</v>
      </c>
      <c r="AB357" s="102"/>
      <c r="AC357" s="35"/>
      <c r="AD357" s="35"/>
    </row>
    <row r="358" spans="1:30">
      <c r="A358" s="102">
        <f t="shared" si="6"/>
        <v>357</v>
      </c>
      <c r="B358" s="257">
        <f>YEAR(Table6[[#This Row],[Date]])+IF(MONTH(Table6[[#This Row],[Date]])&gt;=4,1,0)</f>
        <v>2026</v>
      </c>
      <c r="C358" s="102">
        <f>YEAR(Table6[[#This Row],[Date]])</f>
        <v>2025</v>
      </c>
      <c r="D358" s="102" t="s">
        <v>265</v>
      </c>
      <c r="E358" s="258">
        <f>Table6[[#This Row],[Date]]-DAY(Table6[[#This Row],[Date]])+1</f>
        <v>45748</v>
      </c>
      <c r="F358" s="259">
        <v>45768</v>
      </c>
      <c r="G358" s="35" t="s">
        <v>126</v>
      </c>
      <c r="H358" s="35" t="str">
        <f>IFERROR(_xlfn.XLOOKUP(Table6[[#This Row],[Affected WTG]],'Basic Data'!$A:$A,'Basic Data'!$B:$B),"")</f>
        <v>TQGXIIPL</v>
      </c>
      <c r="I358" s="35" t="str">
        <f>IFERROR(_xlfn.XLOOKUP(Table6[[#This Row],[Affected WTG]],'Basic Data'!$A:$A,'Basic Data'!$C:$C),"")</f>
        <v>GEDA</v>
      </c>
      <c r="J358" s="260">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266</v>
      </c>
      <c r="N358" s="264"/>
      <c r="O358" s="265">
        <v>0.39652777777777776</v>
      </c>
      <c r="P358" s="265">
        <v>0.44444444444444442</v>
      </c>
      <c r="Q358" s="266">
        <v>0.52083333333333337</v>
      </c>
      <c r="R358" s="261">
        <f>IF(Table6[[#This Row],[Work Start TimeStamp]]="","",(Table6[[#This Row],[Work Start TimeStamp]]-Table6[[#This Row],[Fault Start TimeStamp]])*24)</f>
        <v>1.1499999999999999</v>
      </c>
      <c r="S358" s="261">
        <f>(Table6[[#This Row],[Fault Clearance time]]-Table6[[#This Row],[Work Start TimeStamp]])*24</f>
        <v>1.8333333333333348</v>
      </c>
      <c r="T358" s="261">
        <f>(Table6[[#This Row],[Fault Clearance time]]-Table6[[#This Row],[Fault Start TimeStamp]])*24</f>
        <v>2.9833333333333347</v>
      </c>
      <c r="U358" s="35" t="s">
        <v>352</v>
      </c>
      <c r="V358" s="102" t="s">
        <v>268</v>
      </c>
      <c r="W358" s="267">
        <f>IFERROR(Table6[[#This Row],[Breakdown Time]]*Table6[[#This Row],[Plant Equivalent Weightage]],"")</f>
        <v>0.11474358974358977</v>
      </c>
      <c r="X358" s="262" t="s">
        <v>269</v>
      </c>
      <c r="Y358" s="263" t="s">
        <v>128</v>
      </c>
      <c r="Z358" s="102">
        <v>9107</v>
      </c>
      <c r="AA358" s="257">
        <f>(Table6[[#This Row],[Paired WTG Generation for loss calculation]]/24)*Table6[[#This Row],[Breakdown Time]]</f>
        <v>1132.0506944444448</v>
      </c>
      <c r="AB358" s="102"/>
      <c r="AC358" s="35"/>
      <c r="AD358" s="35"/>
    </row>
    <row r="359" spans="1:30">
      <c r="A359" s="102">
        <f t="shared" si="6"/>
        <v>358</v>
      </c>
      <c r="B359" s="257">
        <f>YEAR(Table6[[#This Row],[Date]])+IF(MONTH(Table6[[#This Row],[Date]])&gt;=4,1,0)</f>
        <v>2026</v>
      </c>
      <c r="C359" s="102">
        <f>YEAR(Table6[[#This Row],[Date]])</f>
        <v>2025</v>
      </c>
      <c r="D359" s="102" t="s">
        <v>265</v>
      </c>
      <c r="E359" s="258">
        <f>Table6[[#This Row],[Date]]-DAY(Table6[[#This Row],[Date]])+1</f>
        <v>45748</v>
      </c>
      <c r="F359" s="259">
        <v>45768</v>
      </c>
      <c r="G359" s="35" t="s">
        <v>128</v>
      </c>
      <c r="H359" s="35" t="str">
        <f>IFERROR(_xlfn.XLOOKUP(Table6[[#This Row],[Affected WTG]],'Basic Data'!$A:$A,'Basic Data'!$B:$B),"")</f>
        <v>TQGXIIPL</v>
      </c>
      <c r="I359" s="35" t="str">
        <f>IFERROR(_xlfn.XLOOKUP(Table6[[#This Row],[Affected WTG]],'Basic Data'!$A:$A,'Basic Data'!$C:$C),"")</f>
        <v>GEDA</v>
      </c>
      <c r="J359" s="260">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266</v>
      </c>
      <c r="N359" s="264"/>
      <c r="O359" s="265">
        <v>0.79861111111111116</v>
      </c>
      <c r="P359" s="265">
        <v>0.79861111111111116</v>
      </c>
      <c r="Q359" s="266">
        <v>0.82222222222222219</v>
      </c>
      <c r="R359" s="261">
        <f>IF(Table6[[#This Row],[Work Start TimeStamp]]="","",(Table6[[#This Row],[Work Start TimeStamp]]-Table6[[#This Row],[Fault Start TimeStamp]])*24)</f>
        <v>0</v>
      </c>
      <c r="S359" s="261">
        <f>(Table6[[#This Row],[Fault Clearance time]]-Table6[[#This Row],[Work Start TimeStamp]])*24</f>
        <v>0.56666666666666465</v>
      </c>
      <c r="T359" s="261">
        <f>(Table6[[#This Row],[Fault Clearance time]]-Table6[[#This Row],[Fault Start TimeStamp]])*24</f>
        <v>0.56666666666666465</v>
      </c>
      <c r="U359" s="35" t="s">
        <v>350</v>
      </c>
      <c r="V359" s="102" t="s">
        <v>268</v>
      </c>
      <c r="W359" s="267">
        <f>IFERROR(Table6[[#This Row],[Breakdown Time]]*Table6[[#This Row],[Plant Equivalent Weightage]],"")</f>
        <v>2.1794871794871711E-2</v>
      </c>
      <c r="X359" s="262" t="s">
        <v>269</v>
      </c>
      <c r="Y359" s="263" t="s">
        <v>126</v>
      </c>
      <c r="Z359" s="102">
        <v>9575</v>
      </c>
      <c r="AA359" s="257">
        <f>(Table6[[#This Row],[Paired WTG Generation for loss calculation]]/24)*Table6[[#This Row],[Breakdown Time]]</f>
        <v>226.07638888888806</v>
      </c>
      <c r="AB359" s="102"/>
      <c r="AC359" s="35"/>
      <c r="AD359" s="35"/>
    </row>
    <row r="360" spans="1:30">
      <c r="A360" s="102">
        <f t="shared" si="6"/>
        <v>359</v>
      </c>
      <c r="B360" s="257">
        <f>YEAR(Table6[[#This Row],[Date]])+IF(MONTH(Table6[[#This Row],[Date]])&gt;=4,1,0)</f>
        <v>2026</v>
      </c>
      <c r="C360" s="102">
        <f>YEAR(Table6[[#This Row],[Date]])</f>
        <v>2025</v>
      </c>
      <c r="D360" s="102" t="s">
        <v>265</v>
      </c>
      <c r="E360" s="258">
        <f>Table6[[#This Row],[Date]]-DAY(Table6[[#This Row],[Date]])+1</f>
        <v>45748</v>
      </c>
      <c r="F360" s="259">
        <v>45768</v>
      </c>
      <c r="G360" s="35" t="s">
        <v>130</v>
      </c>
      <c r="H360" s="35" t="str">
        <f>IFERROR(_xlfn.XLOOKUP(Table6[[#This Row],[Affected WTG]],'Basic Data'!$A:$A,'Basic Data'!$B:$B),"")</f>
        <v>TQGXIIPL</v>
      </c>
      <c r="I360" s="35" t="str">
        <f>IFERROR(_xlfn.XLOOKUP(Table6[[#This Row],[Affected WTG]],'Basic Data'!$A:$A,'Basic Data'!$C:$C),"")</f>
        <v>GEDA</v>
      </c>
      <c r="J360" s="260">
        <f>IFERROR(_xlfn.XLOOKUP(Table6[[#This Row],[Affected WTG]],'Basic Data'!$A:$A,'Basic Data'!$E:$E),"")</f>
        <v>3.846153846153845E-2</v>
      </c>
      <c r="K360" s="102">
        <v>55</v>
      </c>
      <c r="L360" s="35" t="str">
        <f>IFERROR(_xlfn.XLOOKUP(Table6[[#This Row],[Error Code]],'Basic Data'!$AA:$AA,'Basic Data'!$AB:$AB),"Incorrect Error Code")</f>
        <v>WTG shut down</v>
      </c>
      <c r="M360" s="35" t="s">
        <v>271</v>
      </c>
      <c r="N360" s="264"/>
      <c r="O360" s="265">
        <v>0.28611111111111109</v>
      </c>
      <c r="P360" s="265">
        <v>0.29236111111111113</v>
      </c>
      <c r="Q360" s="266">
        <v>0.54861111111111116</v>
      </c>
      <c r="R360" s="261">
        <f>IF(Table6[[#This Row],[Work Start TimeStamp]]="","",(Table6[[#This Row],[Work Start TimeStamp]]-Table6[[#This Row],[Fault Start TimeStamp]])*24)</f>
        <v>0.1500000000000008</v>
      </c>
      <c r="S360" s="261">
        <f>(Table6[[#This Row],[Fault Clearance time]]-Table6[[#This Row],[Work Start TimeStamp]])*24</f>
        <v>6.15</v>
      </c>
      <c r="T360" s="261">
        <f>(Table6[[#This Row],[Fault Clearance time]]-Table6[[#This Row],[Fault Start TimeStamp]])*24</f>
        <v>6.3000000000000016</v>
      </c>
      <c r="U360" s="35" t="s">
        <v>281</v>
      </c>
      <c r="V360" s="102" t="s">
        <v>268</v>
      </c>
      <c r="W360" s="267">
        <f>IFERROR(Table6[[#This Row],[Breakdown Time]]*Table6[[#This Row],[Plant Equivalent Weightage]],"")</f>
        <v>0.24230769230769231</v>
      </c>
      <c r="X360" s="262" t="s">
        <v>273</v>
      </c>
      <c r="Y360" s="263" t="s">
        <v>135</v>
      </c>
      <c r="Z360" s="102">
        <v>9310</v>
      </c>
      <c r="AA360" s="257">
        <f>(Table6[[#This Row],[Paired WTG Generation for loss calculation]]/24)*Table6[[#This Row],[Breakdown Time]]</f>
        <v>2443.8750000000009</v>
      </c>
      <c r="AB360" s="102"/>
      <c r="AC360" s="35"/>
      <c r="AD360" s="35"/>
    </row>
    <row r="361" spans="1:30">
      <c r="A361" s="102">
        <f t="shared" si="6"/>
        <v>360</v>
      </c>
      <c r="B361" s="257">
        <f>YEAR(Table6[[#This Row],[Date]])+IF(MONTH(Table6[[#This Row],[Date]])&gt;=4,1,0)</f>
        <v>2026</v>
      </c>
      <c r="C361" s="102">
        <f>YEAR(Table6[[#This Row],[Date]])</f>
        <v>2025</v>
      </c>
      <c r="D361" s="102" t="s">
        <v>265</v>
      </c>
      <c r="E361" s="258">
        <f>Table6[[#This Row],[Date]]-DAY(Table6[[#This Row],[Date]])+1</f>
        <v>45748</v>
      </c>
      <c r="F361" s="259">
        <v>45769</v>
      </c>
      <c r="G361" s="35" t="s">
        <v>115</v>
      </c>
      <c r="H361" s="35" t="str">
        <f>IFERROR(_xlfn.XLOOKUP(Table6[[#This Row],[Affected WTG]],'Basic Data'!$A:$A,'Basic Data'!$B:$B),"")</f>
        <v>TQGXIIPL</v>
      </c>
      <c r="I361" s="35" t="str">
        <f>IFERROR(_xlfn.XLOOKUP(Table6[[#This Row],[Affected WTG]],'Basic Data'!$A:$A,'Basic Data'!$C:$C),"")</f>
        <v>GEDA</v>
      </c>
      <c r="J361" s="260">
        <f>IFERROR(_xlfn.XLOOKUP(Table6[[#This Row],[Affected WTG]],'Basic Data'!$A:$A,'Basic Data'!$E:$E),"")</f>
        <v>3.846153846153845E-2</v>
      </c>
      <c r="K361" s="102">
        <v>3110</v>
      </c>
      <c r="L361" s="35" t="str">
        <f>IFERROR(_xlfn.XLOOKUP(Table6[[#This Row],[Error Code]],'Basic Data'!$AA:$AA,'Basic Data'!$AB:$AB),"Incorrect Error Code")</f>
        <v>Frequency converter error</v>
      </c>
      <c r="M361" s="35" t="s">
        <v>266</v>
      </c>
      <c r="N361" s="264"/>
      <c r="O361" s="265">
        <v>0.65833333333333333</v>
      </c>
      <c r="P361" s="265">
        <v>0.65833333333333333</v>
      </c>
      <c r="Q361" s="266">
        <v>0.66805555555555551</v>
      </c>
      <c r="R361" s="261">
        <f>IF(Table6[[#This Row],[Work Start TimeStamp]]="","",(Table6[[#This Row],[Work Start TimeStamp]]-Table6[[#This Row],[Fault Start TimeStamp]])*24)</f>
        <v>0</v>
      </c>
      <c r="S361" s="261">
        <f>(Table6[[#This Row],[Fault Clearance time]]-Table6[[#This Row],[Work Start TimeStamp]])*24</f>
        <v>0.2333333333333325</v>
      </c>
      <c r="T361" s="261">
        <f>(Table6[[#This Row],[Fault Clearance time]]-Table6[[#This Row],[Fault Start TimeStamp]])*24</f>
        <v>0.2333333333333325</v>
      </c>
      <c r="U361" s="35" t="s">
        <v>267</v>
      </c>
      <c r="V361" s="102" t="s">
        <v>268</v>
      </c>
      <c r="W361" s="267">
        <f>IFERROR(Table6[[#This Row],[Breakdown Time]]*Table6[[#This Row],[Plant Equivalent Weightage]],"")</f>
        <v>8.974358974358939E-3</v>
      </c>
      <c r="X361" s="262" t="s">
        <v>269</v>
      </c>
      <c r="Y361" s="263" t="s">
        <v>140</v>
      </c>
      <c r="Z361" s="102">
        <v>12251</v>
      </c>
      <c r="AA361" s="257">
        <f>(Table6[[#This Row],[Paired WTG Generation for loss calculation]]/24)*Table6[[#This Row],[Breakdown Time]]</f>
        <v>119.10694444444401</v>
      </c>
      <c r="AB361" s="102"/>
      <c r="AC361" s="35"/>
      <c r="AD361" s="35"/>
    </row>
    <row r="362" spans="1:30">
      <c r="A362" s="102">
        <f t="shared" si="6"/>
        <v>361</v>
      </c>
      <c r="B362" s="257">
        <f>YEAR(Table6[[#This Row],[Date]])+IF(MONTH(Table6[[#This Row],[Date]])&gt;=4,1,0)</f>
        <v>2026</v>
      </c>
      <c r="C362" s="102">
        <f>YEAR(Table6[[#This Row],[Date]])</f>
        <v>2025</v>
      </c>
      <c r="D362" s="102" t="s">
        <v>265</v>
      </c>
      <c r="E362" s="258">
        <f>Table6[[#This Row],[Date]]-DAY(Table6[[#This Row],[Date]])+1</f>
        <v>45748</v>
      </c>
      <c r="F362" s="259">
        <v>45769</v>
      </c>
      <c r="G362" s="35" t="s">
        <v>115</v>
      </c>
      <c r="H362" s="35" t="str">
        <f>IFERROR(_xlfn.XLOOKUP(Table6[[#This Row],[Affected WTG]],'Basic Data'!$A:$A,'Basic Data'!$B:$B),"")</f>
        <v>TQGXIIPL</v>
      </c>
      <c r="I362" s="35" t="str">
        <f>IFERROR(_xlfn.XLOOKUP(Table6[[#This Row],[Affected WTG]],'Basic Data'!$A:$A,'Basic Data'!$C:$C),"")</f>
        <v>GEDA</v>
      </c>
      <c r="J362" s="260">
        <f>IFERROR(_xlfn.XLOOKUP(Table6[[#This Row],[Affected WTG]],'Basic Data'!$A:$A,'Basic Data'!$E:$E),"")</f>
        <v>3.846153846153845E-2</v>
      </c>
      <c r="K362" s="102">
        <v>3110</v>
      </c>
      <c r="L362" s="35" t="str">
        <f>IFERROR(_xlfn.XLOOKUP(Table6[[#This Row],[Error Code]],'Basic Data'!$AA:$AA,'Basic Data'!$AB:$AB),"Incorrect Error Code")</f>
        <v>Frequency converter error</v>
      </c>
      <c r="M362" s="35" t="s">
        <v>266</v>
      </c>
      <c r="N362" s="264"/>
      <c r="O362" s="265">
        <v>0.75624999999999998</v>
      </c>
      <c r="P362" s="265">
        <v>0.78472222222222221</v>
      </c>
      <c r="Q362" s="266">
        <v>0.80763888888888891</v>
      </c>
      <c r="R362" s="261">
        <f>IF(Table6[[#This Row],[Work Start TimeStamp]]="","",(Table6[[#This Row],[Work Start TimeStamp]]-Table6[[#This Row],[Fault Start TimeStamp]])*24)</f>
        <v>0.68333333333333357</v>
      </c>
      <c r="S362" s="261">
        <f>(Table6[[#This Row],[Fault Clearance time]]-Table6[[#This Row],[Work Start TimeStamp]])*24</f>
        <v>0.55000000000000071</v>
      </c>
      <c r="T362" s="261">
        <f>(Table6[[#This Row],[Fault Clearance time]]-Table6[[#This Row],[Fault Start TimeStamp]])*24</f>
        <v>1.2333333333333343</v>
      </c>
      <c r="U362" s="35" t="s">
        <v>353</v>
      </c>
      <c r="V362" s="102" t="s">
        <v>268</v>
      </c>
      <c r="W362" s="267">
        <f>IFERROR(Table6[[#This Row],[Breakdown Time]]*Table6[[#This Row],[Plant Equivalent Weightage]],"")</f>
        <v>4.7435897435897455E-2</v>
      </c>
      <c r="X362" s="262" t="s">
        <v>269</v>
      </c>
      <c r="Y362" s="263" t="s">
        <v>140</v>
      </c>
      <c r="Z362" s="102">
        <v>12251</v>
      </c>
      <c r="AA362" s="257">
        <f>(Table6[[#This Row],[Paired WTG Generation for loss calculation]]/24)*Table6[[#This Row],[Breakdown Time]]</f>
        <v>629.56527777777819</v>
      </c>
      <c r="AB362" s="102"/>
      <c r="AC362" s="35"/>
      <c r="AD362" s="35"/>
    </row>
    <row r="363" spans="1:30">
      <c r="A363" s="102">
        <f t="shared" si="6"/>
        <v>362</v>
      </c>
      <c r="B363" s="257">
        <f>YEAR(Table6[[#This Row],[Date]])+IF(MONTH(Table6[[#This Row],[Date]])&gt;=4,1,0)</f>
        <v>2026</v>
      </c>
      <c r="C363" s="102">
        <f>YEAR(Table6[[#This Row],[Date]])</f>
        <v>2025</v>
      </c>
      <c r="D363" s="102" t="s">
        <v>265</v>
      </c>
      <c r="E363" s="258">
        <f>Table6[[#This Row],[Date]]-DAY(Table6[[#This Row],[Date]])+1</f>
        <v>45748</v>
      </c>
      <c r="F363" s="259">
        <v>45769</v>
      </c>
      <c r="G363" s="35" t="s">
        <v>125</v>
      </c>
      <c r="H363" s="35" t="str">
        <f>IFERROR(_xlfn.XLOOKUP(Table6[[#This Row],[Affected WTG]],'Basic Data'!$A:$A,'Basic Data'!$B:$B),"")</f>
        <v>TQGXIIPL</v>
      </c>
      <c r="I363" s="35" t="str">
        <f>IFERROR(_xlfn.XLOOKUP(Table6[[#This Row],[Affected WTG]],'Basic Data'!$A:$A,'Basic Data'!$C:$C),"")</f>
        <v>GEDA</v>
      </c>
      <c r="J363" s="260">
        <f>IFERROR(_xlfn.XLOOKUP(Table6[[#This Row],[Affected WTG]],'Basic Data'!$A:$A,'Basic Data'!$E:$E),"")</f>
        <v>3.846153846153845E-2</v>
      </c>
      <c r="K363" s="102">
        <v>665</v>
      </c>
      <c r="L363" s="35" t="str">
        <f>IFERROR(_xlfn.XLOOKUP(Table6[[#This Row],[Error Code]],'Basic Data'!$AA:$AA,'Basic Data'!$AB:$AB),"Incorrect Error Code")</f>
        <v>Pitch error</v>
      </c>
      <c r="M363" s="35" t="s">
        <v>266</v>
      </c>
      <c r="N363" s="264"/>
      <c r="O363" s="265">
        <v>0</v>
      </c>
      <c r="P363" s="265">
        <v>0</v>
      </c>
      <c r="Q363" s="266">
        <v>2.1527777777777778E-2</v>
      </c>
      <c r="R363" s="261">
        <f>IF(Table6[[#This Row],[Work Start TimeStamp]]="","",(Table6[[#This Row],[Work Start TimeStamp]]-Table6[[#This Row],[Fault Start TimeStamp]])*24)</f>
        <v>0</v>
      </c>
      <c r="S363" s="261">
        <f>(Table6[[#This Row],[Fault Clearance time]]-Table6[[#This Row],[Work Start TimeStamp]])*24</f>
        <v>0.51666666666666661</v>
      </c>
      <c r="T363" s="261">
        <f>(Table6[[#This Row],[Fault Clearance time]]-Table6[[#This Row],[Fault Start TimeStamp]])*24</f>
        <v>0.51666666666666661</v>
      </c>
      <c r="U363" s="35" t="s">
        <v>354</v>
      </c>
      <c r="V363" s="102" t="s">
        <v>268</v>
      </c>
      <c r="W363" s="267">
        <f>IFERROR(Table6[[#This Row],[Breakdown Time]]*Table6[[#This Row],[Plant Equivalent Weightage]],"")</f>
        <v>1.9871794871794864E-2</v>
      </c>
      <c r="X363" s="262" t="s">
        <v>269</v>
      </c>
      <c r="Y363" s="263" t="s">
        <v>126</v>
      </c>
      <c r="Z363" s="102">
        <v>12585</v>
      </c>
      <c r="AA363" s="257">
        <f>(Table6[[#This Row],[Paired WTG Generation for loss calculation]]/24)*Table6[[#This Row],[Breakdown Time]]</f>
        <v>270.92708333333331</v>
      </c>
      <c r="AB363" s="102"/>
      <c r="AC363" s="35"/>
      <c r="AD363" s="35"/>
    </row>
    <row r="364" spans="1:30">
      <c r="A364" s="102">
        <f t="shared" si="6"/>
        <v>363</v>
      </c>
      <c r="B364" s="257">
        <f>YEAR(Table6[[#This Row],[Date]])+IF(MONTH(Table6[[#This Row],[Date]])&gt;=4,1,0)</f>
        <v>2026</v>
      </c>
      <c r="C364" s="102">
        <f>YEAR(Table6[[#This Row],[Date]])</f>
        <v>2025</v>
      </c>
      <c r="D364" s="102" t="s">
        <v>265</v>
      </c>
      <c r="E364" s="258">
        <f>Table6[[#This Row],[Date]]-DAY(Table6[[#This Row],[Date]])+1</f>
        <v>45748</v>
      </c>
      <c r="F364" s="259">
        <v>45769</v>
      </c>
      <c r="G364" s="35" t="s">
        <v>125</v>
      </c>
      <c r="H364" s="35" t="str">
        <f>IFERROR(_xlfn.XLOOKUP(Table6[[#This Row],[Affected WTG]],'Basic Data'!$A:$A,'Basic Data'!$B:$B),"")</f>
        <v>TQGXIIPL</v>
      </c>
      <c r="I364" s="35" t="str">
        <f>IFERROR(_xlfn.XLOOKUP(Table6[[#This Row],[Affected WTG]],'Basic Data'!$A:$A,'Basic Data'!$C:$C),"")</f>
        <v>GEDA</v>
      </c>
      <c r="J364" s="260">
        <f>IFERROR(_xlfn.XLOOKUP(Table6[[#This Row],[Affected WTG]],'Basic Data'!$A:$A,'Basic Data'!$E:$E),"")</f>
        <v>3.846153846153845E-2</v>
      </c>
      <c r="K364" s="102">
        <v>665</v>
      </c>
      <c r="L364" s="35" t="str">
        <f>IFERROR(_xlfn.XLOOKUP(Table6[[#This Row],[Error Code]],'Basic Data'!$AA:$AA,'Basic Data'!$AB:$AB),"Incorrect Error Code")</f>
        <v>Pitch error</v>
      </c>
      <c r="M364" s="35" t="s">
        <v>266</v>
      </c>
      <c r="N364" s="264"/>
      <c r="O364" s="265">
        <v>4.2361111111111113E-2</v>
      </c>
      <c r="P364" s="265">
        <v>4.2361111111111113E-2</v>
      </c>
      <c r="Q364" s="266">
        <v>0.21249999999999999</v>
      </c>
      <c r="R364" s="261">
        <f>IF(Table6[[#This Row],[Work Start TimeStamp]]="","",(Table6[[#This Row],[Work Start TimeStamp]]-Table6[[#This Row],[Fault Start TimeStamp]])*24)</f>
        <v>0</v>
      </c>
      <c r="S364" s="261">
        <f>(Table6[[#This Row],[Fault Clearance time]]-Table6[[#This Row],[Work Start TimeStamp]])*24</f>
        <v>4.0833333333333339</v>
      </c>
      <c r="T364" s="261">
        <f>(Table6[[#This Row],[Fault Clearance time]]-Table6[[#This Row],[Fault Start TimeStamp]])*24</f>
        <v>4.0833333333333339</v>
      </c>
      <c r="U364" s="35" t="s">
        <v>355</v>
      </c>
      <c r="V364" s="102" t="s">
        <v>268</v>
      </c>
      <c r="W364" s="267">
        <f>IFERROR(Table6[[#This Row],[Breakdown Time]]*Table6[[#This Row],[Plant Equivalent Weightage]],"")</f>
        <v>0.15705128205128202</v>
      </c>
      <c r="X364" s="262" t="s">
        <v>269</v>
      </c>
      <c r="Y364" s="263" t="s">
        <v>126</v>
      </c>
      <c r="Z364" s="102">
        <v>12585</v>
      </c>
      <c r="AA364" s="257">
        <f>(Table6[[#This Row],[Paired WTG Generation for loss calculation]]/24)*Table6[[#This Row],[Breakdown Time]]</f>
        <v>2141.197916666667</v>
      </c>
      <c r="AB364" s="102"/>
      <c r="AC364" s="35"/>
      <c r="AD364" s="35"/>
    </row>
    <row r="365" spans="1:30">
      <c r="A365" s="102">
        <f t="shared" si="6"/>
        <v>364</v>
      </c>
      <c r="B365" s="257">
        <f>YEAR(Table6[[#This Row],[Date]])+IF(MONTH(Table6[[#This Row],[Date]])&gt;=4,1,0)</f>
        <v>2026</v>
      </c>
      <c r="C365" s="102">
        <f>YEAR(Table6[[#This Row],[Date]])</f>
        <v>2025</v>
      </c>
      <c r="D365" s="102" t="s">
        <v>265</v>
      </c>
      <c r="E365" s="258">
        <f>Table6[[#This Row],[Date]]-DAY(Table6[[#This Row],[Date]])+1</f>
        <v>45748</v>
      </c>
      <c r="F365" s="259">
        <v>45769</v>
      </c>
      <c r="G365" s="35" t="s">
        <v>125</v>
      </c>
      <c r="H365" s="35" t="str">
        <f>IFERROR(_xlfn.XLOOKUP(Table6[[#This Row],[Affected WTG]],'Basic Data'!$A:$A,'Basic Data'!$B:$B),"")</f>
        <v>TQGXIIPL</v>
      </c>
      <c r="I365" s="35" t="str">
        <f>IFERROR(_xlfn.XLOOKUP(Table6[[#This Row],[Affected WTG]],'Basic Data'!$A:$A,'Basic Data'!$C:$C),"")</f>
        <v>GEDA</v>
      </c>
      <c r="J365" s="260">
        <f>IFERROR(_xlfn.XLOOKUP(Table6[[#This Row],[Affected WTG]],'Basic Data'!$A:$A,'Basic Data'!$E:$E),"")</f>
        <v>3.846153846153845E-2</v>
      </c>
      <c r="K365" s="102">
        <v>665</v>
      </c>
      <c r="L365" s="35" t="str">
        <f>IFERROR(_xlfn.XLOOKUP(Table6[[#This Row],[Error Code]],'Basic Data'!$AA:$AA,'Basic Data'!$AB:$AB),"Incorrect Error Code")</f>
        <v>Pitch error</v>
      </c>
      <c r="M365" s="35" t="s">
        <v>291</v>
      </c>
      <c r="N365" s="264"/>
      <c r="O365" s="265">
        <v>0.25</v>
      </c>
      <c r="P365" s="265">
        <v>0.25</v>
      </c>
      <c r="Q365" s="266">
        <v>0.99998842592592596</v>
      </c>
      <c r="R365" s="261">
        <f>IF(Table6[[#This Row],[Work Start TimeStamp]]="","",(Table6[[#This Row],[Work Start TimeStamp]]-Table6[[#This Row],[Fault Start TimeStamp]])*24)</f>
        <v>0</v>
      </c>
      <c r="S365" s="261">
        <f>(Table6[[#This Row],[Fault Clearance time]]-Table6[[#This Row],[Work Start TimeStamp]])*24</f>
        <v>17.999722222222225</v>
      </c>
      <c r="T365" s="261">
        <f>(Table6[[#This Row],[Fault Clearance time]]-Table6[[#This Row],[Fault Start TimeStamp]])*24</f>
        <v>17.999722222222225</v>
      </c>
      <c r="U365" s="35" t="s">
        <v>356</v>
      </c>
      <c r="V365" s="102" t="s">
        <v>357</v>
      </c>
      <c r="W365" s="267">
        <f>IFERROR(Table6[[#This Row],[Breakdown Time]]*Table6[[#This Row],[Plant Equivalent Weightage]],"")</f>
        <v>0.69229700854700849</v>
      </c>
      <c r="X365" s="262" t="s">
        <v>269</v>
      </c>
      <c r="Y365" s="263" t="s">
        <v>126</v>
      </c>
      <c r="Z365" s="102">
        <v>12585</v>
      </c>
      <c r="AA365" s="257">
        <f>(Table6[[#This Row],[Paired WTG Generation for loss calculation]]/24)*Table6[[#This Row],[Breakdown Time]]</f>
        <v>9438.6043402777796</v>
      </c>
      <c r="AB365" s="102"/>
      <c r="AC365" s="35"/>
      <c r="AD365" s="35"/>
    </row>
    <row r="366" spans="1:30">
      <c r="A366" s="102">
        <f t="shared" si="6"/>
        <v>365</v>
      </c>
      <c r="B366" s="257">
        <f>YEAR(Table6[[#This Row],[Date]])+IF(MONTH(Table6[[#This Row],[Date]])&gt;=4,1,0)</f>
        <v>2026</v>
      </c>
      <c r="C366" s="102">
        <f>YEAR(Table6[[#This Row],[Date]])</f>
        <v>2025</v>
      </c>
      <c r="D366" s="102" t="s">
        <v>265</v>
      </c>
      <c r="E366" s="258">
        <f>Table6[[#This Row],[Date]]-DAY(Table6[[#This Row],[Date]])+1</f>
        <v>45748</v>
      </c>
      <c r="F366" s="259">
        <v>45769</v>
      </c>
      <c r="G366" s="35" t="s">
        <v>136</v>
      </c>
      <c r="H366" s="35" t="str">
        <f>IFERROR(_xlfn.XLOOKUP(Table6[[#This Row],[Affected WTG]],'Basic Data'!$A:$A,'Basic Data'!$B:$B),"")</f>
        <v>TQGXIIPL</v>
      </c>
      <c r="I366" s="35" t="str">
        <f>IFERROR(_xlfn.XLOOKUP(Table6[[#This Row],[Affected WTG]],'Basic Data'!$A:$A,'Basic Data'!$C:$C),"")</f>
        <v>GEDA</v>
      </c>
      <c r="J366" s="260">
        <f>IFERROR(_xlfn.XLOOKUP(Table6[[#This Row],[Affected WTG]],'Basic Data'!$A:$A,'Basic Data'!$E:$E),"")</f>
        <v>3.846153846153845E-2</v>
      </c>
      <c r="K366" s="102">
        <v>6130</v>
      </c>
      <c r="L366" s="35" t="str">
        <f>IFERROR(_xlfn.XLOOKUP(Table6[[#This Row],[Error Code]],'Basic Data'!$AA:$AA,'Basic Data'!$AB:$AB),"Incorrect Error Code")</f>
        <v>Yaw speed high</v>
      </c>
      <c r="M366" s="35" t="s">
        <v>278</v>
      </c>
      <c r="N366" s="264"/>
      <c r="O366" s="265">
        <v>0.54722222222222228</v>
      </c>
      <c r="P366" s="265">
        <v>0.54722222222222228</v>
      </c>
      <c r="Q366" s="266">
        <v>0.55138888888888893</v>
      </c>
      <c r="R366" s="261">
        <f>IF(Table6[[#This Row],[Work Start TimeStamp]]="","",(Table6[[#This Row],[Work Start TimeStamp]]-Table6[[#This Row],[Fault Start TimeStamp]])*24)</f>
        <v>0</v>
      </c>
      <c r="S366" s="261">
        <f>(Table6[[#This Row],[Fault Clearance time]]-Table6[[#This Row],[Work Start TimeStamp]])*24</f>
        <v>9.9999999999999645E-2</v>
      </c>
      <c r="T366" s="261">
        <f>(Table6[[#This Row],[Fault Clearance time]]-Table6[[#This Row],[Fault Start TimeStamp]])*24</f>
        <v>9.9999999999999645E-2</v>
      </c>
      <c r="U366" s="35" t="s">
        <v>277</v>
      </c>
      <c r="V366" s="102" t="s">
        <v>268</v>
      </c>
      <c r="W366" s="267">
        <f>IFERROR(Table6[[#This Row],[Breakdown Time]]*Table6[[#This Row],[Plant Equivalent Weightage]],"")</f>
        <v>3.8461538461538312E-3</v>
      </c>
      <c r="X366" s="262" t="s">
        <v>269</v>
      </c>
      <c r="Y366" s="263" t="s">
        <v>120</v>
      </c>
      <c r="Z366" s="102">
        <v>10599</v>
      </c>
      <c r="AA366" s="257">
        <f>(Table6[[#This Row],[Paired WTG Generation for loss calculation]]/24)*Table6[[#This Row],[Breakdown Time]]</f>
        <v>44.162499999999845</v>
      </c>
      <c r="AB366" s="102"/>
      <c r="AC366" s="35"/>
      <c r="AD366" s="35"/>
    </row>
    <row r="367" spans="1:30">
      <c r="A367" s="102">
        <f t="shared" si="6"/>
        <v>366</v>
      </c>
      <c r="B367" s="257">
        <f>YEAR(Table6[[#This Row],[Date]])+IF(MONTH(Table6[[#This Row],[Date]])&gt;=4,1,0)</f>
        <v>2026</v>
      </c>
      <c r="C367" s="102">
        <f>YEAR(Table6[[#This Row],[Date]])</f>
        <v>2025</v>
      </c>
      <c r="D367" s="102" t="s">
        <v>265</v>
      </c>
      <c r="E367" s="258">
        <f>Table6[[#This Row],[Date]]-DAY(Table6[[#This Row],[Date]])+1</f>
        <v>45748</v>
      </c>
      <c r="F367" s="259">
        <v>45770</v>
      </c>
      <c r="G367" s="35" t="s">
        <v>122</v>
      </c>
      <c r="H367" s="35" t="str">
        <f>IFERROR(_xlfn.XLOOKUP(Table6[[#This Row],[Affected WTG]],'Basic Data'!$A:$A,'Basic Data'!$B:$B),"")</f>
        <v>TQGXIIPL</v>
      </c>
      <c r="I367" s="35" t="str">
        <f>IFERROR(_xlfn.XLOOKUP(Table6[[#This Row],[Affected WTG]],'Basic Data'!$A:$A,'Basic Data'!$C:$C),"")</f>
        <v>GEDA</v>
      </c>
      <c r="J367" s="260">
        <f>IFERROR(_xlfn.XLOOKUP(Table6[[#This Row],[Affected WTG]],'Basic Data'!$A:$A,'Basic Data'!$E:$E),"")</f>
        <v>3.846153846153845E-2</v>
      </c>
      <c r="K367" s="102">
        <v>4960</v>
      </c>
      <c r="L367" s="35" t="str">
        <f>IFERROR(_xlfn.XLOOKUP(Table6[[#This Row],[Error Code]],'Basic Data'!$AA:$AA,'Basic Data'!$AB:$AB),"Incorrect Error Code")</f>
        <v>Tower oscillation YF</v>
      </c>
      <c r="M367" s="35" t="s">
        <v>266</v>
      </c>
      <c r="N367" s="264"/>
      <c r="O367" s="265">
        <v>0.18611111111111112</v>
      </c>
      <c r="P367" s="265">
        <v>0.18611111111111112</v>
      </c>
      <c r="Q367" s="266">
        <v>0.19722222222222222</v>
      </c>
      <c r="R367" s="261">
        <f>IF(Table6[[#This Row],[Work Start TimeStamp]]="","",(Table6[[#This Row],[Work Start TimeStamp]]-Table6[[#This Row],[Fault Start TimeStamp]])*24)</f>
        <v>0</v>
      </c>
      <c r="S367" s="261">
        <f>(Table6[[#This Row],[Fault Clearance time]]-Table6[[#This Row],[Work Start TimeStamp]])*24</f>
        <v>0.26666666666666639</v>
      </c>
      <c r="T367" s="261">
        <f>(Table6[[#This Row],[Fault Clearance time]]-Table6[[#This Row],[Fault Start TimeStamp]])*24</f>
        <v>0.26666666666666639</v>
      </c>
      <c r="U367" s="35" t="s">
        <v>267</v>
      </c>
      <c r="V367" s="102" t="s">
        <v>268</v>
      </c>
      <c r="W367" s="267">
        <f>IFERROR(Table6[[#This Row],[Breakdown Time]]*Table6[[#This Row],[Plant Equivalent Weightage]],"")</f>
        <v>1.0256410256410243E-2</v>
      </c>
      <c r="X367" s="262" t="s">
        <v>269</v>
      </c>
      <c r="Y367" s="263" t="s">
        <v>140</v>
      </c>
      <c r="Z367" s="102">
        <v>13113</v>
      </c>
      <c r="AA367" s="257">
        <f>(Table6[[#This Row],[Paired WTG Generation for loss calculation]]/24)*Table6[[#This Row],[Breakdown Time]]</f>
        <v>145.69999999999985</v>
      </c>
      <c r="AB367" s="102"/>
      <c r="AC367" s="35"/>
      <c r="AD367" s="35"/>
    </row>
    <row r="368" spans="1:30">
      <c r="A368" s="102">
        <f t="shared" si="6"/>
        <v>367</v>
      </c>
      <c r="B368" s="257">
        <f>YEAR(Table6[[#This Row],[Date]])+IF(MONTH(Table6[[#This Row],[Date]])&gt;=4,1,0)</f>
        <v>2026</v>
      </c>
      <c r="C368" s="102">
        <f>YEAR(Table6[[#This Row],[Date]])</f>
        <v>2025</v>
      </c>
      <c r="D368" s="102" t="s">
        <v>265</v>
      </c>
      <c r="E368" s="258">
        <f>Table6[[#This Row],[Date]]-DAY(Table6[[#This Row],[Date]])+1</f>
        <v>45748</v>
      </c>
      <c r="F368" s="259">
        <v>45770</v>
      </c>
      <c r="G368" s="35" t="s">
        <v>122</v>
      </c>
      <c r="H368" s="35" t="str">
        <f>IFERROR(_xlfn.XLOOKUP(Table6[[#This Row],[Affected WTG]],'Basic Data'!$A:$A,'Basic Data'!$B:$B),"")</f>
        <v>TQGXIIPL</v>
      </c>
      <c r="I368" s="35" t="str">
        <f>IFERROR(_xlfn.XLOOKUP(Table6[[#This Row],[Affected WTG]],'Basic Data'!$A:$A,'Basic Data'!$C:$C),"")</f>
        <v>GEDA</v>
      </c>
      <c r="J368" s="260">
        <f>IFERROR(_xlfn.XLOOKUP(Table6[[#This Row],[Affected WTG]],'Basic Data'!$A:$A,'Basic Data'!$E:$E),"")</f>
        <v>3.846153846153845E-2</v>
      </c>
      <c r="K368" s="102">
        <v>4960</v>
      </c>
      <c r="L368" s="35" t="str">
        <f>IFERROR(_xlfn.XLOOKUP(Table6[[#This Row],[Error Code]],'Basic Data'!$AA:$AA,'Basic Data'!$AB:$AB),"Incorrect Error Code")</f>
        <v>Tower oscillation YF</v>
      </c>
      <c r="M368" s="35" t="s">
        <v>278</v>
      </c>
      <c r="N368" s="264"/>
      <c r="O368" s="265">
        <v>0.22569444444444445</v>
      </c>
      <c r="P368" s="265">
        <v>0.22569444444444445</v>
      </c>
      <c r="Q368" s="266">
        <v>0.23680555555555555</v>
      </c>
      <c r="R368" s="261">
        <f>IF(Table6[[#This Row],[Work Start TimeStamp]]="","",(Table6[[#This Row],[Work Start TimeStamp]]-Table6[[#This Row],[Fault Start TimeStamp]])*24)</f>
        <v>0</v>
      </c>
      <c r="S368" s="261">
        <f>(Table6[[#This Row],[Fault Clearance time]]-Table6[[#This Row],[Work Start TimeStamp]])*24</f>
        <v>0.26666666666666639</v>
      </c>
      <c r="T368" s="261">
        <f>(Table6[[#This Row],[Fault Clearance time]]-Table6[[#This Row],[Fault Start TimeStamp]])*24</f>
        <v>0.26666666666666639</v>
      </c>
      <c r="U368" s="35" t="s">
        <v>277</v>
      </c>
      <c r="V368" s="102" t="s">
        <v>268</v>
      </c>
      <c r="W368" s="267">
        <f>IFERROR(Table6[[#This Row],[Breakdown Time]]*Table6[[#This Row],[Plant Equivalent Weightage]],"")</f>
        <v>1.0256410256410243E-2</v>
      </c>
      <c r="X368" s="262" t="s">
        <v>269</v>
      </c>
      <c r="Y368" s="263" t="s">
        <v>140</v>
      </c>
      <c r="Z368" s="102">
        <v>13113</v>
      </c>
      <c r="AA368" s="257">
        <f>(Table6[[#This Row],[Paired WTG Generation for loss calculation]]/24)*Table6[[#This Row],[Breakdown Time]]</f>
        <v>145.69999999999985</v>
      </c>
      <c r="AB368" s="102"/>
      <c r="AC368" s="35"/>
      <c r="AD368" s="35"/>
    </row>
    <row r="369" spans="1:30">
      <c r="A369" s="102">
        <f t="shared" si="6"/>
        <v>368</v>
      </c>
      <c r="B369" s="257">
        <f>YEAR(Table6[[#This Row],[Date]])+IF(MONTH(Table6[[#This Row],[Date]])&gt;=4,1,0)</f>
        <v>2026</v>
      </c>
      <c r="C369" s="102">
        <f>YEAR(Table6[[#This Row],[Date]])</f>
        <v>2025</v>
      </c>
      <c r="D369" s="102" t="s">
        <v>265</v>
      </c>
      <c r="E369" s="258">
        <f>Table6[[#This Row],[Date]]-DAY(Table6[[#This Row],[Date]])+1</f>
        <v>45748</v>
      </c>
      <c r="F369" s="259">
        <v>45770</v>
      </c>
      <c r="G369" s="35" t="s">
        <v>125</v>
      </c>
      <c r="H369" s="35" t="str">
        <f>IFERROR(_xlfn.XLOOKUP(Table6[[#This Row],[Affected WTG]],'Basic Data'!$A:$A,'Basic Data'!$B:$B),"")</f>
        <v>TQGXIIPL</v>
      </c>
      <c r="I369" s="35" t="str">
        <f>IFERROR(_xlfn.XLOOKUP(Table6[[#This Row],[Affected WTG]],'Basic Data'!$A:$A,'Basic Data'!$C:$C),"")</f>
        <v>GEDA</v>
      </c>
      <c r="J369" s="260">
        <f>IFERROR(_xlfn.XLOOKUP(Table6[[#This Row],[Affected WTG]],'Basic Data'!$A:$A,'Basic Data'!$E:$E),"")</f>
        <v>3.846153846153845E-2</v>
      </c>
      <c r="K369" s="102">
        <v>665</v>
      </c>
      <c r="L369" s="35" t="str">
        <f>IFERROR(_xlfn.XLOOKUP(Table6[[#This Row],[Error Code]],'Basic Data'!$AA:$AA,'Basic Data'!$AB:$AB),"Incorrect Error Code")</f>
        <v>Pitch error</v>
      </c>
      <c r="M369" s="35" t="s">
        <v>266</v>
      </c>
      <c r="N369" s="264"/>
      <c r="O369" s="265">
        <v>0</v>
      </c>
      <c r="P369" s="265">
        <v>0</v>
      </c>
      <c r="Q369" s="266">
        <v>0.2326388888888889</v>
      </c>
      <c r="R369" s="261">
        <f>IF(Table6[[#This Row],[Work Start TimeStamp]]="","",(Table6[[#This Row],[Work Start TimeStamp]]-Table6[[#This Row],[Fault Start TimeStamp]])*24)</f>
        <v>0</v>
      </c>
      <c r="S369" s="261">
        <f>(Table6[[#This Row],[Fault Clearance time]]-Table6[[#This Row],[Work Start TimeStamp]])*24</f>
        <v>5.5833333333333339</v>
      </c>
      <c r="T369" s="261">
        <f>(Table6[[#This Row],[Fault Clearance time]]-Table6[[#This Row],[Fault Start TimeStamp]])*24</f>
        <v>5.5833333333333339</v>
      </c>
      <c r="U369" s="35" t="s">
        <v>358</v>
      </c>
      <c r="V369" s="102" t="s">
        <v>268</v>
      </c>
      <c r="W369" s="267">
        <f>IFERROR(Table6[[#This Row],[Breakdown Time]]*Table6[[#This Row],[Plant Equivalent Weightage]],"")</f>
        <v>0.2147435897435897</v>
      </c>
      <c r="X369" s="262" t="s">
        <v>269</v>
      </c>
      <c r="Y369" s="263" t="s">
        <v>126</v>
      </c>
      <c r="Z369" s="102">
        <v>18749</v>
      </c>
      <c r="AA369" s="257">
        <f>(Table6[[#This Row],[Paired WTG Generation for loss calculation]]/24)*Table6[[#This Row],[Breakdown Time]]</f>
        <v>4361.7465277777783</v>
      </c>
      <c r="AB369" s="102"/>
      <c r="AC369" s="35"/>
      <c r="AD369" s="35"/>
    </row>
    <row r="370" spans="1:30">
      <c r="A370" s="102">
        <f t="shared" si="6"/>
        <v>369</v>
      </c>
      <c r="B370" s="257">
        <f>YEAR(Table6[[#This Row],[Date]])+IF(MONTH(Table6[[#This Row],[Date]])&gt;=4,1,0)</f>
        <v>2026</v>
      </c>
      <c r="C370" s="102">
        <f>YEAR(Table6[[#This Row],[Date]])</f>
        <v>2025</v>
      </c>
      <c r="D370" s="102" t="s">
        <v>265</v>
      </c>
      <c r="E370" s="258">
        <f>Table6[[#This Row],[Date]]-DAY(Table6[[#This Row],[Date]])+1</f>
        <v>45748</v>
      </c>
      <c r="F370" s="259">
        <v>45770</v>
      </c>
      <c r="G370" s="35" t="s">
        <v>125</v>
      </c>
      <c r="H370" s="35" t="str">
        <f>IFERROR(_xlfn.XLOOKUP(Table6[[#This Row],[Affected WTG]],'Basic Data'!$A:$A,'Basic Data'!$B:$B),"")</f>
        <v>TQGXIIPL</v>
      </c>
      <c r="I370" s="35" t="str">
        <f>IFERROR(_xlfn.XLOOKUP(Table6[[#This Row],[Affected WTG]],'Basic Data'!$A:$A,'Basic Data'!$C:$C),"")</f>
        <v>GEDA</v>
      </c>
      <c r="J370" s="260">
        <f>IFERROR(_xlfn.XLOOKUP(Table6[[#This Row],[Affected WTG]],'Basic Data'!$A:$A,'Basic Data'!$E:$E),"")</f>
        <v>3.846153846153845E-2</v>
      </c>
      <c r="K370" s="102">
        <v>665</v>
      </c>
      <c r="L370" s="35" t="str">
        <f>IFERROR(_xlfn.XLOOKUP(Table6[[#This Row],[Error Code]],'Basic Data'!$AA:$AA,'Basic Data'!$AB:$AB),"Incorrect Error Code")</f>
        <v>Pitch error</v>
      </c>
      <c r="M370" s="35" t="s">
        <v>266</v>
      </c>
      <c r="N370" s="264"/>
      <c r="O370" s="265">
        <v>0.4375</v>
      </c>
      <c r="P370" s="265">
        <v>0.48402777777777778</v>
      </c>
      <c r="Q370" s="266">
        <v>0.64930555555555558</v>
      </c>
      <c r="R370" s="261">
        <f>IF(Table6[[#This Row],[Work Start TimeStamp]]="","",(Table6[[#This Row],[Work Start TimeStamp]]-Table6[[#This Row],[Fault Start TimeStamp]])*24)</f>
        <v>1.1166666666666667</v>
      </c>
      <c r="S370" s="261">
        <f>(Table6[[#This Row],[Fault Clearance time]]-Table6[[#This Row],[Work Start TimeStamp]])*24</f>
        <v>3.9666666666666672</v>
      </c>
      <c r="T370" s="261">
        <f>(Table6[[#This Row],[Fault Clearance time]]-Table6[[#This Row],[Fault Start TimeStamp]])*24</f>
        <v>5.0833333333333339</v>
      </c>
      <c r="U370" s="35" t="s">
        <v>359</v>
      </c>
      <c r="V370" s="102" t="s">
        <v>268</v>
      </c>
      <c r="W370" s="267">
        <f>IFERROR(Table6[[#This Row],[Breakdown Time]]*Table6[[#This Row],[Plant Equivalent Weightage]],"")</f>
        <v>0.19551282051282048</v>
      </c>
      <c r="X370" s="262" t="s">
        <v>269</v>
      </c>
      <c r="Y370" s="263" t="s">
        <v>126</v>
      </c>
      <c r="Z370" s="102">
        <v>18749</v>
      </c>
      <c r="AA370" s="257">
        <f>(Table6[[#This Row],[Paired WTG Generation for loss calculation]]/24)*Table6[[#This Row],[Breakdown Time]]</f>
        <v>3971.1423611111118</v>
      </c>
      <c r="AB370" s="102"/>
      <c r="AC370" s="35"/>
      <c r="AD370" s="35"/>
    </row>
    <row r="371" spans="1:30">
      <c r="A371" s="102">
        <f t="shared" si="6"/>
        <v>370</v>
      </c>
      <c r="B371" s="257">
        <f>YEAR(Table6[[#This Row],[Date]])+IF(MONTH(Table6[[#This Row],[Date]])&gt;=4,1,0)</f>
        <v>2026</v>
      </c>
      <c r="C371" s="102">
        <f>YEAR(Table6[[#This Row],[Date]])</f>
        <v>2025</v>
      </c>
      <c r="D371" s="102" t="s">
        <v>265</v>
      </c>
      <c r="E371" s="258">
        <f>Table6[[#This Row],[Date]]-DAY(Table6[[#This Row],[Date]])+1</f>
        <v>45748</v>
      </c>
      <c r="F371" s="259">
        <v>45770</v>
      </c>
      <c r="G371" s="35" t="s">
        <v>132</v>
      </c>
      <c r="H371" s="35" t="str">
        <f>IFERROR(_xlfn.XLOOKUP(Table6[[#This Row],[Affected WTG]],'Basic Data'!$A:$A,'Basic Data'!$B:$B),"")</f>
        <v>TQGXIIPL</v>
      </c>
      <c r="I371" s="35" t="str">
        <f>IFERROR(_xlfn.XLOOKUP(Table6[[#This Row],[Affected WTG]],'Basic Data'!$A:$A,'Basic Data'!$C:$C),"")</f>
        <v>GEDA</v>
      </c>
      <c r="J371" s="260">
        <f>IFERROR(_xlfn.XLOOKUP(Table6[[#This Row],[Affected WTG]],'Basic Data'!$A:$A,'Basic Data'!$E:$E),"")</f>
        <v>3.846153846153845E-2</v>
      </c>
      <c r="K371" s="102">
        <v>55</v>
      </c>
      <c r="L371" s="35" t="str">
        <f>IFERROR(_xlfn.XLOOKUP(Table6[[#This Row],[Error Code]],'Basic Data'!$AA:$AA,'Basic Data'!$AB:$AB),"Incorrect Error Code")</f>
        <v>WTG shut down</v>
      </c>
      <c r="M371" s="35" t="s">
        <v>291</v>
      </c>
      <c r="N371" s="264"/>
      <c r="O371" s="265">
        <v>0.40416666666666667</v>
      </c>
      <c r="P371" s="265">
        <v>0.40416666666666667</v>
      </c>
      <c r="Q371" s="266">
        <v>0.76458333333333328</v>
      </c>
      <c r="R371" s="261">
        <f>IF(Table6[[#This Row],[Work Start TimeStamp]]="","",(Table6[[#This Row],[Work Start TimeStamp]]-Table6[[#This Row],[Fault Start TimeStamp]])*24)</f>
        <v>0</v>
      </c>
      <c r="S371" s="261">
        <f>(Table6[[#This Row],[Fault Clearance time]]-Table6[[#This Row],[Work Start TimeStamp]])*24</f>
        <v>8.6499999999999986</v>
      </c>
      <c r="T371" s="261">
        <f>(Table6[[#This Row],[Fault Clearance time]]-Table6[[#This Row],[Fault Start TimeStamp]])*24</f>
        <v>8.6499999999999986</v>
      </c>
      <c r="U371" s="35" t="s">
        <v>360</v>
      </c>
      <c r="V371" s="102" t="s">
        <v>268</v>
      </c>
      <c r="W371" s="267">
        <f>IFERROR(Table6[[#This Row],[Breakdown Time]]*Table6[[#This Row],[Plant Equivalent Weightage]],"")</f>
        <v>0.33269230769230751</v>
      </c>
      <c r="X371" s="262" t="s">
        <v>296</v>
      </c>
      <c r="Y371" s="263" t="s">
        <v>120</v>
      </c>
      <c r="Z371" s="102">
        <v>18174</v>
      </c>
      <c r="AA371" s="257">
        <f>(Table6[[#This Row],[Paired WTG Generation for loss calculation]]/24)*Table6[[#This Row],[Breakdown Time]]</f>
        <v>6550.2124999999987</v>
      </c>
      <c r="AB371" s="102"/>
      <c r="AC371" s="35"/>
      <c r="AD371" s="35"/>
    </row>
    <row r="372" spans="1:30">
      <c r="A372" s="102">
        <f t="shared" si="6"/>
        <v>371</v>
      </c>
      <c r="B372" s="257">
        <f>YEAR(Table6[[#This Row],[Date]])+IF(MONTH(Table6[[#This Row],[Date]])&gt;=4,1,0)</f>
        <v>2026</v>
      </c>
      <c r="C372" s="102">
        <f>YEAR(Table6[[#This Row],[Date]])</f>
        <v>2025</v>
      </c>
      <c r="D372" s="102" t="s">
        <v>265</v>
      </c>
      <c r="E372" s="258">
        <f>Table6[[#This Row],[Date]]-DAY(Table6[[#This Row],[Date]])+1</f>
        <v>45748</v>
      </c>
      <c r="F372" s="259">
        <v>45771</v>
      </c>
      <c r="G372" s="35" t="s">
        <v>131</v>
      </c>
      <c r="H372" s="35" t="str">
        <f>IFERROR(_xlfn.XLOOKUP(Table6[[#This Row],[Affected WTG]],'Basic Data'!$A:$A,'Basic Data'!$B:$B),"")</f>
        <v>TQGXIIPL</v>
      </c>
      <c r="I372" s="35" t="str">
        <f>IFERROR(_xlfn.XLOOKUP(Table6[[#This Row],[Affected WTG]],'Basic Data'!$A:$A,'Basic Data'!$C:$C),"")</f>
        <v>GEDA</v>
      </c>
      <c r="J372" s="260">
        <f>IFERROR(_xlfn.XLOOKUP(Table6[[#This Row],[Affected WTG]],'Basic Data'!$A:$A,'Basic Data'!$E:$E),"")</f>
        <v>3.846153846153845E-2</v>
      </c>
      <c r="K372" s="102">
        <v>55</v>
      </c>
      <c r="L372" s="35" t="str">
        <f>IFERROR(_xlfn.XLOOKUP(Table6[[#This Row],[Error Code]],'Basic Data'!$AA:$AA,'Basic Data'!$AB:$AB),"Incorrect Error Code")</f>
        <v>WTG shut down</v>
      </c>
      <c r="M372" s="35" t="s">
        <v>291</v>
      </c>
      <c r="N372" s="264"/>
      <c r="O372" s="265">
        <v>0.47222222222222221</v>
      </c>
      <c r="P372" s="265">
        <v>0.47222222222222221</v>
      </c>
      <c r="Q372" s="266">
        <v>0.77638888888888891</v>
      </c>
      <c r="R372" s="261">
        <f>IF(Table6[[#This Row],[Work Start TimeStamp]]="","",(Table6[[#This Row],[Work Start TimeStamp]]-Table6[[#This Row],[Fault Start TimeStamp]])*24)</f>
        <v>0</v>
      </c>
      <c r="S372" s="261">
        <f>(Table6[[#This Row],[Fault Clearance time]]-Table6[[#This Row],[Work Start TimeStamp]])*24</f>
        <v>7.3000000000000007</v>
      </c>
      <c r="T372" s="261">
        <f>(Table6[[#This Row],[Fault Clearance time]]-Table6[[#This Row],[Fault Start TimeStamp]])*24</f>
        <v>7.3000000000000007</v>
      </c>
      <c r="U372" s="35" t="s">
        <v>361</v>
      </c>
      <c r="V372" s="102" t="s">
        <v>268</v>
      </c>
      <c r="W372" s="267">
        <f>IFERROR(Table6[[#This Row],[Breakdown Time]]*Table6[[#This Row],[Plant Equivalent Weightage]],"")</f>
        <v>0.28076923076923072</v>
      </c>
      <c r="X372" s="262" t="s">
        <v>296</v>
      </c>
      <c r="Y372" s="263" t="s">
        <v>136</v>
      </c>
      <c r="Z372" s="102">
        <v>20201</v>
      </c>
      <c r="AA372" s="257">
        <f>(Table6[[#This Row],[Paired WTG Generation for loss calculation]]/24)*Table6[[#This Row],[Breakdown Time]]</f>
        <v>6144.4708333333338</v>
      </c>
      <c r="AB372" s="102"/>
      <c r="AC372" s="35"/>
      <c r="AD372" s="35"/>
    </row>
    <row r="373" spans="1:30">
      <c r="A373" s="102">
        <f t="shared" si="6"/>
        <v>372</v>
      </c>
      <c r="B373" s="257">
        <f>YEAR(Table6[[#This Row],[Date]])+IF(MONTH(Table6[[#This Row],[Date]])&gt;=4,1,0)</f>
        <v>2026</v>
      </c>
      <c r="C373" s="102">
        <f>YEAR(Table6[[#This Row],[Date]])</f>
        <v>2025</v>
      </c>
      <c r="D373" s="102" t="s">
        <v>265</v>
      </c>
      <c r="E373" s="258">
        <f>Table6[[#This Row],[Date]]-DAY(Table6[[#This Row],[Date]])+1</f>
        <v>45748</v>
      </c>
      <c r="F373" s="259">
        <v>45771</v>
      </c>
      <c r="G373" s="35" t="s">
        <v>132</v>
      </c>
      <c r="H373" s="35" t="str">
        <f>IFERROR(_xlfn.XLOOKUP(Table6[[#This Row],[Affected WTG]],'Basic Data'!$A:$A,'Basic Data'!$B:$B),"")</f>
        <v>TQGXIIPL</v>
      </c>
      <c r="I373" s="35" t="str">
        <f>IFERROR(_xlfn.XLOOKUP(Table6[[#This Row],[Affected WTG]],'Basic Data'!$A:$A,'Basic Data'!$C:$C),"")</f>
        <v>GEDA</v>
      </c>
      <c r="J373" s="260">
        <f>IFERROR(_xlfn.XLOOKUP(Table6[[#This Row],[Affected WTG]],'Basic Data'!$A:$A,'Basic Data'!$E:$E),"")</f>
        <v>3.846153846153845E-2</v>
      </c>
      <c r="K373" s="102">
        <v>55</v>
      </c>
      <c r="L373" s="35" t="str">
        <f>IFERROR(_xlfn.XLOOKUP(Table6[[#This Row],[Error Code]],'Basic Data'!$AA:$AA,'Basic Data'!$AB:$AB),"Incorrect Error Code")</f>
        <v>WTG shut down</v>
      </c>
      <c r="M373" s="35" t="s">
        <v>291</v>
      </c>
      <c r="N373" s="264"/>
      <c r="O373" s="265">
        <v>0.38472222222222224</v>
      </c>
      <c r="P373" s="265">
        <v>0.38472222222222224</v>
      </c>
      <c r="Q373" s="266">
        <v>0.69027777777777777</v>
      </c>
      <c r="R373" s="261">
        <f>IF(Table6[[#This Row],[Work Start TimeStamp]]="","",(Table6[[#This Row],[Work Start TimeStamp]]-Table6[[#This Row],[Fault Start TimeStamp]])*24)</f>
        <v>0</v>
      </c>
      <c r="S373" s="261">
        <f>(Table6[[#This Row],[Fault Clearance time]]-Table6[[#This Row],[Work Start TimeStamp]])*24</f>
        <v>7.3333333333333321</v>
      </c>
      <c r="T373" s="261">
        <f>(Table6[[#This Row],[Fault Clearance time]]-Table6[[#This Row],[Fault Start TimeStamp]])*24</f>
        <v>7.3333333333333321</v>
      </c>
      <c r="U373" s="35" t="s">
        <v>362</v>
      </c>
      <c r="V373" s="102" t="s">
        <v>268</v>
      </c>
      <c r="W373" s="267">
        <f>IFERROR(Table6[[#This Row],[Breakdown Time]]*Table6[[#This Row],[Plant Equivalent Weightage]],"")</f>
        <v>0.28205128205128194</v>
      </c>
      <c r="X373" s="262" t="s">
        <v>296</v>
      </c>
      <c r="Y373" s="263" t="s">
        <v>120</v>
      </c>
      <c r="Z373" s="102">
        <v>18405</v>
      </c>
      <c r="AA373" s="257">
        <f>(Table6[[#This Row],[Paired WTG Generation for loss calculation]]/24)*Table6[[#This Row],[Breakdown Time]]</f>
        <v>5623.7499999999991</v>
      </c>
      <c r="AB373" s="102"/>
      <c r="AC373" s="35"/>
      <c r="AD373" s="35"/>
    </row>
    <row r="374" spans="1:30">
      <c r="A374" s="102">
        <f t="shared" si="6"/>
        <v>373</v>
      </c>
      <c r="B374" s="257">
        <f>YEAR(Table6[[#This Row],[Date]])+IF(MONTH(Table6[[#This Row],[Date]])&gt;=4,1,0)</f>
        <v>2026</v>
      </c>
      <c r="C374" s="102">
        <f>YEAR(Table6[[#This Row],[Date]])</f>
        <v>2025</v>
      </c>
      <c r="D374" s="102" t="s">
        <v>265</v>
      </c>
      <c r="E374" s="258">
        <f>Table6[[#This Row],[Date]]-DAY(Table6[[#This Row],[Date]])+1</f>
        <v>45748</v>
      </c>
      <c r="F374" s="259">
        <v>45771</v>
      </c>
      <c r="G374" s="35" t="s">
        <v>137</v>
      </c>
      <c r="H374" s="35" t="str">
        <f>IFERROR(_xlfn.XLOOKUP(Table6[[#This Row],[Affected WTG]],'Basic Data'!$A:$A,'Basic Data'!$B:$B),"")</f>
        <v>TQGXIIPL</v>
      </c>
      <c r="I374" s="35" t="str">
        <f>IFERROR(_xlfn.XLOOKUP(Table6[[#This Row],[Affected WTG]],'Basic Data'!$A:$A,'Basic Data'!$C:$C),"")</f>
        <v>GEDA</v>
      </c>
      <c r="J374" s="260">
        <f>IFERROR(_xlfn.XLOOKUP(Table6[[#This Row],[Affected WTG]],'Basic Data'!$A:$A,'Basic Data'!$E:$E),"")</f>
        <v>3.846153846153845E-2</v>
      </c>
      <c r="K374" s="102">
        <v>3211</v>
      </c>
      <c r="L374" s="35" t="str">
        <f>IFERROR(_xlfn.XLOOKUP(Table6[[#This Row],[Error Code]],'Basic Data'!$AA:$AA,'Basic Data'!$AB:$AB),"Incorrect Error Code")</f>
        <v>Conv. load shedding (CAN)</v>
      </c>
      <c r="M374" s="35" t="s">
        <v>266</v>
      </c>
      <c r="N374" s="264"/>
      <c r="O374" s="265">
        <v>0.69652777777777775</v>
      </c>
      <c r="P374" s="265">
        <v>0.69652777777777775</v>
      </c>
      <c r="Q374" s="266">
        <v>0.69861111111111107</v>
      </c>
      <c r="R374" s="261">
        <f>IF(Table6[[#This Row],[Work Start TimeStamp]]="","",(Table6[[#This Row],[Work Start TimeStamp]]-Table6[[#This Row],[Fault Start TimeStamp]])*24)</f>
        <v>0</v>
      </c>
      <c r="S374" s="261">
        <f>(Table6[[#This Row],[Fault Clearance time]]-Table6[[#This Row],[Work Start TimeStamp]])*24</f>
        <v>4.9999999999999822E-2</v>
      </c>
      <c r="T374" s="261">
        <f>(Table6[[#This Row],[Fault Clearance time]]-Table6[[#This Row],[Fault Start TimeStamp]])*24</f>
        <v>4.9999999999999822E-2</v>
      </c>
      <c r="U374" s="35" t="s">
        <v>267</v>
      </c>
      <c r="V374" s="102" t="s">
        <v>268</v>
      </c>
      <c r="W374" s="267">
        <f>IFERROR(Table6[[#This Row],[Breakdown Time]]*Table6[[#This Row],[Plant Equivalent Weightage]],"")</f>
        <v>1.9230769230769156E-3</v>
      </c>
      <c r="X374" s="262" t="s">
        <v>269</v>
      </c>
      <c r="Y374" s="263" t="s">
        <v>125</v>
      </c>
      <c r="Z374" s="102">
        <v>16559</v>
      </c>
      <c r="AA374" s="257">
        <f>(Table6[[#This Row],[Paired WTG Generation for loss calculation]]/24)*Table6[[#This Row],[Breakdown Time]]</f>
        <v>34.497916666666548</v>
      </c>
      <c r="AB374" s="102"/>
      <c r="AC374" s="35"/>
      <c r="AD374" s="35"/>
    </row>
    <row r="375" spans="1:30">
      <c r="A375" s="102">
        <f t="shared" si="6"/>
        <v>374</v>
      </c>
      <c r="B375" s="257">
        <f>YEAR(Table6[[#This Row],[Date]])+IF(MONTH(Table6[[#This Row],[Date]])&gt;=4,1,0)</f>
        <v>2026</v>
      </c>
      <c r="C375" s="102">
        <f>YEAR(Table6[[#This Row],[Date]])</f>
        <v>2025</v>
      </c>
      <c r="D375" s="102" t="s">
        <v>265</v>
      </c>
      <c r="E375" s="258">
        <f>Table6[[#This Row],[Date]]-DAY(Table6[[#This Row],[Date]])+1</f>
        <v>45748</v>
      </c>
      <c r="F375" s="259">
        <v>45771</v>
      </c>
      <c r="G375" s="35" t="s">
        <v>138</v>
      </c>
      <c r="H375" s="35" t="str">
        <f>IFERROR(_xlfn.XLOOKUP(Table6[[#This Row],[Affected WTG]],'Basic Data'!$A:$A,'Basic Data'!$B:$B),"")</f>
        <v>TQGXIIPL</v>
      </c>
      <c r="I375" s="35" t="str">
        <f>IFERROR(_xlfn.XLOOKUP(Table6[[#This Row],[Affected WTG]],'Basic Data'!$A:$A,'Basic Data'!$C:$C),"")</f>
        <v>GEDA</v>
      </c>
      <c r="J375" s="260">
        <f>IFERROR(_xlfn.XLOOKUP(Table6[[#This Row],[Affected WTG]],'Basic Data'!$A:$A,'Basic Data'!$E:$E),"")</f>
        <v>3.846153846153845E-2</v>
      </c>
      <c r="K375" s="102">
        <v>6130</v>
      </c>
      <c r="L375" s="35" t="str">
        <f>IFERROR(_xlfn.XLOOKUP(Table6[[#This Row],[Error Code]],'Basic Data'!$AA:$AA,'Basic Data'!$AB:$AB),"Incorrect Error Code")</f>
        <v>Yaw speed high</v>
      </c>
      <c r="M375" s="35" t="s">
        <v>278</v>
      </c>
      <c r="N375" s="264"/>
      <c r="O375" s="265">
        <v>0.57499999999999996</v>
      </c>
      <c r="P375" s="265">
        <v>0.57499999999999996</v>
      </c>
      <c r="Q375" s="266">
        <v>0.57916666666666672</v>
      </c>
      <c r="R375" s="261">
        <f>IF(Table6[[#This Row],[Work Start TimeStamp]]="","",(Table6[[#This Row],[Work Start TimeStamp]]-Table6[[#This Row],[Fault Start TimeStamp]])*24)</f>
        <v>0</v>
      </c>
      <c r="S375" s="261">
        <f>(Table6[[#This Row],[Fault Clearance time]]-Table6[[#This Row],[Work Start TimeStamp]])*24</f>
        <v>0.10000000000000231</v>
      </c>
      <c r="T375" s="261">
        <f>(Table6[[#This Row],[Fault Clearance time]]-Table6[[#This Row],[Fault Start TimeStamp]])*24</f>
        <v>0.10000000000000231</v>
      </c>
      <c r="U375" s="35" t="s">
        <v>277</v>
      </c>
      <c r="V375" s="102" t="s">
        <v>268</v>
      </c>
      <c r="W375" s="267">
        <f>IFERROR(Table6[[#This Row],[Breakdown Time]]*Table6[[#This Row],[Plant Equivalent Weightage]],"")</f>
        <v>3.846153846153934E-3</v>
      </c>
      <c r="X375" s="262" t="s">
        <v>269</v>
      </c>
      <c r="Y375" s="263" t="s">
        <v>134</v>
      </c>
      <c r="Z375" s="102">
        <v>18458</v>
      </c>
      <c r="AA375" s="257">
        <f>(Table6[[#This Row],[Paired WTG Generation for loss calculation]]/24)*Table6[[#This Row],[Breakdown Time]]</f>
        <v>76.908333333335108</v>
      </c>
      <c r="AB375" s="102"/>
      <c r="AC375" s="35"/>
      <c r="AD375" s="35"/>
    </row>
    <row r="376" spans="1:30">
      <c r="A376" s="102">
        <f t="shared" si="6"/>
        <v>375</v>
      </c>
      <c r="B376" s="257">
        <f>YEAR(Table6[[#This Row],[Date]])+IF(MONTH(Table6[[#This Row],[Date]])&gt;=4,1,0)</f>
        <v>2026</v>
      </c>
      <c r="C376" s="102">
        <f>YEAR(Table6[[#This Row],[Date]])</f>
        <v>2025</v>
      </c>
      <c r="D376" s="102" t="s">
        <v>265</v>
      </c>
      <c r="E376" s="258">
        <f>Table6[[#This Row],[Date]]-DAY(Table6[[#This Row],[Date]])+1</f>
        <v>45748</v>
      </c>
      <c r="F376" s="259">
        <v>45772</v>
      </c>
      <c r="G376" s="35" t="s">
        <v>117</v>
      </c>
      <c r="H376" s="35" t="str">
        <f>IFERROR(_xlfn.XLOOKUP(Table6[[#This Row],[Affected WTG]],'Basic Data'!$A:$A,'Basic Data'!$B:$B),"")</f>
        <v>TQGXIIPL</v>
      </c>
      <c r="I376" s="35" t="str">
        <f>IFERROR(_xlfn.XLOOKUP(Table6[[#This Row],[Affected WTG]],'Basic Data'!$A:$A,'Basic Data'!$C:$C),"")</f>
        <v>GEDA</v>
      </c>
      <c r="J376" s="260">
        <f>IFERROR(_xlfn.XLOOKUP(Table6[[#This Row],[Affected WTG]],'Basic Data'!$A:$A,'Basic Data'!$E:$E),"")</f>
        <v>3.846153846153845E-2</v>
      </c>
      <c r="K376" s="102">
        <v>175</v>
      </c>
      <c r="L376" s="35" t="str">
        <f>IFERROR(_xlfn.XLOOKUP(Table6[[#This Row],[Error Code]],'Basic Data'!$AA:$AA,'Basic Data'!$AB:$AB),"Incorrect Error Code")</f>
        <v>SLC error</v>
      </c>
      <c r="M376" s="35" t="s">
        <v>266</v>
      </c>
      <c r="N376" s="264"/>
      <c r="O376" s="265">
        <v>0.78402777777777777</v>
      </c>
      <c r="P376" s="265">
        <v>0.78402777777777777</v>
      </c>
      <c r="Q376" s="266">
        <v>0.80972222222222223</v>
      </c>
      <c r="R376" s="261">
        <f>IF(Table6[[#This Row],[Work Start TimeStamp]]="","",(Table6[[#This Row],[Work Start TimeStamp]]-Table6[[#This Row],[Fault Start TimeStamp]])*24)</f>
        <v>0</v>
      </c>
      <c r="S376" s="261">
        <f>(Table6[[#This Row],[Fault Clearance time]]-Table6[[#This Row],[Work Start TimeStamp]])*24</f>
        <v>0.61666666666666714</v>
      </c>
      <c r="T376" s="261">
        <f>(Table6[[#This Row],[Fault Clearance time]]-Table6[[#This Row],[Fault Start TimeStamp]])*24</f>
        <v>0.61666666666666714</v>
      </c>
      <c r="U376" s="35" t="s">
        <v>363</v>
      </c>
      <c r="V376" s="102" t="s">
        <v>268</v>
      </c>
      <c r="W376" s="267">
        <f>IFERROR(Table6[[#This Row],[Breakdown Time]]*Table6[[#This Row],[Plant Equivalent Weightage]],"")</f>
        <v>2.3717948717948727E-2</v>
      </c>
      <c r="X376" s="262" t="s">
        <v>269</v>
      </c>
      <c r="Y376" s="263" t="s">
        <v>123</v>
      </c>
      <c r="Z376" s="102">
        <v>23355</v>
      </c>
      <c r="AA376" s="257">
        <f>(Table6[[#This Row],[Paired WTG Generation for loss calculation]]/24)*Table6[[#This Row],[Breakdown Time]]</f>
        <v>600.09375000000045</v>
      </c>
      <c r="AB376" s="102"/>
      <c r="AC376" s="35"/>
      <c r="AD376" s="35"/>
    </row>
    <row r="377" spans="1:30">
      <c r="A377" s="102">
        <f t="shared" si="6"/>
        <v>376</v>
      </c>
      <c r="B377" s="257">
        <f>YEAR(Table6[[#This Row],[Date]])+IF(MONTH(Table6[[#This Row],[Date]])&gt;=4,1,0)</f>
        <v>2026</v>
      </c>
      <c r="C377" s="102">
        <f>YEAR(Table6[[#This Row],[Date]])</f>
        <v>2025</v>
      </c>
      <c r="D377" s="102" t="s">
        <v>265</v>
      </c>
      <c r="E377" s="258">
        <f>Table6[[#This Row],[Date]]-DAY(Table6[[#This Row],[Date]])+1</f>
        <v>45748</v>
      </c>
      <c r="F377" s="259">
        <v>45772</v>
      </c>
      <c r="G377" s="35" t="s">
        <v>118</v>
      </c>
      <c r="H377" s="35" t="str">
        <f>IFERROR(_xlfn.XLOOKUP(Table6[[#This Row],[Affected WTG]],'Basic Data'!$A:$A,'Basic Data'!$B:$B),"")</f>
        <v>TQGXIIPL</v>
      </c>
      <c r="I377" s="35" t="str">
        <f>IFERROR(_xlfn.XLOOKUP(Table6[[#This Row],[Affected WTG]],'Basic Data'!$A:$A,'Basic Data'!$C:$C),"")</f>
        <v>GEDA</v>
      </c>
      <c r="J377" s="260">
        <f>IFERROR(_xlfn.XLOOKUP(Table6[[#This Row],[Affected WTG]],'Basic Data'!$A:$A,'Basic Data'!$E:$E),"")</f>
        <v>3.846153846153845E-2</v>
      </c>
      <c r="K377" s="102">
        <v>630</v>
      </c>
      <c r="L377" s="35" t="str">
        <f>IFERROR(_xlfn.XLOOKUP(Table6[[#This Row],[Error Code]],'Basic Data'!$AA:$AA,'Basic Data'!$AB:$AB),"Incorrect Error Code")</f>
        <v>Overload fan pitch motor</v>
      </c>
      <c r="M377" s="35" t="s">
        <v>266</v>
      </c>
      <c r="N377" s="264"/>
      <c r="O377" s="265">
        <v>1.9444444444444445E-2</v>
      </c>
      <c r="P377" s="265">
        <v>7.0833333333333331E-2</v>
      </c>
      <c r="Q377" s="266">
        <v>0.125</v>
      </c>
      <c r="R377" s="261">
        <f>IF(Table6[[#This Row],[Work Start TimeStamp]]="","",(Table6[[#This Row],[Work Start TimeStamp]]-Table6[[#This Row],[Fault Start TimeStamp]])*24)</f>
        <v>1.2333333333333334</v>
      </c>
      <c r="S377" s="261">
        <f>(Table6[[#This Row],[Fault Clearance time]]-Table6[[#This Row],[Work Start TimeStamp]])*24</f>
        <v>1.3</v>
      </c>
      <c r="T377" s="261">
        <f>(Table6[[#This Row],[Fault Clearance time]]-Table6[[#This Row],[Fault Start TimeStamp]])*24</f>
        <v>2.5333333333333332</v>
      </c>
      <c r="U377" s="35" t="s">
        <v>364</v>
      </c>
      <c r="V377" s="102" t="s">
        <v>268</v>
      </c>
      <c r="W377" s="267">
        <f>IFERROR(Table6[[#This Row],[Breakdown Time]]*Table6[[#This Row],[Plant Equivalent Weightage]],"")</f>
        <v>9.7435897435897395E-2</v>
      </c>
      <c r="X377" s="262" t="s">
        <v>269</v>
      </c>
      <c r="Y377" s="263" t="s">
        <v>121</v>
      </c>
      <c r="Z377" s="102">
        <v>25522</v>
      </c>
      <c r="AA377" s="257">
        <f>(Table6[[#This Row],[Paired WTG Generation for loss calculation]]/24)*Table6[[#This Row],[Breakdown Time]]</f>
        <v>2693.9888888888891</v>
      </c>
      <c r="AB377" s="102"/>
      <c r="AC377" s="35"/>
      <c r="AD377" s="35"/>
    </row>
    <row r="378" spans="1:30">
      <c r="A378" s="102">
        <f t="shared" si="6"/>
        <v>377</v>
      </c>
      <c r="B378" s="257">
        <f>YEAR(Table6[[#This Row],[Date]])+IF(MONTH(Table6[[#This Row],[Date]])&gt;=4,1,0)</f>
        <v>2026</v>
      </c>
      <c r="C378" s="102">
        <f>YEAR(Table6[[#This Row],[Date]])</f>
        <v>2025</v>
      </c>
      <c r="D378" s="102" t="s">
        <v>265</v>
      </c>
      <c r="E378" s="258">
        <f>Table6[[#This Row],[Date]]-DAY(Table6[[#This Row],[Date]])+1</f>
        <v>45748</v>
      </c>
      <c r="F378" s="259">
        <v>45772</v>
      </c>
      <c r="G378" s="35" t="s">
        <v>118</v>
      </c>
      <c r="H378" s="35" t="str">
        <f>IFERROR(_xlfn.XLOOKUP(Table6[[#This Row],[Affected WTG]],'Basic Data'!$A:$A,'Basic Data'!$B:$B),"")</f>
        <v>TQGXIIPL</v>
      </c>
      <c r="I378" s="35" t="str">
        <f>IFERROR(_xlfn.XLOOKUP(Table6[[#This Row],[Affected WTG]],'Basic Data'!$A:$A,'Basic Data'!$C:$C),"")</f>
        <v>GEDA</v>
      </c>
      <c r="J378" s="260">
        <f>IFERROR(_xlfn.XLOOKUP(Table6[[#This Row],[Affected WTG]],'Basic Data'!$A:$A,'Basic Data'!$E:$E),"")</f>
        <v>3.846153846153845E-2</v>
      </c>
      <c r="K378" s="102">
        <v>3250</v>
      </c>
      <c r="L378" s="35" t="str">
        <f>IFERROR(_xlfn.XLOOKUP(Table6[[#This Row],[Error Code]],'Basic Data'!$AA:$AA,'Basic Data'!$AB:$AB),"Incorrect Error Code")</f>
        <v>No power</v>
      </c>
      <c r="M378" s="35" t="s">
        <v>278</v>
      </c>
      <c r="N378" s="264"/>
      <c r="O378" s="265">
        <v>0.17916666666666667</v>
      </c>
      <c r="P378" s="265">
        <v>0.17916666666666667</v>
      </c>
      <c r="Q378" s="266">
        <v>0.17986111111111111</v>
      </c>
      <c r="R378" s="261">
        <f>IF(Table6[[#This Row],[Work Start TimeStamp]]="","",(Table6[[#This Row],[Work Start TimeStamp]]-Table6[[#This Row],[Fault Start TimeStamp]])*24)</f>
        <v>0</v>
      </c>
      <c r="S378" s="261">
        <f>(Table6[[#This Row],[Fault Clearance time]]-Table6[[#This Row],[Work Start TimeStamp]])*24</f>
        <v>1.6666666666666607E-2</v>
      </c>
      <c r="T378" s="261">
        <f>(Table6[[#This Row],[Fault Clearance time]]-Table6[[#This Row],[Fault Start TimeStamp]])*24</f>
        <v>1.6666666666666607E-2</v>
      </c>
      <c r="U378" s="35" t="s">
        <v>277</v>
      </c>
      <c r="V378" s="102" t="s">
        <v>268</v>
      </c>
      <c r="W378" s="267">
        <f>IFERROR(Table6[[#This Row],[Breakdown Time]]*Table6[[#This Row],[Plant Equivalent Weightage]],"")</f>
        <v>6.4102564102563853E-4</v>
      </c>
      <c r="X378" s="262" t="s">
        <v>269</v>
      </c>
      <c r="Y378" s="263" t="s">
        <v>121</v>
      </c>
      <c r="Z378" s="102">
        <v>25522</v>
      </c>
      <c r="AA378" s="257">
        <f>(Table6[[#This Row],[Paired WTG Generation for loss calculation]]/24)*Table6[[#This Row],[Breakdown Time]]</f>
        <v>17.723611111111051</v>
      </c>
      <c r="AB378" s="102"/>
      <c r="AC378" s="35"/>
      <c r="AD378" s="35"/>
    </row>
    <row r="379" spans="1:30">
      <c r="A379" s="102">
        <f t="shared" si="6"/>
        <v>378</v>
      </c>
      <c r="B379" s="257">
        <f>YEAR(Table6[[#This Row],[Date]])+IF(MONTH(Table6[[#This Row],[Date]])&gt;=4,1,0)</f>
        <v>2026</v>
      </c>
      <c r="C379" s="102">
        <f>YEAR(Table6[[#This Row],[Date]])</f>
        <v>2025</v>
      </c>
      <c r="D379" s="102" t="s">
        <v>265</v>
      </c>
      <c r="E379" s="258">
        <f>Table6[[#This Row],[Date]]-DAY(Table6[[#This Row],[Date]])+1</f>
        <v>45748</v>
      </c>
      <c r="F379" s="259">
        <v>45772</v>
      </c>
      <c r="G379" s="35" t="s">
        <v>118</v>
      </c>
      <c r="H379" s="35" t="str">
        <f>IFERROR(_xlfn.XLOOKUP(Table6[[#This Row],[Affected WTG]],'Basic Data'!$A:$A,'Basic Data'!$B:$B),"")</f>
        <v>TQGXIIPL</v>
      </c>
      <c r="I379" s="35" t="str">
        <f>IFERROR(_xlfn.XLOOKUP(Table6[[#This Row],[Affected WTG]],'Basic Data'!$A:$A,'Basic Data'!$C:$C),"")</f>
        <v>GEDA</v>
      </c>
      <c r="J379" s="260">
        <f>IFERROR(_xlfn.XLOOKUP(Table6[[#This Row],[Affected WTG]],'Basic Data'!$A:$A,'Basic Data'!$E:$E),"")</f>
        <v>3.846153846153845E-2</v>
      </c>
      <c r="K379" s="102">
        <v>55</v>
      </c>
      <c r="L379" s="35" t="str">
        <f>IFERROR(_xlfn.XLOOKUP(Table6[[#This Row],[Error Code]],'Basic Data'!$AA:$AA,'Basic Data'!$AB:$AB),"Incorrect Error Code")</f>
        <v>WTG shut down</v>
      </c>
      <c r="M379" s="35" t="s">
        <v>266</v>
      </c>
      <c r="N379" s="264"/>
      <c r="O379" s="265">
        <v>0.21736111111111112</v>
      </c>
      <c r="P379" s="265">
        <v>0.21736111111111112</v>
      </c>
      <c r="Q379" s="266">
        <v>0.22013888888888888</v>
      </c>
      <c r="R379" s="261">
        <f>IF(Table6[[#This Row],[Work Start TimeStamp]]="","",(Table6[[#This Row],[Work Start TimeStamp]]-Table6[[#This Row],[Fault Start TimeStamp]])*24)</f>
        <v>0</v>
      </c>
      <c r="S379" s="261">
        <f>(Table6[[#This Row],[Fault Clearance time]]-Table6[[#This Row],[Work Start TimeStamp]])*24</f>
        <v>6.666666666666643E-2</v>
      </c>
      <c r="T379" s="261">
        <f>(Table6[[#This Row],[Fault Clearance time]]-Table6[[#This Row],[Fault Start TimeStamp]])*24</f>
        <v>6.666666666666643E-2</v>
      </c>
      <c r="U379" s="35" t="s">
        <v>365</v>
      </c>
      <c r="V379" s="102" t="s">
        <v>268</v>
      </c>
      <c r="W379" s="267">
        <f>IFERROR(Table6[[#This Row],[Breakdown Time]]*Table6[[#This Row],[Plant Equivalent Weightage]],"")</f>
        <v>2.5641025641025541E-3</v>
      </c>
      <c r="X379" s="262" t="s">
        <v>269</v>
      </c>
      <c r="Y379" s="263" t="s">
        <v>121</v>
      </c>
      <c r="Z379" s="102">
        <v>25522</v>
      </c>
      <c r="AA379" s="257">
        <f>(Table6[[#This Row],[Paired WTG Generation for loss calculation]]/24)*Table6[[#This Row],[Breakdown Time]]</f>
        <v>70.894444444444204</v>
      </c>
      <c r="AB379" s="102"/>
      <c r="AC379" s="35"/>
      <c r="AD379" s="35"/>
    </row>
    <row r="380" spans="1:30">
      <c r="A380" s="102">
        <f t="shared" si="6"/>
        <v>379</v>
      </c>
      <c r="B380" s="257">
        <f>YEAR(Table6[[#This Row],[Date]])+IF(MONTH(Table6[[#This Row],[Date]])&gt;=4,1,0)</f>
        <v>2026</v>
      </c>
      <c r="C380" s="102">
        <f>YEAR(Table6[[#This Row],[Date]])</f>
        <v>2025</v>
      </c>
      <c r="D380" s="102" t="s">
        <v>265</v>
      </c>
      <c r="E380" s="258">
        <f>Table6[[#This Row],[Date]]-DAY(Table6[[#This Row],[Date]])+1</f>
        <v>45748</v>
      </c>
      <c r="F380" s="259">
        <v>45772</v>
      </c>
      <c r="G380" s="35" t="s">
        <v>119</v>
      </c>
      <c r="H380" s="35" t="str">
        <f>IFERROR(_xlfn.XLOOKUP(Table6[[#This Row],[Affected WTG]],'Basic Data'!$A:$A,'Basic Data'!$B:$B),"")</f>
        <v>TQGXIIPL</v>
      </c>
      <c r="I380" s="35" t="str">
        <f>IFERROR(_xlfn.XLOOKUP(Table6[[#This Row],[Affected WTG]],'Basic Data'!$A:$A,'Basic Data'!$C:$C),"")</f>
        <v>GEDA</v>
      </c>
      <c r="J380" s="260">
        <f>IFERROR(_xlfn.XLOOKUP(Table6[[#This Row],[Affected WTG]],'Basic Data'!$A:$A,'Basic Data'!$E:$E),"")</f>
        <v>3.846153846153845E-2</v>
      </c>
      <c r="K380" s="102">
        <v>3010</v>
      </c>
      <c r="L380" s="35" t="str">
        <f>IFERROR(_xlfn.XLOOKUP(Table6[[#This Row],[Error Code]],'Basic Data'!$AA:$AA,'Basic Data'!$AB:$AB),"Incorrect Error Code")</f>
        <v>Conv. comm.error</v>
      </c>
      <c r="M380" s="35" t="s">
        <v>266</v>
      </c>
      <c r="N380" s="264"/>
      <c r="O380" s="265">
        <v>0.16180555555555556</v>
      </c>
      <c r="P380" s="265">
        <v>0.19166666666666668</v>
      </c>
      <c r="Q380" s="266">
        <v>0.21111111111111111</v>
      </c>
      <c r="R380" s="261">
        <f>IF(Table6[[#This Row],[Work Start TimeStamp]]="","",(Table6[[#This Row],[Work Start TimeStamp]]-Table6[[#This Row],[Fault Start TimeStamp]])*24)</f>
        <v>0.71666666666666679</v>
      </c>
      <c r="S380" s="261">
        <f>(Table6[[#This Row],[Fault Clearance time]]-Table6[[#This Row],[Work Start TimeStamp]])*24</f>
        <v>0.46666666666666634</v>
      </c>
      <c r="T380" s="261">
        <f>(Table6[[#This Row],[Fault Clearance time]]-Table6[[#This Row],[Fault Start TimeStamp]])*24</f>
        <v>1.1833333333333331</v>
      </c>
      <c r="U380" s="35" t="s">
        <v>366</v>
      </c>
      <c r="V380" s="102" t="s">
        <v>268</v>
      </c>
      <c r="W380" s="267">
        <f>IFERROR(Table6[[#This Row],[Breakdown Time]]*Table6[[#This Row],[Plant Equivalent Weightage]],"")</f>
        <v>4.551282051282049E-2</v>
      </c>
      <c r="X380" s="262" t="s">
        <v>269</v>
      </c>
      <c r="Y380" s="263" t="s">
        <v>116</v>
      </c>
      <c r="Z380" s="102">
        <v>30384</v>
      </c>
      <c r="AA380" s="257">
        <f>(Table6[[#This Row],[Paired WTG Generation for loss calculation]]/24)*Table6[[#This Row],[Breakdown Time]]</f>
        <v>1498.0999999999997</v>
      </c>
      <c r="AB380" s="102"/>
      <c r="AC380" s="35"/>
      <c r="AD380" s="35"/>
    </row>
    <row r="381" spans="1:30">
      <c r="A381" s="102">
        <f t="shared" si="6"/>
        <v>380</v>
      </c>
      <c r="B381" s="257">
        <f>YEAR(Table6[[#This Row],[Date]])+IF(MONTH(Table6[[#This Row],[Date]])&gt;=4,1,0)</f>
        <v>2026</v>
      </c>
      <c r="C381" s="102">
        <f>YEAR(Table6[[#This Row],[Date]])</f>
        <v>2025</v>
      </c>
      <c r="D381" s="102" t="s">
        <v>265</v>
      </c>
      <c r="E381" s="258">
        <f>Table6[[#This Row],[Date]]-DAY(Table6[[#This Row],[Date]])+1</f>
        <v>45748</v>
      </c>
      <c r="F381" s="259">
        <v>45772</v>
      </c>
      <c r="G381" s="35" t="s">
        <v>119</v>
      </c>
      <c r="H381" s="35" t="str">
        <f>IFERROR(_xlfn.XLOOKUP(Table6[[#This Row],[Affected WTG]],'Basic Data'!$A:$A,'Basic Data'!$B:$B),"")</f>
        <v>TQGXIIPL</v>
      </c>
      <c r="I381" s="35" t="str">
        <f>IFERROR(_xlfn.XLOOKUP(Table6[[#This Row],[Affected WTG]],'Basic Data'!$A:$A,'Basic Data'!$C:$C),"")</f>
        <v>GEDA</v>
      </c>
      <c r="J381" s="260">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266</v>
      </c>
      <c r="N381" s="264"/>
      <c r="O381" s="265">
        <v>0.80902777777777779</v>
      </c>
      <c r="P381" s="265">
        <v>0.80902777777777779</v>
      </c>
      <c r="Q381" s="266">
        <v>0.83819444444444446</v>
      </c>
      <c r="R381" s="261">
        <f>IF(Table6[[#This Row],[Work Start TimeStamp]]="","",(Table6[[#This Row],[Work Start TimeStamp]]-Table6[[#This Row],[Fault Start TimeStamp]])*24)</f>
        <v>0</v>
      </c>
      <c r="S381" s="261">
        <f>(Table6[[#This Row],[Fault Clearance time]]-Table6[[#This Row],[Work Start TimeStamp]])*24</f>
        <v>0.70000000000000018</v>
      </c>
      <c r="T381" s="261">
        <f>(Table6[[#This Row],[Fault Clearance time]]-Table6[[#This Row],[Fault Start TimeStamp]])*24</f>
        <v>0.70000000000000018</v>
      </c>
      <c r="U381" s="35" t="s">
        <v>367</v>
      </c>
      <c r="V381" s="102" t="s">
        <v>268</v>
      </c>
      <c r="W381" s="267">
        <f>IFERROR(Table6[[#This Row],[Breakdown Time]]*Table6[[#This Row],[Plant Equivalent Weightage]],"")</f>
        <v>2.6923076923076921E-2</v>
      </c>
      <c r="X381" s="262" t="s">
        <v>269</v>
      </c>
      <c r="Y381" s="263" t="s">
        <v>116</v>
      </c>
      <c r="Z381" s="102">
        <v>30384</v>
      </c>
      <c r="AA381" s="257">
        <f>(Table6[[#This Row],[Paired WTG Generation for loss calculation]]/24)*Table6[[#This Row],[Breakdown Time]]</f>
        <v>886.20000000000027</v>
      </c>
      <c r="AB381" s="102"/>
      <c r="AC381" s="35"/>
      <c r="AD381" s="35"/>
    </row>
    <row r="382" spans="1:30">
      <c r="A382" s="102">
        <f t="shared" si="6"/>
        <v>381</v>
      </c>
      <c r="B382" s="257">
        <f>YEAR(Table6[[#This Row],[Date]])+IF(MONTH(Table6[[#This Row],[Date]])&gt;=4,1,0)</f>
        <v>2026</v>
      </c>
      <c r="C382" s="102">
        <f>YEAR(Table6[[#This Row],[Date]])</f>
        <v>2025</v>
      </c>
      <c r="D382" s="102" t="s">
        <v>265</v>
      </c>
      <c r="E382" s="258">
        <f>Table6[[#This Row],[Date]]-DAY(Table6[[#This Row],[Date]])+1</f>
        <v>45748</v>
      </c>
      <c r="F382" s="259">
        <v>45772</v>
      </c>
      <c r="G382" s="35" t="s">
        <v>126</v>
      </c>
      <c r="H382" s="35" t="str">
        <f>IFERROR(_xlfn.XLOOKUP(Table6[[#This Row],[Affected WTG]],'Basic Data'!$A:$A,'Basic Data'!$B:$B),"")</f>
        <v>TQGXIIPL</v>
      </c>
      <c r="I382" s="35" t="str">
        <f>IFERROR(_xlfn.XLOOKUP(Table6[[#This Row],[Affected WTG]],'Basic Data'!$A:$A,'Basic Data'!$C:$C),"")</f>
        <v>GEDA</v>
      </c>
      <c r="J382" s="260">
        <f>IFERROR(_xlfn.XLOOKUP(Table6[[#This Row],[Affected WTG]],'Basic Data'!$A:$A,'Basic Data'!$E:$E),"")</f>
        <v>3.846153846153845E-2</v>
      </c>
      <c r="K382" s="102">
        <v>55</v>
      </c>
      <c r="L382" s="35" t="str">
        <f>IFERROR(_xlfn.XLOOKUP(Table6[[#This Row],[Error Code]],'Basic Data'!$AA:$AA,'Basic Data'!$AB:$AB),"Incorrect Error Code")</f>
        <v>WTG shut down</v>
      </c>
      <c r="M382" s="35" t="s">
        <v>300</v>
      </c>
      <c r="N382" s="264"/>
      <c r="O382" s="265">
        <v>0.85277777777777775</v>
      </c>
      <c r="P382" s="265">
        <v>0.85277777777777775</v>
      </c>
      <c r="Q382" s="266">
        <v>0.87569444444444444</v>
      </c>
      <c r="R382" s="261">
        <f>IF(Table6[[#This Row],[Work Start TimeStamp]]="","",(Table6[[#This Row],[Work Start TimeStamp]]-Table6[[#This Row],[Fault Start TimeStamp]])*24)</f>
        <v>0</v>
      </c>
      <c r="S382" s="261">
        <f>(Table6[[#This Row],[Fault Clearance time]]-Table6[[#This Row],[Work Start TimeStamp]])*24</f>
        <v>0.55000000000000071</v>
      </c>
      <c r="T382" s="261">
        <f>(Table6[[#This Row],[Fault Clearance time]]-Table6[[#This Row],[Fault Start TimeStamp]])*24</f>
        <v>0.55000000000000071</v>
      </c>
      <c r="U382" s="35" t="s">
        <v>301</v>
      </c>
      <c r="V382" s="102" t="s">
        <v>268</v>
      </c>
      <c r="W382" s="267">
        <f>IFERROR(Table6[[#This Row],[Breakdown Time]]*Table6[[#This Row],[Plant Equivalent Weightage]],"")</f>
        <v>2.1153846153846176E-2</v>
      </c>
      <c r="X382" s="262" t="s">
        <v>296</v>
      </c>
      <c r="Y382" s="263" t="s">
        <v>128</v>
      </c>
      <c r="Z382" s="102">
        <v>19630</v>
      </c>
      <c r="AA382" s="257">
        <f>(Table6[[#This Row],[Paired WTG Generation for loss calculation]]/24)*Table6[[#This Row],[Breakdown Time]]</f>
        <v>449.85416666666725</v>
      </c>
      <c r="AB382" s="102"/>
      <c r="AC382" s="35"/>
      <c r="AD382" s="35"/>
    </row>
    <row r="383" spans="1:30">
      <c r="A383" s="102">
        <f t="shared" si="6"/>
        <v>382</v>
      </c>
      <c r="B383" s="257">
        <f>YEAR(Table6[[#This Row],[Date]])+IF(MONTH(Table6[[#This Row],[Date]])&gt;=4,1,0)</f>
        <v>2026</v>
      </c>
      <c r="C383" s="102">
        <f>YEAR(Table6[[#This Row],[Date]])</f>
        <v>2025</v>
      </c>
      <c r="D383" s="102" t="s">
        <v>265</v>
      </c>
      <c r="E383" s="258">
        <f>Table6[[#This Row],[Date]]-DAY(Table6[[#This Row],[Date]])+1</f>
        <v>45748</v>
      </c>
      <c r="F383" s="259">
        <v>45772</v>
      </c>
      <c r="G383" s="35" t="s">
        <v>127</v>
      </c>
      <c r="H383" s="35" t="str">
        <f>IFERROR(_xlfn.XLOOKUP(Table6[[#This Row],[Affected WTG]],'Basic Data'!$A:$A,'Basic Data'!$B:$B),"")</f>
        <v>TQGXIIPL</v>
      </c>
      <c r="I383" s="35" t="str">
        <f>IFERROR(_xlfn.XLOOKUP(Table6[[#This Row],[Affected WTG]],'Basic Data'!$A:$A,'Basic Data'!$C:$C),"")</f>
        <v>GEDA</v>
      </c>
      <c r="J383" s="260">
        <f>IFERROR(_xlfn.XLOOKUP(Table6[[#This Row],[Affected WTG]],'Basic Data'!$A:$A,'Basic Data'!$E:$E),"")</f>
        <v>3.846153846153845E-2</v>
      </c>
      <c r="K383" s="102">
        <v>6130</v>
      </c>
      <c r="L383" s="35" t="str">
        <f>IFERROR(_xlfn.XLOOKUP(Table6[[#This Row],[Error Code]],'Basic Data'!$AA:$AA,'Basic Data'!$AB:$AB),"Incorrect Error Code")</f>
        <v>Yaw speed high</v>
      </c>
      <c r="M383" s="35" t="s">
        <v>266</v>
      </c>
      <c r="N383" s="264"/>
      <c r="O383" s="265">
        <v>0.63749999999999996</v>
      </c>
      <c r="P383" s="265">
        <v>0.63749999999999996</v>
      </c>
      <c r="Q383" s="266">
        <v>0.64166666666666672</v>
      </c>
      <c r="R383" s="261">
        <f>IF(Table6[[#This Row],[Work Start TimeStamp]]="","",(Table6[[#This Row],[Work Start TimeStamp]]-Table6[[#This Row],[Fault Start TimeStamp]])*24)</f>
        <v>0</v>
      </c>
      <c r="S383" s="261">
        <f>(Table6[[#This Row],[Fault Clearance time]]-Table6[[#This Row],[Work Start TimeStamp]])*24</f>
        <v>0.10000000000000231</v>
      </c>
      <c r="T383" s="261">
        <f>(Table6[[#This Row],[Fault Clearance time]]-Table6[[#This Row],[Fault Start TimeStamp]])*24</f>
        <v>0.10000000000000231</v>
      </c>
      <c r="U383" s="35" t="s">
        <v>267</v>
      </c>
      <c r="V383" s="102" t="s">
        <v>268</v>
      </c>
      <c r="W383" s="267">
        <f>IFERROR(Table6[[#This Row],[Breakdown Time]]*Table6[[#This Row],[Plant Equivalent Weightage]],"")</f>
        <v>3.846153846153934E-3</v>
      </c>
      <c r="X383" s="262" t="s">
        <v>269</v>
      </c>
      <c r="Y383" s="263" t="s">
        <v>125</v>
      </c>
      <c r="Z383" s="102">
        <v>20809</v>
      </c>
      <c r="AA383" s="257">
        <f>(Table6[[#This Row],[Paired WTG Generation for loss calculation]]/24)*Table6[[#This Row],[Breakdown Time]]</f>
        <v>86.704166666668669</v>
      </c>
      <c r="AB383" s="102"/>
      <c r="AC383" s="35"/>
      <c r="AD383" s="35"/>
    </row>
    <row r="384" spans="1:30">
      <c r="A384" s="102">
        <f t="shared" si="6"/>
        <v>383</v>
      </c>
      <c r="B384" s="257">
        <f>YEAR(Table6[[#This Row],[Date]])+IF(MONTH(Table6[[#This Row],[Date]])&gt;=4,1,0)</f>
        <v>2026</v>
      </c>
      <c r="C384" s="102">
        <f>YEAR(Table6[[#This Row],[Date]])</f>
        <v>2025</v>
      </c>
      <c r="D384" s="102" t="s">
        <v>265</v>
      </c>
      <c r="E384" s="258">
        <f>Table6[[#This Row],[Date]]-DAY(Table6[[#This Row],[Date]])+1</f>
        <v>45748</v>
      </c>
      <c r="F384" s="259">
        <v>45772</v>
      </c>
      <c r="G384" s="35" t="s">
        <v>128</v>
      </c>
      <c r="H384" s="35" t="str">
        <f>IFERROR(_xlfn.XLOOKUP(Table6[[#This Row],[Affected WTG]],'Basic Data'!$A:$A,'Basic Data'!$B:$B),"")</f>
        <v>TQGXIIPL</v>
      </c>
      <c r="I384" s="35" t="str">
        <f>IFERROR(_xlfn.XLOOKUP(Table6[[#This Row],[Affected WTG]],'Basic Data'!$A:$A,'Basic Data'!$C:$C),"")</f>
        <v>GEDA</v>
      </c>
      <c r="J384" s="260">
        <f>IFERROR(_xlfn.XLOOKUP(Table6[[#This Row],[Affected WTG]],'Basic Data'!$A:$A,'Basic Data'!$E:$E),"")</f>
        <v>3.846153846153845E-2</v>
      </c>
      <c r="K384" s="102">
        <v>55</v>
      </c>
      <c r="L384" s="35" t="str">
        <f>IFERROR(_xlfn.XLOOKUP(Table6[[#This Row],[Error Code]],'Basic Data'!$AA:$AA,'Basic Data'!$AB:$AB),"Incorrect Error Code")</f>
        <v>WTG shut down</v>
      </c>
      <c r="M384" s="35" t="s">
        <v>266</v>
      </c>
      <c r="N384" s="264"/>
      <c r="O384" s="265">
        <v>0.65486111111111112</v>
      </c>
      <c r="P384" s="265">
        <v>0.66527777777777775</v>
      </c>
      <c r="Q384" s="266">
        <v>0.71180555555555558</v>
      </c>
      <c r="R384" s="261">
        <f>IF(Table6[[#This Row],[Work Start TimeStamp]]="","",(Table6[[#This Row],[Work Start TimeStamp]]-Table6[[#This Row],[Fault Start TimeStamp]])*24)</f>
        <v>0.24999999999999911</v>
      </c>
      <c r="S384" s="261">
        <f>(Table6[[#This Row],[Fault Clearance time]]-Table6[[#This Row],[Work Start TimeStamp]])*24</f>
        <v>1.116666666666668</v>
      </c>
      <c r="T384" s="261">
        <f>(Table6[[#This Row],[Fault Clearance time]]-Table6[[#This Row],[Fault Start TimeStamp]])*24</f>
        <v>1.3666666666666671</v>
      </c>
      <c r="U384" s="35" t="s">
        <v>361</v>
      </c>
      <c r="V384" s="102" t="s">
        <v>268</v>
      </c>
      <c r="W384" s="267">
        <f>IFERROR(Table6[[#This Row],[Breakdown Time]]*Table6[[#This Row],[Plant Equivalent Weightage]],"")</f>
        <v>5.2564102564102565E-2</v>
      </c>
      <c r="X384" s="262" t="s">
        <v>296</v>
      </c>
      <c r="Y384" s="263" t="s">
        <v>126</v>
      </c>
      <c r="Z384" s="102">
        <v>19079</v>
      </c>
      <c r="AA384" s="257">
        <f>(Table6[[#This Row],[Paired WTG Generation for loss calculation]]/24)*Table6[[#This Row],[Breakdown Time]]</f>
        <v>1086.4430555555559</v>
      </c>
      <c r="AB384" s="102"/>
      <c r="AC384" s="35"/>
      <c r="AD384" s="35"/>
    </row>
    <row r="385" spans="1:30">
      <c r="A385" s="102">
        <f t="shared" si="6"/>
        <v>384</v>
      </c>
      <c r="B385" s="257">
        <f>YEAR(Table6[[#This Row],[Date]])+IF(MONTH(Table6[[#This Row],[Date]])&gt;=4,1,0)</f>
        <v>2026</v>
      </c>
      <c r="C385" s="102">
        <f>YEAR(Table6[[#This Row],[Date]])</f>
        <v>2025</v>
      </c>
      <c r="D385" s="102" t="s">
        <v>265</v>
      </c>
      <c r="E385" s="258">
        <f>Table6[[#This Row],[Date]]-DAY(Table6[[#This Row],[Date]])+1</f>
        <v>45748</v>
      </c>
      <c r="F385" s="259">
        <v>45772</v>
      </c>
      <c r="G385" s="35" t="s">
        <v>132</v>
      </c>
      <c r="H385" s="35" t="str">
        <f>IFERROR(_xlfn.XLOOKUP(Table6[[#This Row],[Affected WTG]],'Basic Data'!$A:$A,'Basic Data'!$B:$B),"")</f>
        <v>TQGXIIPL</v>
      </c>
      <c r="I385" s="35" t="str">
        <f>IFERROR(_xlfn.XLOOKUP(Table6[[#This Row],[Affected WTG]],'Basic Data'!$A:$A,'Basic Data'!$C:$C),"")</f>
        <v>GEDA</v>
      </c>
      <c r="J385" s="260">
        <f>IFERROR(_xlfn.XLOOKUP(Table6[[#This Row],[Affected WTG]],'Basic Data'!$A:$A,'Basic Data'!$E:$E),"")</f>
        <v>3.846153846153845E-2</v>
      </c>
      <c r="K385" s="102">
        <v>55</v>
      </c>
      <c r="L385" s="35" t="str">
        <f>IFERROR(_xlfn.XLOOKUP(Table6[[#This Row],[Error Code]],'Basic Data'!$AA:$AA,'Basic Data'!$AB:$AB),"Incorrect Error Code")</f>
        <v>WTG shut down</v>
      </c>
      <c r="M385" s="35" t="s">
        <v>291</v>
      </c>
      <c r="N385" s="264"/>
      <c r="O385" s="265">
        <v>0.37638888888888888</v>
      </c>
      <c r="P385" s="265">
        <v>0.37638888888888888</v>
      </c>
      <c r="Q385" s="266">
        <v>0.72291666666666665</v>
      </c>
      <c r="R385" s="261">
        <f>IF(Table6[[#This Row],[Work Start TimeStamp]]="","",(Table6[[#This Row],[Work Start TimeStamp]]-Table6[[#This Row],[Fault Start TimeStamp]])*24)</f>
        <v>0</v>
      </c>
      <c r="S385" s="261">
        <f>(Table6[[#This Row],[Fault Clearance time]]-Table6[[#This Row],[Work Start TimeStamp]])*24</f>
        <v>8.3166666666666664</v>
      </c>
      <c r="T385" s="261">
        <f>(Table6[[#This Row],[Fault Clearance time]]-Table6[[#This Row],[Fault Start TimeStamp]])*24</f>
        <v>8.3166666666666664</v>
      </c>
      <c r="U385" s="35" t="s">
        <v>368</v>
      </c>
      <c r="V385" s="102" t="s">
        <v>268</v>
      </c>
      <c r="W385" s="267">
        <f>IFERROR(Table6[[#This Row],[Breakdown Time]]*Table6[[#This Row],[Plant Equivalent Weightage]],"")</f>
        <v>0.31987179487179479</v>
      </c>
      <c r="X385" s="262" t="s">
        <v>296</v>
      </c>
      <c r="Y385" s="263" t="s">
        <v>120</v>
      </c>
      <c r="Z385" s="102">
        <v>24475</v>
      </c>
      <c r="AA385" s="257">
        <f>(Table6[[#This Row],[Paired WTG Generation for loss calculation]]/24)*Table6[[#This Row],[Breakdown Time]]</f>
        <v>8481.2673611111113</v>
      </c>
      <c r="AB385" s="102"/>
      <c r="AC385" s="35"/>
      <c r="AD385" s="35"/>
    </row>
    <row r="386" spans="1:30">
      <c r="A386" s="102">
        <f t="shared" si="6"/>
        <v>385</v>
      </c>
      <c r="B386" s="257">
        <f>YEAR(Table6[[#This Row],[Date]])+IF(MONTH(Table6[[#This Row],[Date]])&gt;=4,1,0)</f>
        <v>2026</v>
      </c>
      <c r="C386" s="102">
        <f>YEAR(Table6[[#This Row],[Date]])</f>
        <v>2025</v>
      </c>
      <c r="D386" s="102" t="s">
        <v>265</v>
      </c>
      <c r="E386" s="258">
        <f>Table6[[#This Row],[Date]]-DAY(Table6[[#This Row],[Date]])+1</f>
        <v>45748</v>
      </c>
      <c r="F386" s="259">
        <v>45772</v>
      </c>
      <c r="G386" s="35" t="s">
        <v>132</v>
      </c>
      <c r="H386" s="35" t="str">
        <f>IFERROR(_xlfn.XLOOKUP(Table6[[#This Row],[Affected WTG]],'Basic Data'!$A:$A,'Basic Data'!$B:$B),"")</f>
        <v>TQGXIIPL</v>
      </c>
      <c r="I386" s="35" t="str">
        <f>IFERROR(_xlfn.XLOOKUP(Table6[[#This Row],[Affected WTG]],'Basic Data'!$A:$A,'Basic Data'!$C:$C),"")</f>
        <v>GEDA</v>
      </c>
      <c r="J386" s="260">
        <f>IFERROR(_xlfn.XLOOKUP(Table6[[#This Row],[Affected WTG]],'Basic Data'!$A:$A,'Basic Data'!$E:$E),"")</f>
        <v>3.846153846153845E-2</v>
      </c>
      <c r="K386" s="102">
        <v>55</v>
      </c>
      <c r="L386" s="35" t="str">
        <f>IFERROR(_xlfn.XLOOKUP(Table6[[#This Row],[Error Code]],'Basic Data'!$AA:$AA,'Basic Data'!$AB:$AB),"Incorrect Error Code")</f>
        <v>WTG shut down</v>
      </c>
      <c r="M386" s="35" t="s">
        <v>266</v>
      </c>
      <c r="N386" s="264"/>
      <c r="O386" s="265">
        <v>0.8305555555555556</v>
      </c>
      <c r="P386" s="265">
        <v>0.8305555555555556</v>
      </c>
      <c r="Q386" s="266">
        <v>0.83263888888888893</v>
      </c>
      <c r="R386" s="261">
        <f>IF(Table6[[#This Row],[Work Start TimeStamp]]="","",(Table6[[#This Row],[Work Start TimeStamp]]-Table6[[#This Row],[Fault Start TimeStamp]])*24)</f>
        <v>0</v>
      </c>
      <c r="S386" s="261">
        <f>(Table6[[#This Row],[Fault Clearance time]]-Table6[[#This Row],[Work Start TimeStamp]])*24</f>
        <v>4.9999999999999822E-2</v>
      </c>
      <c r="T386" s="261">
        <f>(Table6[[#This Row],[Fault Clearance time]]-Table6[[#This Row],[Fault Start TimeStamp]])*24</f>
        <v>4.9999999999999822E-2</v>
      </c>
      <c r="U386" s="35" t="s">
        <v>369</v>
      </c>
      <c r="V386" s="102" t="s">
        <v>268</v>
      </c>
      <c r="W386" s="267">
        <f>IFERROR(Table6[[#This Row],[Breakdown Time]]*Table6[[#This Row],[Plant Equivalent Weightage]],"")</f>
        <v>1.9230769230769156E-3</v>
      </c>
      <c r="X386" s="262" t="s">
        <v>296</v>
      </c>
      <c r="Y386" s="263" t="s">
        <v>120</v>
      </c>
      <c r="Z386" s="102">
        <v>24475</v>
      </c>
      <c r="AA386" s="257">
        <f>(Table6[[#This Row],[Paired WTG Generation for loss calculation]]/24)*Table6[[#This Row],[Breakdown Time]]</f>
        <v>50.989583333333151</v>
      </c>
      <c r="AB386" s="102"/>
      <c r="AC386" s="35"/>
      <c r="AD386" s="35"/>
    </row>
    <row r="387" spans="1:30">
      <c r="A387" s="102">
        <f t="shared" si="6"/>
        <v>386</v>
      </c>
      <c r="B387" s="257">
        <f>YEAR(Table6[[#This Row],[Date]])+IF(MONTH(Table6[[#This Row],[Date]])&gt;=4,1,0)</f>
        <v>2026</v>
      </c>
      <c r="C387" s="102">
        <f>YEAR(Table6[[#This Row],[Date]])</f>
        <v>2025</v>
      </c>
      <c r="D387" s="102" t="s">
        <v>265</v>
      </c>
      <c r="E387" s="258">
        <f>Table6[[#This Row],[Date]]-DAY(Table6[[#This Row],[Date]])+1</f>
        <v>45748</v>
      </c>
      <c r="F387" s="259">
        <v>45772</v>
      </c>
      <c r="G387" s="35" t="s">
        <v>132</v>
      </c>
      <c r="H387" s="35" t="str">
        <f>IFERROR(_xlfn.XLOOKUP(Table6[[#This Row],[Affected WTG]],'Basic Data'!$A:$A,'Basic Data'!$B:$B),"")</f>
        <v>TQGXIIPL</v>
      </c>
      <c r="I387" s="35" t="str">
        <f>IFERROR(_xlfn.XLOOKUP(Table6[[#This Row],[Affected WTG]],'Basic Data'!$A:$A,'Basic Data'!$C:$C),"")</f>
        <v>GEDA</v>
      </c>
      <c r="J387" s="260">
        <f>IFERROR(_xlfn.XLOOKUP(Table6[[#This Row],[Affected WTG]],'Basic Data'!$A:$A,'Basic Data'!$E:$E),"")</f>
        <v>3.846153846153845E-2</v>
      </c>
      <c r="K387" s="102">
        <v>60</v>
      </c>
      <c r="L387" s="35" t="str">
        <f>IFERROR(_xlfn.XLOOKUP(Table6[[#This Row],[Error Code]],'Basic Data'!$AA:$AA,'Basic Data'!$AB:$AB),"Incorrect Error Code")</f>
        <v>Wind &gt; power</v>
      </c>
      <c r="M387" s="35" t="s">
        <v>266</v>
      </c>
      <c r="N387" s="264"/>
      <c r="O387" s="265">
        <v>0.84791666666666665</v>
      </c>
      <c r="P387" s="265">
        <v>0.84791666666666665</v>
      </c>
      <c r="Q387" s="266">
        <v>0.85347222222222219</v>
      </c>
      <c r="R387" s="261">
        <f>IF(Table6[[#This Row],[Work Start TimeStamp]]="","",(Table6[[#This Row],[Work Start TimeStamp]]-Table6[[#This Row],[Fault Start TimeStamp]])*24)</f>
        <v>0</v>
      </c>
      <c r="S387" s="261">
        <f>(Table6[[#This Row],[Fault Clearance time]]-Table6[[#This Row],[Work Start TimeStamp]])*24</f>
        <v>0.13333333333333286</v>
      </c>
      <c r="T387" s="261">
        <f>(Table6[[#This Row],[Fault Clearance time]]-Table6[[#This Row],[Fault Start TimeStamp]])*24</f>
        <v>0.13333333333333286</v>
      </c>
      <c r="U387" s="35" t="s">
        <v>267</v>
      </c>
      <c r="V387" s="102" t="s">
        <v>268</v>
      </c>
      <c r="W387" s="267">
        <f>IFERROR(Table6[[#This Row],[Breakdown Time]]*Table6[[#This Row],[Plant Equivalent Weightage]],"")</f>
        <v>5.1282051282051083E-3</v>
      </c>
      <c r="X387" s="262" t="s">
        <v>269</v>
      </c>
      <c r="Y387" s="263" t="s">
        <v>120</v>
      </c>
      <c r="Z387" s="102">
        <v>24475</v>
      </c>
      <c r="AA387" s="257">
        <f>(Table6[[#This Row],[Paired WTG Generation for loss calculation]]/24)*Table6[[#This Row],[Breakdown Time]]</f>
        <v>135.97222222222175</v>
      </c>
      <c r="AB387" s="102"/>
      <c r="AC387" s="35"/>
      <c r="AD387" s="35"/>
    </row>
    <row r="388" spans="1:30">
      <c r="A388" s="102">
        <f t="shared" si="6"/>
        <v>387</v>
      </c>
      <c r="B388" s="257">
        <f>YEAR(Table6[[#This Row],[Date]])+IF(MONTH(Table6[[#This Row],[Date]])&gt;=4,1,0)</f>
        <v>2026</v>
      </c>
      <c r="C388" s="102">
        <f>YEAR(Table6[[#This Row],[Date]])</f>
        <v>2025</v>
      </c>
      <c r="D388" s="102" t="s">
        <v>265</v>
      </c>
      <c r="E388" s="258">
        <f>Table6[[#This Row],[Date]]-DAY(Table6[[#This Row],[Date]])+1</f>
        <v>45748</v>
      </c>
      <c r="F388" s="259">
        <v>45772</v>
      </c>
      <c r="G388" s="35" t="s">
        <v>132</v>
      </c>
      <c r="H388" s="35" t="str">
        <f>IFERROR(_xlfn.XLOOKUP(Table6[[#This Row],[Affected WTG]],'Basic Data'!$A:$A,'Basic Data'!$B:$B),"")</f>
        <v>TQGXIIPL</v>
      </c>
      <c r="I388" s="35" t="str">
        <f>IFERROR(_xlfn.XLOOKUP(Table6[[#This Row],[Affected WTG]],'Basic Data'!$A:$A,'Basic Data'!$C:$C),"")</f>
        <v>GEDA</v>
      </c>
      <c r="J388" s="260">
        <f>IFERROR(_xlfn.XLOOKUP(Table6[[#This Row],[Affected WTG]],'Basic Data'!$A:$A,'Basic Data'!$E:$E),"")</f>
        <v>3.846153846153845E-2</v>
      </c>
      <c r="K388" s="102">
        <v>60</v>
      </c>
      <c r="L388" s="35" t="str">
        <f>IFERROR(_xlfn.XLOOKUP(Table6[[#This Row],[Error Code]],'Basic Data'!$AA:$AA,'Basic Data'!$AB:$AB),"Incorrect Error Code")</f>
        <v>Wind &gt; power</v>
      </c>
      <c r="M388" s="35" t="s">
        <v>266</v>
      </c>
      <c r="N388" s="264"/>
      <c r="O388" s="265">
        <v>0.86944444444444446</v>
      </c>
      <c r="P388" s="265">
        <v>0.86944444444444446</v>
      </c>
      <c r="Q388" s="266">
        <v>0.88124999999999998</v>
      </c>
      <c r="R388" s="261">
        <f>IF(Table6[[#This Row],[Work Start TimeStamp]]="","",(Table6[[#This Row],[Work Start TimeStamp]]-Table6[[#This Row],[Fault Start TimeStamp]])*24)</f>
        <v>0</v>
      </c>
      <c r="S388" s="261">
        <f>(Table6[[#This Row],[Fault Clearance time]]-Table6[[#This Row],[Work Start TimeStamp]])*24</f>
        <v>0.28333333333333233</v>
      </c>
      <c r="T388" s="261">
        <f>(Table6[[#This Row],[Fault Clearance time]]-Table6[[#This Row],[Fault Start TimeStamp]])*24</f>
        <v>0.28333333333333233</v>
      </c>
      <c r="U388" s="35" t="s">
        <v>370</v>
      </c>
      <c r="V388" s="102" t="s">
        <v>268</v>
      </c>
      <c r="W388" s="267">
        <f>IFERROR(Table6[[#This Row],[Breakdown Time]]*Table6[[#This Row],[Plant Equivalent Weightage]],"")</f>
        <v>1.0897435897435855E-2</v>
      </c>
      <c r="X388" s="262" t="s">
        <v>269</v>
      </c>
      <c r="Y388" s="263" t="s">
        <v>120</v>
      </c>
      <c r="Z388" s="102">
        <v>24475</v>
      </c>
      <c r="AA388" s="257">
        <f>(Table6[[#This Row],[Paired WTG Generation for loss calculation]]/24)*Table6[[#This Row],[Breakdown Time]]</f>
        <v>288.94097222222121</v>
      </c>
      <c r="AB388" s="102"/>
      <c r="AC388" s="35"/>
      <c r="AD388" s="35"/>
    </row>
    <row r="389" spans="1:30">
      <c r="A389" s="102">
        <f t="shared" si="6"/>
        <v>388</v>
      </c>
      <c r="B389" s="257">
        <f>YEAR(Table6[[#This Row],[Date]])+IF(MONTH(Table6[[#This Row],[Date]])&gt;=4,1,0)</f>
        <v>2026</v>
      </c>
      <c r="C389" s="102">
        <f>YEAR(Table6[[#This Row],[Date]])</f>
        <v>2025</v>
      </c>
      <c r="D389" s="102" t="s">
        <v>265</v>
      </c>
      <c r="E389" s="258">
        <f>Table6[[#This Row],[Date]]-DAY(Table6[[#This Row],[Date]])+1</f>
        <v>45748</v>
      </c>
      <c r="F389" s="259">
        <v>45772</v>
      </c>
      <c r="G389" s="35" t="s">
        <v>132</v>
      </c>
      <c r="H389" s="35" t="str">
        <f>IFERROR(_xlfn.XLOOKUP(Table6[[#This Row],[Affected WTG]],'Basic Data'!$A:$A,'Basic Data'!$B:$B),"")</f>
        <v>TQGXIIPL</v>
      </c>
      <c r="I389" s="35" t="str">
        <f>IFERROR(_xlfn.XLOOKUP(Table6[[#This Row],[Affected WTG]],'Basic Data'!$A:$A,'Basic Data'!$C:$C),"")</f>
        <v>GEDA</v>
      </c>
      <c r="J389" s="260">
        <f>IFERROR(_xlfn.XLOOKUP(Table6[[#This Row],[Affected WTG]],'Basic Data'!$A:$A,'Basic Data'!$E:$E),"")</f>
        <v>3.846153846153845E-2</v>
      </c>
      <c r="K389" s="102">
        <v>60</v>
      </c>
      <c r="L389" s="35" t="str">
        <f>IFERROR(_xlfn.XLOOKUP(Table6[[#This Row],[Error Code]],'Basic Data'!$AA:$AA,'Basic Data'!$AB:$AB),"Incorrect Error Code")</f>
        <v>Wind &gt; power</v>
      </c>
      <c r="M389" s="35" t="s">
        <v>266</v>
      </c>
      <c r="N389" s="264"/>
      <c r="O389" s="265">
        <v>0.89722222222222225</v>
      </c>
      <c r="P389" s="265">
        <v>0.89722222222222225</v>
      </c>
      <c r="Q389" s="266">
        <v>0.91527777777777775</v>
      </c>
      <c r="R389" s="261">
        <f>IF(Table6[[#This Row],[Work Start TimeStamp]]="","",(Table6[[#This Row],[Work Start TimeStamp]]-Table6[[#This Row],[Fault Start TimeStamp]])*24)</f>
        <v>0</v>
      </c>
      <c r="S389" s="261">
        <f>(Table6[[#This Row],[Fault Clearance time]]-Table6[[#This Row],[Work Start TimeStamp]])*24</f>
        <v>0.43333333333333179</v>
      </c>
      <c r="T389" s="261">
        <f>(Table6[[#This Row],[Fault Clearance time]]-Table6[[#This Row],[Fault Start TimeStamp]])*24</f>
        <v>0.43333333333333179</v>
      </c>
      <c r="U389" s="35" t="s">
        <v>370</v>
      </c>
      <c r="V389" s="102" t="s">
        <v>268</v>
      </c>
      <c r="W389" s="267">
        <f>IFERROR(Table6[[#This Row],[Breakdown Time]]*Table6[[#This Row],[Plant Equivalent Weightage]],"")</f>
        <v>1.6666666666666604E-2</v>
      </c>
      <c r="X389" s="262" t="s">
        <v>269</v>
      </c>
      <c r="Y389" s="263" t="s">
        <v>120</v>
      </c>
      <c r="Z389" s="102">
        <v>24475</v>
      </c>
      <c r="AA389" s="257">
        <f>(Table6[[#This Row],[Paired WTG Generation for loss calculation]]/24)*Table6[[#This Row],[Breakdown Time]]</f>
        <v>441.90972222222064</v>
      </c>
      <c r="AB389" s="102"/>
      <c r="AC389" s="35"/>
      <c r="AD389" s="35"/>
    </row>
    <row r="390" spans="1:30">
      <c r="A390" s="102">
        <f t="shared" si="6"/>
        <v>389</v>
      </c>
      <c r="B390" s="257">
        <f>YEAR(Table6[[#This Row],[Date]])+IF(MONTH(Table6[[#This Row],[Date]])&gt;=4,1,0)</f>
        <v>2026</v>
      </c>
      <c r="C390" s="102">
        <f>YEAR(Table6[[#This Row],[Date]])</f>
        <v>2025</v>
      </c>
      <c r="D390" s="102" t="s">
        <v>265</v>
      </c>
      <c r="E390" s="258">
        <f>Table6[[#This Row],[Date]]-DAY(Table6[[#This Row],[Date]])+1</f>
        <v>45748</v>
      </c>
      <c r="F390" s="259">
        <v>45772</v>
      </c>
      <c r="G390" s="35" t="s">
        <v>132</v>
      </c>
      <c r="H390" s="35" t="str">
        <f>IFERROR(_xlfn.XLOOKUP(Table6[[#This Row],[Affected WTG]],'Basic Data'!$A:$A,'Basic Data'!$B:$B),"")</f>
        <v>TQGXIIPL</v>
      </c>
      <c r="I390" s="35" t="str">
        <f>IFERROR(_xlfn.XLOOKUP(Table6[[#This Row],[Affected WTG]],'Basic Data'!$A:$A,'Basic Data'!$C:$C),"")</f>
        <v>GEDA</v>
      </c>
      <c r="J390" s="260">
        <f>IFERROR(_xlfn.XLOOKUP(Table6[[#This Row],[Affected WTG]],'Basic Data'!$A:$A,'Basic Data'!$E:$E),"")</f>
        <v>3.846153846153845E-2</v>
      </c>
      <c r="K390" s="102">
        <v>55</v>
      </c>
      <c r="L390" s="35" t="str">
        <f>IFERROR(_xlfn.XLOOKUP(Table6[[#This Row],[Error Code]],'Basic Data'!$AA:$AA,'Basic Data'!$AB:$AB),"Incorrect Error Code")</f>
        <v>WTG shut down</v>
      </c>
      <c r="M390" s="35" t="s">
        <v>266</v>
      </c>
      <c r="N390" s="264"/>
      <c r="O390" s="265">
        <v>0.91805555555555551</v>
      </c>
      <c r="P390" s="265">
        <v>0.91805555555555551</v>
      </c>
      <c r="Q390" s="266">
        <v>0.92569444444444449</v>
      </c>
      <c r="R390" s="261">
        <f>IF(Table6[[#This Row],[Work Start TimeStamp]]="","",(Table6[[#This Row],[Work Start TimeStamp]]-Table6[[#This Row],[Fault Start TimeStamp]])*24)</f>
        <v>0</v>
      </c>
      <c r="S390" s="261">
        <f>(Table6[[#This Row],[Fault Clearance time]]-Table6[[#This Row],[Work Start TimeStamp]])*24</f>
        <v>0.18333333333333535</v>
      </c>
      <c r="T390" s="261">
        <f>(Table6[[#This Row],[Fault Clearance time]]-Table6[[#This Row],[Fault Start TimeStamp]])*24</f>
        <v>0.18333333333333535</v>
      </c>
      <c r="U390" s="35" t="s">
        <v>371</v>
      </c>
      <c r="V390" s="102" t="s">
        <v>268</v>
      </c>
      <c r="W390" s="267">
        <f>IFERROR(Table6[[#This Row],[Breakdown Time]]*Table6[[#This Row],[Plant Equivalent Weightage]],"")</f>
        <v>7.0512820512821268E-3</v>
      </c>
      <c r="X390" s="262" t="s">
        <v>296</v>
      </c>
      <c r="Y390" s="263" t="s">
        <v>120</v>
      </c>
      <c r="Z390" s="102">
        <v>24475</v>
      </c>
      <c r="AA390" s="257">
        <f>(Table6[[#This Row],[Paired WTG Generation for loss calculation]]/24)*Table6[[#This Row],[Breakdown Time]]</f>
        <v>186.96180555555759</v>
      </c>
      <c r="AB390" s="102"/>
      <c r="AC390" s="35"/>
      <c r="AD390" s="35"/>
    </row>
    <row r="391" spans="1:30">
      <c r="A391" s="102">
        <f t="shared" si="6"/>
        <v>390</v>
      </c>
      <c r="B391" s="257">
        <f>YEAR(Table6[[#This Row],[Date]])+IF(MONTH(Table6[[#This Row],[Date]])&gt;=4,1,0)</f>
        <v>2026</v>
      </c>
      <c r="C391" s="102">
        <f>YEAR(Table6[[#This Row],[Date]])</f>
        <v>2025</v>
      </c>
      <c r="D391" s="102" t="s">
        <v>265</v>
      </c>
      <c r="E391" s="258">
        <f>Table6[[#This Row],[Date]]-DAY(Table6[[#This Row],[Date]])+1</f>
        <v>45748</v>
      </c>
      <c r="F391" s="259">
        <v>45772</v>
      </c>
      <c r="G391" s="35" t="s">
        <v>134</v>
      </c>
      <c r="H391" s="35" t="str">
        <f>IFERROR(_xlfn.XLOOKUP(Table6[[#This Row],[Affected WTG]],'Basic Data'!$A:$A,'Basic Data'!$B:$B),"")</f>
        <v>TQGXIIPL</v>
      </c>
      <c r="I391" s="35" t="str">
        <f>IFERROR(_xlfn.XLOOKUP(Table6[[#This Row],[Affected WTG]],'Basic Data'!$A:$A,'Basic Data'!$C:$C),"")</f>
        <v>GEDA</v>
      </c>
      <c r="J391" s="260">
        <f>IFERROR(_xlfn.XLOOKUP(Table6[[#This Row],[Affected WTG]],'Basic Data'!$A:$A,'Basic Data'!$E:$E),"")</f>
        <v>3.846153846153845E-2</v>
      </c>
      <c r="K391" s="102">
        <v>55</v>
      </c>
      <c r="L391" s="35" t="str">
        <f>IFERROR(_xlfn.XLOOKUP(Table6[[#This Row],[Error Code]],'Basic Data'!$AA:$AA,'Basic Data'!$AB:$AB),"Incorrect Error Code")</f>
        <v>WTG shut down</v>
      </c>
      <c r="M391" s="35" t="s">
        <v>271</v>
      </c>
      <c r="N391" s="264"/>
      <c r="O391" s="265">
        <v>0.30763888888888891</v>
      </c>
      <c r="P391" s="265">
        <v>0.30763888888888891</v>
      </c>
      <c r="Q391" s="266">
        <v>0.625</v>
      </c>
      <c r="R391" s="261">
        <f>IF(Table6[[#This Row],[Work Start TimeStamp]]="","",(Table6[[#This Row],[Work Start TimeStamp]]-Table6[[#This Row],[Fault Start TimeStamp]])*24)</f>
        <v>0</v>
      </c>
      <c r="S391" s="261">
        <f>(Table6[[#This Row],[Fault Clearance time]]-Table6[[#This Row],[Work Start TimeStamp]])*24</f>
        <v>7.6166666666666663</v>
      </c>
      <c r="T391" s="261">
        <f>(Table6[[#This Row],[Fault Clearance time]]-Table6[[#This Row],[Fault Start TimeStamp]])*24</f>
        <v>7.6166666666666663</v>
      </c>
      <c r="U391" s="35" t="s">
        <v>272</v>
      </c>
      <c r="V391" s="102" t="s">
        <v>268</v>
      </c>
      <c r="W391" s="267">
        <f>IFERROR(Table6[[#This Row],[Breakdown Time]]*Table6[[#This Row],[Plant Equivalent Weightage]],"")</f>
        <v>0.29294871794871785</v>
      </c>
      <c r="X391" s="262" t="s">
        <v>273</v>
      </c>
      <c r="Y391" s="263" t="s">
        <v>138</v>
      </c>
      <c r="Z391" s="102">
        <v>22510</v>
      </c>
      <c r="AA391" s="257">
        <f>(Table6[[#This Row],[Paired WTG Generation for loss calculation]]/24)*Table6[[#This Row],[Breakdown Time]]</f>
        <v>7143.7986111111104</v>
      </c>
      <c r="AB391" s="102"/>
      <c r="AC391" s="35"/>
      <c r="AD391" s="35"/>
    </row>
    <row r="392" spans="1:30">
      <c r="A392" s="102">
        <f t="shared" si="6"/>
        <v>391</v>
      </c>
      <c r="B392" s="257">
        <f>YEAR(Table6[[#This Row],[Date]])+IF(MONTH(Table6[[#This Row],[Date]])&gt;=4,1,0)</f>
        <v>2026</v>
      </c>
      <c r="C392" s="102">
        <f>YEAR(Table6[[#This Row],[Date]])</f>
        <v>2025</v>
      </c>
      <c r="D392" s="102" t="s">
        <v>265</v>
      </c>
      <c r="E392" s="258">
        <f>Table6[[#This Row],[Date]]-DAY(Table6[[#This Row],[Date]])+1</f>
        <v>45748</v>
      </c>
      <c r="F392" s="259">
        <v>45773</v>
      </c>
      <c r="G392" s="35" t="s">
        <v>117</v>
      </c>
      <c r="H392" s="35" t="str">
        <f>IFERROR(_xlfn.XLOOKUP(Table6[[#This Row],[Affected WTG]],'Basic Data'!$A:$A,'Basic Data'!$B:$B),"")</f>
        <v>TQGXIIPL</v>
      </c>
      <c r="I392" s="35" t="str">
        <f>IFERROR(_xlfn.XLOOKUP(Table6[[#This Row],[Affected WTG]],'Basic Data'!$A:$A,'Basic Data'!$C:$C),"")</f>
        <v>GEDA</v>
      </c>
      <c r="J392" s="260">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266</v>
      </c>
      <c r="N392" s="264"/>
      <c r="O392" s="265">
        <v>0.46041666666666664</v>
      </c>
      <c r="P392" s="265">
        <v>0.46041666666666664</v>
      </c>
      <c r="Q392" s="266">
        <v>0.46736111111111112</v>
      </c>
      <c r="R392" s="261">
        <f>IF(Table6[[#This Row],[Work Start TimeStamp]]="","",(Table6[[#This Row],[Work Start TimeStamp]]-Table6[[#This Row],[Fault Start TimeStamp]])*24)</f>
        <v>0</v>
      </c>
      <c r="S392" s="261">
        <f>(Table6[[#This Row],[Fault Clearance time]]-Table6[[#This Row],[Work Start TimeStamp]])*24</f>
        <v>0.16666666666666741</v>
      </c>
      <c r="T392" s="261">
        <f>(Table6[[#This Row],[Fault Clearance time]]-Table6[[#This Row],[Fault Start TimeStamp]])*24</f>
        <v>0.16666666666666741</v>
      </c>
      <c r="U392" s="35" t="s">
        <v>267</v>
      </c>
      <c r="V392" s="102" t="s">
        <v>268</v>
      </c>
      <c r="W392" s="267">
        <f>IFERROR(Table6[[#This Row],[Breakdown Time]]*Table6[[#This Row],[Plant Equivalent Weightage]],"")</f>
        <v>6.4102564102564369E-3</v>
      </c>
      <c r="X392" s="262" t="s">
        <v>269</v>
      </c>
      <c r="Y392" s="263" t="s">
        <v>123</v>
      </c>
      <c r="Z392" s="102">
        <v>21341</v>
      </c>
      <c r="AA392" s="257">
        <f>(Table6[[#This Row],[Paired WTG Generation for loss calculation]]/24)*Table6[[#This Row],[Breakdown Time]]</f>
        <v>148.20138888888954</v>
      </c>
      <c r="AB392" s="102"/>
      <c r="AC392" s="35"/>
      <c r="AD392" s="35"/>
    </row>
    <row r="393" spans="1:30">
      <c r="A393" s="102">
        <f t="shared" si="6"/>
        <v>392</v>
      </c>
      <c r="B393" s="257">
        <f>YEAR(Table6[[#This Row],[Date]])+IF(MONTH(Table6[[#This Row],[Date]])&gt;=4,1,0)</f>
        <v>2026</v>
      </c>
      <c r="C393" s="102">
        <f>YEAR(Table6[[#This Row],[Date]])</f>
        <v>2025</v>
      </c>
      <c r="D393" s="102" t="s">
        <v>265</v>
      </c>
      <c r="E393" s="258">
        <f>Table6[[#This Row],[Date]]-DAY(Table6[[#This Row],[Date]])+1</f>
        <v>45748</v>
      </c>
      <c r="F393" s="259">
        <v>45773</v>
      </c>
      <c r="G393" s="35" t="s">
        <v>118</v>
      </c>
      <c r="H393" s="35" t="str">
        <f>IFERROR(_xlfn.XLOOKUP(Table6[[#This Row],[Affected WTG]],'Basic Data'!$A:$A,'Basic Data'!$B:$B),"")</f>
        <v>TQGXIIPL</v>
      </c>
      <c r="I393" s="35" t="str">
        <f>IFERROR(_xlfn.XLOOKUP(Table6[[#This Row],[Affected WTG]],'Basic Data'!$A:$A,'Basic Data'!$C:$C),"")</f>
        <v>GEDA</v>
      </c>
      <c r="J393" s="260">
        <f>IFERROR(_xlfn.XLOOKUP(Table6[[#This Row],[Affected WTG]],'Basic Data'!$A:$A,'Basic Data'!$E:$E),"")</f>
        <v>3.846153846153845E-2</v>
      </c>
      <c r="K393" s="102">
        <v>6130</v>
      </c>
      <c r="L393" s="35" t="str">
        <f>IFERROR(_xlfn.XLOOKUP(Table6[[#This Row],[Error Code]],'Basic Data'!$AA:$AA,'Basic Data'!$AB:$AB),"Incorrect Error Code")</f>
        <v>Yaw speed high</v>
      </c>
      <c r="M393" s="35" t="s">
        <v>266</v>
      </c>
      <c r="N393" s="264"/>
      <c r="O393" s="265">
        <v>0.6743055555555556</v>
      </c>
      <c r="P393" s="265">
        <v>0.6743055555555556</v>
      </c>
      <c r="Q393" s="266">
        <v>0.67847222222222225</v>
      </c>
      <c r="R393" s="261">
        <f>IF(Table6[[#This Row],[Work Start TimeStamp]]="","",(Table6[[#This Row],[Work Start TimeStamp]]-Table6[[#This Row],[Fault Start TimeStamp]])*24)</f>
        <v>0</v>
      </c>
      <c r="S393" s="261">
        <f>(Table6[[#This Row],[Fault Clearance time]]-Table6[[#This Row],[Work Start TimeStamp]])*24</f>
        <v>9.9999999999999645E-2</v>
      </c>
      <c r="T393" s="261">
        <f>(Table6[[#This Row],[Fault Clearance time]]-Table6[[#This Row],[Fault Start TimeStamp]])*24</f>
        <v>9.9999999999999645E-2</v>
      </c>
      <c r="U393" s="35" t="s">
        <v>267</v>
      </c>
      <c r="V393" s="102" t="s">
        <v>268</v>
      </c>
      <c r="W393" s="267">
        <f>IFERROR(Table6[[#This Row],[Breakdown Time]]*Table6[[#This Row],[Plant Equivalent Weightage]],"")</f>
        <v>3.8461538461538312E-3</v>
      </c>
      <c r="X393" s="262" t="s">
        <v>269</v>
      </c>
      <c r="Y393" s="263" t="s">
        <v>121</v>
      </c>
      <c r="Z393" s="102">
        <v>32148</v>
      </c>
      <c r="AA393" s="257">
        <f>(Table6[[#This Row],[Paired WTG Generation for loss calculation]]/24)*Table6[[#This Row],[Breakdown Time]]</f>
        <v>133.94999999999953</v>
      </c>
      <c r="AB393" s="102"/>
      <c r="AC393" s="35"/>
      <c r="AD393" s="35"/>
    </row>
    <row r="394" spans="1:30">
      <c r="A394" s="102">
        <f t="shared" si="6"/>
        <v>393</v>
      </c>
      <c r="B394" s="257">
        <f>YEAR(Table6[[#This Row],[Date]])+IF(MONTH(Table6[[#This Row],[Date]])&gt;=4,1,0)</f>
        <v>2026</v>
      </c>
      <c r="C394" s="102">
        <f>YEAR(Table6[[#This Row],[Date]])</f>
        <v>2025</v>
      </c>
      <c r="D394" s="102" t="s">
        <v>265</v>
      </c>
      <c r="E394" s="258">
        <f>Table6[[#This Row],[Date]]-DAY(Table6[[#This Row],[Date]])+1</f>
        <v>45748</v>
      </c>
      <c r="F394" s="259">
        <v>45773</v>
      </c>
      <c r="G394" s="35" t="s">
        <v>119</v>
      </c>
      <c r="H394" s="35" t="str">
        <f>IFERROR(_xlfn.XLOOKUP(Table6[[#This Row],[Affected WTG]],'Basic Data'!$A:$A,'Basic Data'!$B:$B),"")</f>
        <v>TQGXIIPL</v>
      </c>
      <c r="I394" s="35" t="str">
        <f>IFERROR(_xlfn.XLOOKUP(Table6[[#This Row],[Affected WTG]],'Basic Data'!$A:$A,'Basic Data'!$C:$C),"")</f>
        <v>GEDA</v>
      </c>
      <c r="J394" s="260">
        <f>IFERROR(_xlfn.XLOOKUP(Table6[[#This Row],[Affected WTG]],'Basic Data'!$A:$A,'Basic Data'!$E:$E),"")</f>
        <v>3.846153846153845E-2</v>
      </c>
      <c r="K394" s="102">
        <v>55</v>
      </c>
      <c r="L394" s="35" t="str">
        <f>IFERROR(_xlfn.XLOOKUP(Table6[[#This Row],[Error Code]],'Basic Data'!$AA:$AA,'Basic Data'!$AB:$AB),"Incorrect Error Code")</f>
        <v>WTG shut down</v>
      </c>
      <c r="M394" s="35" t="s">
        <v>300</v>
      </c>
      <c r="N394" s="264"/>
      <c r="O394" s="265">
        <v>0.7993055555555556</v>
      </c>
      <c r="P394" s="265">
        <v>0.7993055555555556</v>
      </c>
      <c r="Q394" s="266">
        <v>0.90486111111111112</v>
      </c>
      <c r="R394" s="261">
        <f>IF(Table6[[#This Row],[Work Start TimeStamp]]="","",(Table6[[#This Row],[Work Start TimeStamp]]-Table6[[#This Row],[Fault Start TimeStamp]])*24)</f>
        <v>0</v>
      </c>
      <c r="S394" s="261">
        <f>(Table6[[#This Row],[Fault Clearance time]]-Table6[[#This Row],[Work Start TimeStamp]])*24</f>
        <v>2.5333333333333323</v>
      </c>
      <c r="T394" s="261">
        <f>(Table6[[#This Row],[Fault Clearance time]]-Table6[[#This Row],[Fault Start TimeStamp]])*24</f>
        <v>2.5333333333333323</v>
      </c>
      <c r="U394" s="35" t="s">
        <v>301</v>
      </c>
      <c r="V394" s="102" t="s">
        <v>268</v>
      </c>
      <c r="W394" s="267">
        <f>IFERROR(Table6[[#This Row],[Breakdown Time]]*Table6[[#This Row],[Plant Equivalent Weightage]],"")</f>
        <v>9.7435897435897367E-2</v>
      </c>
      <c r="X394" s="262" t="s">
        <v>296</v>
      </c>
      <c r="Y394" s="263" t="s">
        <v>116</v>
      </c>
      <c r="Z394" s="102">
        <v>30087</v>
      </c>
      <c r="AA394" s="257">
        <f>(Table6[[#This Row],[Paired WTG Generation for loss calculation]]/24)*Table6[[#This Row],[Breakdown Time]]</f>
        <v>3175.8499999999985</v>
      </c>
      <c r="AB394" s="102"/>
      <c r="AC394" s="35"/>
      <c r="AD394" s="35"/>
    </row>
    <row r="395" spans="1:30">
      <c r="A395" s="102">
        <f t="shared" si="6"/>
        <v>394</v>
      </c>
      <c r="B395" s="257">
        <f>YEAR(Table6[[#This Row],[Date]])+IF(MONTH(Table6[[#This Row],[Date]])&gt;=4,1,0)</f>
        <v>2026</v>
      </c>
      <c r="C395" s="102">
        <f>YEAR(Table6[[#This Row],[Date]])</f>
        <v>2025</v>
      </c>
      <c r="D395" s="102" t="s">
        <v>265</v>
      </c>
      <c r="E395" s="258">
        <f>Table6[[#This Row],[Date]]-DAY(Table6[[#This Row],[Date]])+1</f>
        <v>45748</v>
      </c>
      <c r="F395" s="259">
        <v>45773</v>
      </c>
      <c r="G395" s="35" t="s">
        <v>124</v>
      </c>
      <c r="H395" s="35" t="str">
        <f>IFERROR(_xlfn.XLOOKUP(Table6[[#This Row],[Affected WTG]],'Basic Data'!$A:$A,'Basic Data'!$B:$B),"")</f>
        <v>TQGXIIPL</v>
      </c>
      <c r="I395" s="35" t="str">
        <f>IFERROR(_xlfn.XLOOKUP(Table6[[#This Row],[Affected WTG]],'Basic Data'!$A:$A,'Basic Data'!$C:$C),"")</f>
        <v>GEDA</v>
      </c>
      <c r="J395" s="260">
        <f>IFERROR(_xlfn.XLOOKUP(Table6[[#This Row],[Affected WTG]],'Basic Data'!$A:$A,'Basic Data'!$E:$E),"")</f>
        <v>3.846153846153845E-2</v>
      </c>
      <c r="K395" s="102">
        <v>55</v>
      </c>
      <c r="L395" s="35" t="str">
        <f>IFERROR(_xlfn.XLOOKUP(Table6[[#This Row],[Error Code]],'Basic Data'!$AA:$AA,'Basic Data'!$AB:$AB),"Incorrect Error Code")</f>
        <v>WTG shut down</v>
      </c>
      <c r="M395" s="35" t="s">
        <v>266</v>
      </c>
      <c r="N395" s="264"/>
      <c r="O395" s="265">
        <v>0.68958333333333333</v>
      </c>
      <c r="P395" s="265">
        <v>0.68958333333333333</v>
      </c>
      <c r="Q395" s="266">
        <v>0.74652777777777779</v>
      </c>
      <c r="R395" s="261">
        <f>IF(Table6[[#This Row],[Work Start TimeStamp]]="","",(Table6[[#This Row],[Work Start TimeStamp]]-Table6[[#This Row],[Fault Start TimeStamp]])*24)</f>
        <v>0</v>
      </c>
      <c r="S395" s="261">
        <f>(Table6[[#This Row],[Fault Clearance time]]-Table6[[#This Row],[Work Start TimeStamp]])*24</f>
        <v>1.3666666666666671</v>
      </c>
      <c r="T395" s="261">
        <f>(Table6[[#This Row],[Fault Clearance time]]-Table6[[#This Row],[Fault Start TimeStamp]])*24</f>
        <v>1.3666666666666671</v>
      </c>
      <c r="U395" s="35" t="s">
        <v>361</v>
      </c>
      <c r="V395" s="102" t="s">
        <v>268</v>
      </c>
      <c r="W395" s="267">
        <f>IFERROR(Table6[[#This Row],[Breakdown Time]]*Table6[[#This Row],[Plant Equivalent Weightage]],"")</f>
        <v>5.2564102564102565E-2</v>
      </c>
      <c r="X395" s="262" t="s">
        <v>296</v>
      </c>
      <c r="Y395" s="263" t="s">
        <v>129</v>
      </c>
      <c r="Z395" s="102">
        <v>21293</v>
      </c>
      <c r="AA395" s="257">
        <f>(Table6[[#This Row],[Paired WTG Generation for loss calculation]]/24)*Table6[[#This Row],[Breakdown Time]]</f>
        <v>1212.518055555556</v>
      </c>
      <c r="AB395" s="102"/>
      <c r="AC395" s="35"/>
      <c r="AD395" s="35"/>
    </row>
    <row r="396" spans="1:30">
      <c r="A396" s="102">
        <f t="shared" si="6"/>
        <v>395</v>
      </c>
      <c r="B396" s="257">
        <f>YEAR(Table6[[#This Row],[Date]])+IF(MONTH(Table6[[#This Row],[Date]])&gt;=4,1,0)</f>
        <v>2026</v>
      </c>
      <c r="C396" s="102">
        <f>YEAR(Table6[[#This Row],[Date]])</f>
        <v>2025</v>
      </c>
      <c r="D396" s="102" t="s">
        <v>265</v>
      </c>
      <c r="E396" s="258">
        <f>Table6[[#This Row],[Date]]-DAY(Table6[[#This Row],[Date]])+1</f>
        <v>45748</v>
      </c>
      <c r="F396" s="259">
        <v>45773</v>
      </c>
      <c r="G396" s="35" t="s">
        <v>125</v>
      </c>
      <c r="H396" s="35" t="str">
        <f>IFERROR(_xlfn.XLOOKUP(Table6[[#This Row],[Affected WTG]],'Basic Data'!$A:$A,'Basic Data'!$B:$B),"")</f>
        <v>TQGXIIPL</v>
      </c>
      <c r="I396" s="35" t="str">
        <f>IFERROR(_xlfn.XLOOKUP(Table6[[#This Row],[Affected WTG]],'Basic Data'!$A:$A,'Basic Data'!$C:$C),"")</f>
        <v>GEDA</v>
      </c>
      <c r="J396" s="260">
        <f>IFERROR(_xlfn.XLOOKUP(Table6[[#This Row],[Affected WTG]],'Basic Data'!$A:$A,'Basic Data'!$E:$E),"")</f>
        <v>3.846153846153845E-2</v>
      </c>
      <c r="K396" s="102">
        <v>55</v>
      </c>
      <c r="L396" s="35" t="str">
        <f>IFERROR(_xlfn.XLOOKUP(Table6[[#This Row],[Error Code]],'Basic Data'!$AA:$AA,'Basic Data'!$AB:$AB),"Incorrect Error Code")</f>
        <v>WTG shut down</v>
      </c>
      <c r="M396" s="35" t="s">
        <v>266</v>
      </c>
      <c r="N396" s="264"/>
      <c r="O396" s="265">
        <v>0.61527777777777781</v>
      </c>
      <c r="P396" s="265">
        <v>0.61527777777777781</v>
      </c>
      <c r="Q396" s="266">
        <v>0.66666666666666663</v>
      </c>
      <c r="R396" s="261">
        <f>IF(Table6[[#This Row],[Work Start TimeStamp]]="","",(Table6[[#This Row],[Work Start TimeStamp]]-Table6[[#This Row],[Fault Start TimeStamp]])*24)</f>
        <v>0</v>
      </c>
      <c r="S396" s="261">
        <f>(Table6[[#This Row],[Fault Clearance time]]-Table6[[#This Row],[Work Start TimeStamp]])*24</f>
        <v>1.2333333333333316</v>
      </c>
      <c r="T396" s="261">
        <f>(Table6[[#This Row],[Fault Clearance time]]-Table6[[#This Row],[Fault Start TimeStamp]])*24</f>
        <v>1.2333333333333316</v>
      </c>
      <c r="U396" s="35" t="s">
        <v>361</v>
      </c>
      <c r="V396" s="102" t="s">
        <v>268</v>
      </c>
      <c r="W396" s="267">
        <f>IFERROR(Table6[[#This Row],[Breakdown Time]]*Table6[[#This Row],[Plant Equivalent Weightage]],"")</f>
        <v>4.7435897435897358E-2</v>
      </c>
      <c r="X396" s="262" t="s">
        <v>296</v>
      </c>
      <c r="Y396" s="263" t="s">
        <v>126</v>
      </c>
      <c r="Z396" s="102">
        <v>21342</v>
      </c>
      <c r="AA396" s="257">
        <f>(Table6[[#This Row],[Paired WTG Generation for loss calculation]]/24)*Table6[[#This Row],[Breakdown Time]]</f>
        <v>1096.7416666666652</v>
      </c>
      <c r="AB396" s="102"/>
      <c r="AC396" s="35"/>
      <c r="AD396" s="35"/>
    </row>
    <row r="397" spans="1:30">
      <c r="A397" s="102">
        <f t="shared" si="6"/>
        <v>396</v>
      </c>
      <c r="B397" s="257">
        <f>YEAR(Table6[[#This Row],[Date]])+IF(MONTH(Table6[[#This Row],[Date]])&gt;=4,1,0)</f>
        <v>2026</v>
      </c>
      <c r="C397" s="102">
        <f>YEAR(Table6[[#This Row],[Date]])</f>
        <v>2025</v>
      </c>
      <c r="D397" s="102" t="s">
        <v>265</v>
      </c>
      <c r="E397" s="258">
        <f>Table6[[#This Row],[Date]]-DAY(Table6[[#This Row],[Date]])+1</f>
        <v>45748</v>
      </c>
      <c r="F397" s="259">
        <v>45773</v>
      </c>
      <c r="G397" s="35" t="s">
        <v>127</v>
      </c>
      <c r="H397" s="35" t="str">
        <f>IFERROR(_xlfn.XLOOKUP(Table6[[#This Row],[Affected WTG]],'Basic Data'!$A:$A,'Basic Data'!$B:$B),"")</f>
        <v>TQGXIIPL</v>
      </c>
      <c r="I397" s="35" t="str">
        <f>IFERROR(_xlfn.XLOOKUP(Table6[[#This Row],[Affected WTG]],'Basic Data'!$A:$A,'Basic Data'!$C:$C),"")</f>
        <v>GEDA</v>
      </c>
      <c r="J397" s="260">
        <f>IFERROR(_xlfn.XLOOKUP(Table6[[#This Row],[Affected WTG]],'Basic Data'!$A:$A,'Basic Data'!$E:$E),"")</f>
        <v>3.846153846153845E-2</v>
      </c>
      <c r="K397" s="102">
        <v>55</v>
      </c>
      <c r="L397" s="35" t="str">
        <f>IFERROR(_xlfn.XLOOKUP(Table6[[#This Row],[Error Code]],'Basic Data'!$AA:$AA,'Basic Data'!$AB:$AB),"Incorrect Error Code")</f>
        <v>WTG shut down</v>
      </c>
      <c r="M397" s="35" t="s">
        <v>266</v>
      </c>
      <c r="N397" s="264"/>
      <c r="O397" s="265">
        <v>0.45</v>
      </c>
      <c r="P397" s="265">
        <v>0.45</v>
      </c>
      <c r="Q397" s="266">
        <v>0.5</v>
      </c>
      <c r="R397" s="261">
        <f>IF(Table6[[#This Row],[Work Start TimeStamp]]="","",(Table6[[#This Row],[Work Start TimeStamp]]-Table6[[#This Row],[Fault Start TimeStamp]])*24)</f>
        <v>0</v>
      </c>
      <c r="S397" s="261">
        <f>(Table6[[#This Row],[Fault Clearance time]]-Table6[[#This Row],[Work Start TimeStamp]])*24</f>
        <v>1.1999999999999997</v>
      </c>
      <c r="T397" s="261">
        <f>(Table6[[#This Row],[Fault Clearance time]]-Table6[[#This Row],[Fault Start TimeStamp]])*24</f>
        <v>1.1999999999999997</v>
      </c>
      <c r="U397" s="35" t="s">
        <v>361</v>
      </c>
      <c r="V397" s="102" t="s">
        <v>268</v>
      </c>
      <c r="W397" s="267">
        <f>IFERROR(Table6[[#This Row],[Breakdown Time]]*Table6[[#This Row],[Plant Equivalent Weightage]],"")</f>
        <v>4.6153846153846129E-2</v>
      </c>
      <c r="X397" s="262" t="s">
        <v>296</v>
      </c>
      <c r="Y397" s="263" t="s">
        <v>125</v>
      </c>
      <c r="Z397" s="102">
        <v>20631</v>
      </c>
      <c r="AA397" s="257">
        <f>(Table6[[#This Row],[Paired WTG Generation for loss calculation]]/24)*Table6[[#This Row],[Breakdown Time]]</f>
        <v>1031.5499999999997</v>
      </c>
      <c r="AB397" s="102"/>
      <c r="AC397" s="35"/>
      <c r="AD397" s="35"/>
    </row>
    <row r="398" spans="1:30">
      <c r="A398" s="102">
        <f t="shared" ref="A398:A461" si="7">A397+1</f>
        <v>397</v>
      </c>
      <c r="B398" s="257">
        <f>YEAR(Table6[[#This Row],[Date]])+IF(MONTH(Table6[[#This Row],[Date]])&gt;=4,1,0)</f>
        <v>2026</v>
      </c>
      <c r="C398" s="102">
        <f>YEAR(Table6[[#This Row],[Date]])</f>
        <v>2025</v>
      </c>
      <c r="D398" s="102" t="s">
        <v>265</v>
      </c>
      <c r="E398" s="258">
        <f>Table6[[#This Row],[Date]]-DAY(Table6[[#This Row],[Date]])+1</f>
        <v>45748</v>
      </c>
      <c r="F398" s="259">
        <v>45773</v>
      </c>
      <c r="G398" s="35" t="s">
        <v>127</v>
      </c>
      <c r="H398" s="35" t="str">
        <f>IFERROR(_xlfn.XLOOKUP(Table6[[#This Row],[Affected WTG]],'Basic Data'!$A:$A,'Basic Data'!$B:$B),"")</f>
        <v>TQGXIIPL</v>
      </c>
      <c r="I398" s="35" t="str">
        <f>IFERROR(_xlfn.XLOOKUP(Table6[[#This Row],[Affected WTG]],'Basic Data'!$A:$A,'Basic Data'!$C:$C),"")</f>
        <v>GEDA</v>
      </c>
      <c r="J398" s="260">
        <f>IFERROR(_xlfn.XLOOKUP(Table6[[#This Row],[Affected WTG]],'Basic Data'!$A:$A,'Basic Data'!$E:$E),"")</f>
        <v>3.846153846153845E-2</v>
      </c>
      <c r="K398" s="102">
        <v>55</v>
      </c>
      <c r="L398" s="35" t="str">
        <f>IFERROR(_xlfn.XLOOKUP(Table6[[#This Row],[Error Code]],'Basic Data'!$AA:$AA,'Basic Data'!$AB:$AB),"Incorrect Error Code")</f>
        <v>WTG shut down</v>
      </c>
      <c r="M398" s="35" t="s">
        <v>266</v>
      </c>
      <c r="N398" s="264"/>
      <c r="O398" s="265">
        <v>0.5</v>
      </c>
      <c r="P398" s="265">
        <v>0.5</v>
      </c>
      <c r="Q398" s="266">
        <v>0.55208333333333337</v>
      </c>
      <c r="R398" s="261">
        <f>IF(Table6[[#This Row],[Work Start TimeStamp]]="","",(Table6[[#This Row],[Work Start TimeStamp]]-Table6[[#This Row],[Fault Start TimeStamp]])*24)</f>
        <v>0</v>
      </c>
      <c r="S398" s="261">
        <f>(Table6[[#This Row],[Fault Clearance time]]-Table6[[#This Row],[Work Start TimeStamp]])*24</f>
        <v>1.2500000000000009</v>
      </c>
      <c r="T398" s="261">
        <f>(Table6[[#This Row],[Fault Clearance time]]-Table6[[#This Row],[Fault Start TimeStamp]])*24</f>
        <v>1.2500000000000009</v>
      </c>
      <c r="U398" s="35" t="s">
        <v>372</v>
      </c>
      <c r="V398" s="102" t="s">
        <v>268</v>
      </c>
      <c r="W398" s="267">
        <f>IFERROR(Table6[[#This Row],[Breakdown Time]]*Table6[[#This Row],[Plant Equivalent Weightage]],"")</f>
        <v>4.8076923076923093E-2</v>
      </c>
      <c r="X398" s="262" t="s">
        <v>296</v>
      </c>
      <c r="Y398" s="263" t="s">
        <v>125</v>
      </c>
      <c r="Z398" s="102">
        <v>20631</v>
      </c>
      <c r="AA398" s="257">
        <f>(Table6[[#This Row],[Paired WTG Generation for loss calculation]]/24)*Table6[[#This Row],[Breakdown Time]]</f>
        <v>1074.5312500000007</v>
      </c>
      <c r="AB398" s="102"/>
      <c r="AC398" s="35"/>
      <c r="AD398" s="35"/>
    </row>
    <row r="399" spans="1:30">
      <c r="A399" s="102">
        <f t="shared" si="7"/>
        <v>398</v>
      </c>
      <c r="B399" s="257">
        <f>YEAR(Table6[[#This Row],[Date]])+IF(MONTH(Table6[[#This Row],[Date]])&gt;=4,1,0)</f>
        <v>2026</v>
      </c>
      <c r="C399" s="102">
        <f>YEAR(Table6[[#This Row],[Date]])</f>
        <v>2025</v>
      </c>
      <c r="D399" s="102" t="s">
        <v>265</v>
      </c>
      <c r="E399" s="258">
        <f>Table6[[#This Row],[Date]]-DAY(Table6[[#This Row],[Date]])+1</f>
        <v>45748</v>
      </c>
      <c r="F399" s="259">
        <v>45773</v>
      </c>
      <c r="G399" s="35" t="s">
        <v>127</v>
      </c>
      <c r="H399" s="35" t="str">
        <f>IFERROR(_xlfn.XLOOKUP(Table6[[#This Row],[Affected WTG]],'Basic Data'!$A:$A,'Basic Data'!$B:$B),"")</f>
        <v>TQGXIIPL</v>
      </c>
      <c r="I399" s="35" t="str">
        <f>IFERROR(_xlfn.XLOOKUP(Table6[[#This Row],[Affected WTG]],'Basic Data'!$A:$A,'Basic Data'!$C:$C),"")</f>
        <v>GEDA</v>
      </c>
      <c r="J399" s="260">
        <f>IFERROR(_xlfn.XLOOKUP(Table6[[#This Row],[Affected WTG]],'Basic Data'!$A:$A,'Basic Data'!$E:$E),"")</f>
        <v>3.846153846153845E-2</v>
      </c>
      <c r="K399" s="102">
        <v>55</v>
      </c>
      <c r="L399" s="35" t="str">
        <f>IFERROR(_xlfn.XLOOKUP(Table6[[#This Row],[Error Code]],'Basic Data'!$AA:$AA,'Basic Data'!$AB:$AB),"Incorrect Error Code")</f>
        <v>WTG shut down</v>
      </c>
      <c r="M399" s="35" t="s">
        <v>266</v>
      </c>
      <c r="N399" s="264"/>
      <c r="O399" s="265">
        <v>0.56666666666666665</v>
      </c>
      <c r="P399" s="265">
        <v>0.56666666666666665</v>
      </c>
      <c r="Q399" s="266">
        <v>0.6</v>
      </c>
      <c r="R399" s="261">
        <f>IF(Table6[[#This Row],[Work Start TimeStamp]]="","",(Table6[[#This Row],[Work Start TimeStamp]]-Table6[[#This Row],[Fault Start TimeStamp]])*24)</f>
        <v>0</v>
      </c>
      <c r="S399" s="261">
        <f>(Table6[[#This Row],[Fault Clearance time]]-Table6[[#This Row],[Work Start TimeStamp]])*24</f>
        <v>0.79999999999999982</v>
      </c>
      <c r="T399" s="261">
        <f>(Table6[[#This Row],[Fault Clearance time]]-Table6[[#This Row],[Fault Start TimeStamp]])*24</f>
        <v>0.79999999999999982</v>
      </c>
      <c r="U399" s="35" t="s">
        <v>372</v>
      </c>
      <c r="V399" s="102" t="s">
        <v>268</v>
      </c>
      <c r="W399" s="267">
        <f>IFERROR(Table6[[#This Row],[Breakdown Time]]*Table6[[#This Row],[Plant Equivalent Weightage]],"")</f>
        <v>3.0769230769230754E-2</v>
      </c>
      <c r="X399" s="262" t="s">
        <v>296</v>
      </c>
      <c r="Y399" s="263" t="s">
        <v>125</v>
      </c>
      <c r="Z399" s="102">
        <v>20631</v>
      </c>
      <c r="AA399" s="257">
        <f>(Table6[[#This Row],[Paired WTG Generation for loss calculation]]/24)*Table6[[#This Row],[Breakdown Time]]</f>
        <v>687.69999999999982</v>
      </c>
      <c r="AB399" s="102"/>
      <c r="AC399" s="35"/>
      <c r="AD399" s="35"/>
    </row>
    <row r="400" spans="1:30">
      <c r="A400" s="102">
        <f t="shared" si="7"/>
        <v>399</v>
      </c>
      <c r="B400" s="257">
        <f>YEAR(Table6[[#This Row],[Date]])+IF(MONTH(Table6[[#This Row],[Date]])&gt;=4,1,0)</f>
        <v>2026</v>
      </c>
      <c r="C400" s="102">
        <f>YEAR(Table6[[#This Row],[Date]])</f>
        <v>2025</v>
      </c>
      <c r="D400" s="102" t="s">
        <v>265</v>
      </c>
      <c r="E400" s="258">
        <f>Table6[[#This Row],[Date]]-DAY(Table6[[#This Row],[Date]])+1</f>
        <v>45748</v>
      </c>
      <c r="F400" s="259">
        <v>45773</v>
      </c>
      <c r="G400" s="35" t="s">
        <v>131</v>
      </c>
      <c r="H400" s="35" t="str">
        <f>IFERROR(_xlfn.XLOOKUP(Table6[[#This Row],[Affected WTG]],'Basic Data'!$A:$A,'Basic Data'!$B:$B),"")</f>
        <v>TQGXIIPL</v>
      </c>
      <c r="I400" s="35" t="str">
        <f>IFERROR(_xlfn.XLOOKUP(Table6[[#This Row],[Affected WTG]],'Basic Data'!$A:$A,'Basic Data'!$C:$C),"")</f>
        <v>GEDA</v>
      </c>
      <c r="J400" s="260">
        <f>IFERROR(_xlfn.XLOOKUP(Table6[[#This Row],[Affected WTG]],'Basic Data'!$A:$A,'Basic Data'!$E:$E),"")</f>
        <v>3.846153846153845E-2</v>
      </c>
      <c r="K400" s="102">
        <v>55</v>
      </c>
      <c r="L400" s="35" t="str">
        <f>IFERROR(_xlfn.XLOOKUP(Table6[[#This Row],[Error Code]],'Basic Data'!$AA:$AA,'Basic Data'!$AB:$AB),"Incorrect Error Code")</f>
        <v>WTG shut down</v>
      </c>
      <c r="M400" s="35" t="s">
        <v>291</v>
      </c>
      <c r="N400" s="264"/>
      <c r="O400" s="265">
        <v>0.39166666666666666</v>
      </c>
      <c r="P400" s="265">
        <v>0.39166666666666666</v>
      </c>
      <c r="Q400" s="266">
        <v>0.67500000000000004</v>
      </c>
      <c r="R400" s="261">
        <f>IF(Table6[[#This Row],[Work Start TimeStamp]]="","",(Table6[[#This Row],[Work Start TimeStamp]]-Table6[[#This Row],[Fault Start TimeStamp]])*24)</f>
        <v>0</v>
      </c>
      <c r="S400" s="261">
        <f>(Table6[[#This Row],[Fault Clearance time]]-Table6[[#This Row],[Work Start TimeStamp]])*24</f>
        <v>6.8000000000000007</v>
      </c>
      <c r="T400" s="261">
        <f>(Table6[[#This Row],[Fault Clearance time]]-Table6[[#This Row],[Fault Start TimeStamp]])*24</f>
        <v>6.8000000000000007</v>
      </c>
      <c r="U400" s="35" t="s">
        <v>360</v>
      </c>
      <c r="V400" s="102" t="s">
        <v>268</v>
      </c>
      <c r="W400" s="267">
        <f>IFERROR(Table6[[#This Row],[Breakdown Time]]*Table6[[#This Row],[Plant Equivalent Weightage]],"")</f>
        <v>0.2615384615384615</v>
      </c>
      <c r="X400" s="262" t="s">
        <v>296</v>
      </c>
      <c r="Y400" s="263" t="s">
        <v>136</v>
      </c>
      <c r="Z400" s="102">
        <v>28932</v>
      </c>
      <c r="AA400" s="257">
        <f>(Table6[[#This Row],[Paired WTG Generation for loss calculation]]/24)*Table6[[#This Row],[Breakdown Time]]</f>
        <v>8197.4000000000015</v>
      </c>
      <c r="AB400" s="102"/>
      <c r="AC400" s="35"/>
      <c r="AD400" s="35"/>
    </row>
    <row r="401" spans="1:30">
      <c r="A401" s="102">
        <f t="shared" si="7"/>
        <v>400</v>
      </c>
      <c r="B401" s="257">
        <f>YEAR(Table6[[#This Row],[Date]])+IF(MONTH(Table6[[#This Row],[Date]])&gt;=4,1,0)</f>
        <v>2026</v>
      </c>
      <c r="C401" s="102">
        <f>YEAR(Table6[[#This Row],[Date]])</f>
        <v>2025</v>
      </c>
      <c r="D401" s="102" t="s">
        <v>265</v>
      </c>
      <c r="E401" s="258">
        <f>Table6[[#This Row],[Date]]-DAY(Table6[[#This Row],[Date]])+1</f>
        <v>45748</v>
      </c>
      <c r="F401" s="259">
        <v>45773</v>
      </c>
      <c r="G401" s="35" t="s">
        <v>132</v>
      </c>
      <c r="H401" s="35" t="str">
        <f>IFERROR(_xlfn.XLOOKUP(Table6[[#This Row],[Affected WTG]],'Basic Data'!$A:$A,'Basic Data'!$B:$B),"")</f>
        <v>TQGXIIPL</v>
      </c>
      <c r="I401" s="35" t="str">
        <f>IFERROR(_xlfn.XLOOKUP(Table6[[#This Row],[Affected WTG]],'Basic Data'!$A:$A,'Basic Data'!$C:$C),"")</f>
        <v>GEDA</v>
      </c>
      <c r="J401" s="260">
        <f>IFERROR(_xlfn.XLOOKUP(Table6[[#This Row],[Affected WTG]],'Basic Data'!$A:$A,'Basic Data'!$E:$E),"")</f>
        <v>3.846153846153845E-2</v>
      </c>
      <c r="K401" s="102">
        <v>55</v>
      </c>
      <c r="L401" s="35" t="str">
        <f>IFERROR(_xlfn.XLOOKUP(Table6[[#This Row],[Error Code]],'Basic Data'!$AA:$AA,'Basic Data'!$AB:$AB),"Incorrect Error Code")</f>
        <v>WTG shut down</v>
      </c>
      <c r="M401" s="35" t="s">
        <v>266</v>
      </c>
      <c r="N401" s="264"/>
      <c r="O401" s="265">
        <v>0.58263888888888893</v>
      </c>
      <c r="P401" s="265">
        <v>0.58263888888888893</v>
      </c>
      <c r="Q401" s="266">
        <v>0.58888888888888891</v>
      </c>
      <c r="R401" s="261">
        <f>IF(Table6[[#This Row],[Work Start TimeStamp]]="","",(Table6[[#This Row],[Work Start TimeStamp]]-Table6[[#This Row],[Fault Start TimeStamp]])*24)</f>
        <v>0</v>
      </c>
      <c r="S401" s="261">
        <f>(Table6[[#This Row],[Fault Clearance time]]-Table6[[#This Row],[Work Start TimeStamp]])*24</f>
        <v>0.14999999999999947</v>
      </c>
      <c r="T401" s="261">
        <f>(Table6[[#This Row],[Fault Clearance time]]-Table6[[#This Row],[Fault Start TimeStamp]])*24</f>
        <v>0.14999999999999947</v>
      </c>
      <c r="U401" s="35" t="s">
        <v>373</v>
      </c>
      <c r="V401" s="102" t="s">
        <v>268</v>
      </c>
      <c r="W401" s="267">
        <f>IFERROR(Table6[[#This Row],[Breakdown Time]]*Table6[[#This Row],[Plant Equivalent Weightage]],"")</f>
        <v>5.769230769230747E-3</v>
      </c>
      <c r="X401" s="262" t="s">
        <v>296</v>
      </c>
      <c r="Y401" s="263" t="s">
        <v>120</v>
      </c>
      <c r="Z401" s="102">
        <v>25979</v>
      </c>
      <c r="AA401" s="257">
        <f>(Table6[[#This Row],[Paired WTG Generation for loss calculation]]/24)*Table6[[#This Row],[Breakdown Time]]</f>
        <v>162.36874999999941</v>
      </c>
      <c r="AB401" s="102"/>
      <c r="AC401" s="35"/>
      <c r="AD401" s="35"/>
    </row>
    <row r="402" spans="1:30">
      <c r="A402" s="102">
        <f t="shared" si="7"/>
        <v>401</v>
      </c>
      <c r="B402" s="257">
        <f>YEAR(Table6[[#This Row],[Date]])+IF(MONTH(Table6[[#This Row],[Date]])&gt;=4,1,0)</f>
        <v>2026</v>
      </c>
      <c r="C402" s="102">
        <f>YEAR(Table6[[#This Row],[Date]])</f>
        <v>2025</v>
      </c>
      <c r="D402" s="102" t="s">
        <v>265</v>
      </c>
      <c r="E402" s="258">
        <f>Table6[[#This Row],[Date]]-DAY(Table6[[#This Row],[Date]])+1</f>
        <v>45748</v>
      </c>
      <c r="F402" s="259">
        <v>45773</v>
      </c>
      <c r="G402" s="35" t="s">
        <v>132</v>
      </c>
      <c r="H402" s="35" t="str">
        <f>IFERROR(_xlfn.XLOOKUP(Table6[[#This Row],[Affected WTG]],'Basic Data'!$A:$A,'Basic Data'!$B:$B),"")</f>
        <v>TQGXIIPL</v>
      </c>
      <c r="I402" s="35" t="str">
        <f>IFERROR(_xlfn.XLOOKUP(Table6[[#This Row],[Affected WTG]],'Basic Data'!$A:$A,'Basic Data'!$C:$C),"")</f>
        <v>GEDA</v>
      </c>
      <c r="J402" s="260">
        <f>IFERROR(_xlfn.XLOOKUP(Table6[[#This Row],[Affected WTG]],'Basic Data'!$A:$A,'Basic Data'!$E:$E),"")</f>
        <v>3.846153846153845E-2</v>
      </c>
      <c r="K402" s="102">
        <v>60</v>
      </c>
      <c r="L402" s="35" t="str">
        <f>IFERROR(_xlfn.XLOOKUP(Table6[[#This Row],[Error Code]],'Basic Data'!$AA:$AA,'Basic Data'!$AB:$AB),"Incorrect Error Code")</f>
        <v>Wind &gt; power</v>
      </c>
      <c r="M402" s="35" t="s">
        <v>266</v>
      </c>
      <c r="N402" s="264"/>
      <c r="O402" s="265">
        <v>0.74930555555555556</v>
      </c>
      <c r="P402" s="265">
        <v>0.74930555555555556</v>
      </c>
      <c r="Q402" s="266">
        <v>0.7680555555555556</v>
      </c>
      <c r="R402" s="261">
        <f>IF(Table6[[#This Row],[Work Start TimeStamp]]="","",(Table6[[#This Row],[Work Start TimeStamp]]-Table6[[#This Row],[Fault Start TimeStamp]])*24)</f>
        <v>0</v>
      </c>
      <c r="S402" s="261">
        <f>(Table6[[#This Row],[Fault Clearance time]]-Table6[[#This Row],[Work Start TimeStamp]])*24</f>
        <v>0.45000000000000107</v>
      </c>
      <c r="T402" s="261">
        <f>(Table6[[#This Row],[Fault Clearance time]]-Table6[[#This Row],[Fault Start TimeStamp]])*24</f>
        <v>0.45000000000000107</v>
      </c>
      <c r="U402" s="35" t="s">
        <v>374</v>
      </c>
      <c r="V402" s="102" t="s">
        <v>268</v>
      </c>
      <c r="W402" s="267">
        <f>IFERROR(Table6[[#This Row],[Breakdown Time]]*Table6[[#This Row],[Plant Equivalent Weightage]],"")</f>
        <v>1.7307692307692343E-2</v>
      </c>
      <c r="X402" s="262" t="s">
        <v>269</v>
      </c>
      <c r="Y402" s="263" t="s">
        <v>120</v>
      </c>
      <c r="Z402" s="102">
        <v>25979</v>
      </c>
      <c r="AA402" s="257">
        <f>(Table6[[#This Row],[Paired WTG Generation for loss calculation]]/24)*Table6[[#This Row],[Breakdown Time]]</f>
        <v>487.10625000000113</v>
      </c>
      <c r="AB402" s="102"/>
      <c r="AC402" s="35"/>
      <c r="AD402" s="35"/>
    </row>
    <row r="403" spans="1:30">
      <c r="A403" s="102">
        <f t="shared" si="7"/>
        <v>402</v>
      </c>
      <c r="B403" s="257">
        <f>YEAR(Table6[[#This Row],[Date]])+IF(MONTH(Table6[[#This Row],[Date]])&gt;=4,1,0)</f>
        <v>2026</v>
      </c>
      <c r="C403" s="102">
        <f>YEAR(Table6[[#This Row],[Date]])</f>
        <v>2025</v>
      </c>
      <c r="D403" s="102" t="s">
        <v>265</v>
      </c>
      <c r="E403" s="258">
        <f>Table6[[#This Row],[Date]]-DAY(Table6[[#This Row],[Date]])+1</f>
        <v>45748</v>
      </c>
      <c r="F403" s="259">
        <v>45773</v>
      </c>
      <c r="G403" s="35" t="s">
        <v>133</v>
      </c>
      <c r="H403" s="35" t="str">
        <f>IFERROR(_xlfn.XLOOKUP(Table6[[#This Row],[Affected WTG]],'Basic Data'!$A:$A,'Basic Data'!$B:$B),"")</f>
        <v>TQGXIIPL</v>
      </c>
      <c r="I403" s="35" t="str">
        <f>IFERROR(_xlfn.XLOOKUP(Table6[[#This Row],[Affected WTG]],'Basic Data'!$A:$A,'Basic Data'!$C:$C),"")</f>
        <v>GEDA</v>
      </c>
      <c r="J403" s="260">
        <f>IFERROR(_xlfn.XLOOKUP(Table6[[#This Row],[Affected WTG]],'Basic Data'!$A:$A,'Basic Data'!$E:$E),"")</f>
        <v>3.846153846153845E-2</v>
      </c>
      <c r="K403" s="102">
        <v>1700</v>
      </c>
      <c r="L403" s="35" t="str">
        <f>IFERROR(_xlfn.XLOOKUP(Table6[[#This Row],[Error Code]],'Basic Data'!$AA:$AA,'Basic Data'!$AB:$AB),"Incorrect Error Code")</f>
        <v>High temp. gear bearing 1</v>
      </c>
      <c r="M403" s="35" t="s">
        <v>278</v>
      </c>
      <c r="N403" s="264"/>
      <c r="O403" s="265">
        <v>0.89930555555555558</v>
      </c>
      <c r="P403" s="265">
        <v>0.89930555555555558</v>
      </c>
      <c r="Q403" s="266">
        <v>0.90069444444444446</v>
      </c>
      <c r="R403" s="261">
        <f>IF(Table6[[#This Row],[Work Start TimeStamp]]="","",(Table6[[#This Row],[Work Start TimeStamp]]-Table6[[#This Row],[Fault Start TimeStamp]])*24)</f>
        <v>0</v>
      </c>
      <c r="S403" s="261">
        <f>(Table6[[#This Row],[Fault Clearance time]]-Table6[[#This Row],[Work Start TimeStamp]])*24</f>
        <v>3.3333333333333215E-2</v>
      </c>
      <c r="T403" s="261">
        <f>(Table6[[#This Row],[Fault Clearance time]]-Table6[[#This Row],[Fault Start TimeStamp]])*24</f>
        <v>3.3333333333333215E-2</v>
      </c>
      <c r="U403" s="35" t="s">
        <v>277</v>
      </c>
      <c r="V403" s="102" t="s">
        <v>268</v>
      </c>
      <c r="W403" s="267">
        <f>IFERROR(Table6[[#This Row],[Breakdown Time]]*Table6[[#This Row],[Plant Equivalent Weightage]],"")</f>
        <v>1.2820512820512771E-3</v>
      </c>
      <c r="X403" s="262" t="s">
        <v>269</v>
      </c>
      <c r="Y403" s="263" t="s">
        <v>121</v>
      </c>
      <c r="Z403" s="102">
        <v>32148</v>
      </c>
      <c r="AA403" s="257">
        <f>(Table6[[#This Row],[Paired WTG Generation for loss calculation]]/24)*Table6[[#This Row],[Breakdown Time]]</f>
        <v>44.649999999999842</v>
      </c>
      <c r="AB403" s="102"/>
      <c r="AC403" s="35"/>
      <c r="AD403" s="35"/>
    </row>
    <row r="404" spans="1:30">
      <c r="A404" s="102">
        <f t="shared" si="7"/>
        <v>403</v>
      </c>
      <c r="B404" s="257">
        <f>YEAR(Table6[[#This Row],[Date]])+IF(MONTH(Table6[[#This Row],[Date]])&gt;=4,1,0)</f>
        <v>2026</v>
      </c>
      <c r="C404" s="102">
        <f>YEAR(Table6[[#This Row],[Date]])</f>
        <v>2025</v>
      </c>
      <c r="D404" s="102" t="s">
        <v>265</v>
      </c>
      <c r="E404" s="258">
        <f>Table6[[#This Row],[Date]]-DAY(Table6[[#This Row],[Date]])+1</f>
        <v>45748</v>
      </c>
      <c r="F404" s="259">
        <v>45773</v>
      </c>
      <c r="G404" s="35" t="s">
        <v>133</v>
      </c>
      <c r="H404" s="35" t="str">
        <f>IFERROR(_xlfn.XLOOKUP(Table6[[#This Row],[Affected WTG]],'Basic Data'!$A:$A,'Basic Data'!$B:$B),"")</f>
        <v>TQGXIIPL</v>
      </c>
      <c r="I404" s="35" t="str">
        <f>IFERROR(_xlfn.XLOOKUP(Table6[[#This Row],[Affected WTG]],'Basic Data'!$A:$A,'Basic Data'!$C:$C),"")</f>
        <v>GEDA</v>
      </c>
      <c r="J404" s="260">
        <f>IFERROR(_xlfn.XLOOKUP(Table6[[#This Row],[Affected WTG]],'Basic Data'!$A:$A,'Basic Data'!$E:$E),"")</f>
        <v>3.846153846153845E-2</v>
      </c>
      <c r="K404" s="102">
        <v>3800</v>
      </c>
      <c r="L404" s="35" t="str">
        <f>IFERROR(_xlfn.XLOOKUP(Table6[[#This Row],[Error Code]],'Basic Data'!$AA:$AA,'Basic Data'!$AB:$AB),"Incorrect Error Code")</f>
        <v>Circuit breaker</v>
      </c>
      <c r="M404" s="35" t="s">
        <v>266</v>
      </c>
      <c r="N404" s="264"/>
      <c r="O404" s="265">
        <v>0.90625</v>
      </c>
      <c r="P404" s="265">
        <v>0.99930555555555556</v>
      </c>
      <c r="Q404" s="266">
        <v>0.99998842592592596</v>
      </c>
      <c r="R404" s="261">
        <f>IF(Table6[[#This Row],[Work Start TimeStamp]]="","",(Table6[[#This Row],[Work Start TimeStamp]]-Table6[[#This Row],[Fault Start TimeStamp]])*24)</f>
        <v>2.2333333333333334</v>
      </c>
      <c r="S404" s="261">
        <f>(Table6[[#This Row],[Fault Clearance time]]-Table6[[#This Row],[Work Start TimeStamp]])*24</f>
        <v>1.6388888888889674E-2</v>
      </c>
      <c r="T404" s="261">
        <f>(Table6[[#This Row],[Fault Clearance time]]-Table6[[#This Row],[Fault Start TimeStamp]])*24</f>
        <v>2.2497222222222231</v>
      </c>
      <c r="U404" s="35" t="s">
        <v>375</v>
      </c>
      <c r="V404" s="102" t="s">
        <v>268</v>
      </c>
      <c r="W404" s="267">
        <f>IFERROR(Table6[[#This Row],[Breakdown Time]]*Table6[[#This Row],[Plant Equivalent Weightage]],"")</f>
        <v>8.6527777777777787E-2</v>
      </c>
      <c r="X404" s="262" t="s">
        <v>269</v>
      </c>
      <c r="Y404" s="263" t="s">
        <v>121</v>
      </c>
      <c r="Z404" s="102">
        <v>32148</v>
      </c>
      <c r="AA404" s="257">
        <f>(Table6[[#This Row],[Paired WTG Generation for loss calculation]]/24)*Table6[[#This Row],[Breakdown Time]]</f>
        <v>3013.5029166666677</v>
      </c>
      <c r="AB404" s="102"/>
      <c r="AC404" s="35"/>
      <c r="AD404" s="35"/>
    </row>
    <row r="405" spans="1:30">
      <c r="A405" s="102">
        <f t="shared" si="7"/>
        <v>404</v>
      </c>
      <c r="B405" s="257">
        <f>YEAR(Table6[[#This Row],[Date]])+IF(MONTH(Table6[[#This Row],[Date]])&gt;=4,1,0)</f>
        <v>2026</v>
      </c>
      <c r="C405" s="102">
        <f>YEAR(Table6[[#This Row],[Date]])</f>
        <v>2025</v>
      </c>
      <c r="D405" s="102" t="s">
        <v>265</v>
      </c>
      <c r="E405" s="258">
        <f>Table6[[#This Row],[Date]]-DAY(Table6[[#This Row],[Date]])+1</f>
        <v>45748</v>
      </c>
      <c r="F405" s="259">
        <v>45773</v>
      </c>
      <c r="G405" s="35" t="s">
        <v>134</v>
      </c>
      <c r="H405" s="35" t="str">
        <f>IFERROR(_xlfn.XLOOKUP(Table6[[#This Row],[Affected WTG]],'Basic Data'!$A:$A,'Basic Data'!$B:$B),"")</f>
        <v>TQGXIIPL</v>
      </c>
      <c r="I405" s="35" t="str">
        <f>IFERROR(_xlfn.XLOOKUP(Table6[[#This Row],[Affected WTG]],'Basic Data'!$A:$A,'Basic Data'!$C:$C),"")</f>
        <v>GEDA</v>
      </c>
      <c r="J405" s="260">
        <f>IFERROR(_xlfn.XLOOKUP(Table6[[#This Row],[Affected WTG]],'Basic Data'!$A:$A,'Basic Data'!$E:$E),"")</f>
        <v>3.846153846153845E-2</v>
      </c>
      <c r="K405" s="102">
        <v>55</v>
      </c>
      <c r="L405" s="35" t="str">
        <f>IFERROR(_xlfn.XLOOKUP(Table6[[#This Row],[Error Code]],'Basic Data'!$AA:$AA,'Basic Data'!$AB:$AB),"Incorrect Error Code")</f>
        <v>WTG shut down</v>
      </c>
      <c r="M405" s="35" t="s">
        <v>271</v>
      </c>
      <c r="N405" s="264"/>
      <c r="O405" s="265">
        <v>0.26527777777777778</v>
      </c>
      <c r="P405" s="265">
        <v>0.26527777777777778</v>
      </c>
      <c r="Q405" s="266">
        <v>0.48472222222222222</v>
      </c>
      <c r="R405" s="261">
        <f>IF(Table6[[#This Row],[Work Start TimeStamp]]="","",(Table6[[#This Row],[Work Start TimeStamp]]-Table6[[#This Row],[Fault Start TimeStamp]])*24)</f>
        <v>0</v>
      </c>
      <c r="S405" s="261">
        <f>(Table6[[#This Row],[Fault Clearance time]]-Table6[[#This Row],[Work Start TimeStamp]])*24</f>
        <v>5.2666666666666666</v>
      </c>
      <c r="T405" s="261">
        <f>(Table6[[#This Row],[Fault Clearance time]]-Table6[[#This Row],[Fault Start TimeStamp]])*24</f>
        <v>5.2666666666666666</v>
      </c>
      <c r="U405" s="35" t="s">
        <v>272</v>
      </c>
      <c r="V405" s="102" t="s">
        <v>268</v>
      </c>
      <c r="W405" s="267">
        <f>IFERROR(Table6[[#This Row],[Breakdown Time]]*Table6[[#This Row],[Plant Equivalent Weightage]],"")</f>
        <v>0.20256410256410251</v>
      </c>
      <c r="X405" s="262" t="s">
        <v>273</v>
      </c>
      <c r="Y405" s="263" t="s">
        <v>138</v>
      </c>
      <c r="Z405" s="102">
        <v>23190</v>
      </c>
      <c r="AA405" s="257">
        <f>(Table6[[#This Row],[Paired WTG Generation for loss calculation]]/24)*Table6[[#This Row],[Breakdown Time]]</f>
        <v>5088.916666666667</v>
      </c>
      <c r="AB405" s="102"/>
      <c r="AC405" s="35"/>
      <c r="AD405" s="35"/>
    </row>
    <row r="406" spans="1:30">
      <c r="A406" s="102">
        <f t="shared" si="7"/>
        <v>405</v>
      </c>
      <c r="B406" s="257">
        <f>YEAR(Table6[[#This Row],[Date]])+IF(MONTH(Table6[[#This Row],[Date]])&gt;=4,1,0)</f>
        <v>2026</v>
      </c>
      <c r="C406" s="102">
        <f>YEAR(Table6[[#This Row],[Date]])</f>
        <v>2025</v>
      </c>
      <c r="D406" s="102" t="s">
        <v>265</v>
      </c>
      <c r="E406" s="258">
        <f>Table6[[#This Row],[Date]]-DAY(Table6[[#This Row],[Date]])+1</f>
        <v>45748</v>
      </c>
      <c r="F406" s="259">
        <v>45773</v>
      </c>
      <c r="G406" s="35" t="s">
        <v>134</v>
      </c>
      <c r="H406" s="35" t="str">
        <f>IFERROR(_xlfn.XLOOKUP(Table6[[#This Row],[Affected WTG]],'Basic Data'!$A:$A,'Basic Data'!$B:$B),"")</f>
        <v>TQGXIIPL</v>
      </c>
      <c r="I406" s="35" t="str">
        <f>IFERROR(_xlfn.XLOOKUP(Table6[[#This Row],[Affected WTG]],'Basic Data'!$A:$A,'Basic Data'!$C:$C),"")</f>
        <v>GEDA</v>
      </c>
      <c r="J406" s="260">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266</v>
      </c>
      <c r="N406" s="264"/>
      <c r="O406" s="265">
        <v>0.49652777777777779</v>
      </c>
      <c r="P406" s="265">
        <v>0.49652777777777779</v>
      </c>
      <c r="Q406" s="266">
        <v>0.49861111111111112</v>
      </c>
      <c r="R406" s="261">
        <f>IF(Table6[[#This Row],[Work Start TimeStamp]]="","",(Table6[[#This Row],[Work Start TimeStamp]]-Table6[[#This Row],[Fault Start TimeStamp]])*24)</f>
        <v>0</v>
      </c>
      <c r="S406" s="261">
        <f>(Table6[[#This Row],[Fault Clearance time]]-Table6[[#This Row],[Work Start TimeStamp]])*24</f>
        <v>4.9999999999999822E-2</v>
      </c>
      <c r="T406" s="261">
        <f>(Table6[[#This Row],[Fault Clearance time]]-Table6[[#This Row],[Fault Start TimeStamp]])*24</f>
        <v>4.9999999999999822E-2</v>
      </c>
      <c r="U406" s="35" t="s">
        <v>267</v>
      </c>
      <c r="V406" s="102" t="s">
        <v>268</v>
      </c>
      <c r="W406" s="267">
        <f>IFERROR(Table6[[#This Row],[Breakdown Time]]*Table6[[#This Row],[Plant Equivalent Weightage]],"")</f>
        <v>1.9230769230769156E-3</v>
      </c>
      <c r="X406" s="262" t="s">
        <v>269</v>
      </c>
      <c r="Y406" s="263" t="s">
        <v>138</v>
      </c>
      <c r="Z406" s="102">
        <v>23190</v>
      </c>
      <c r="AA406" s="257">
        <f>(Table6[[#This Row],[Paired WTG Generation for loss calculation]]/24)*Table6[[#This Row],[Breakdown Time]]</f>
        <v>48.312499999999829</v>
      </c>
      <c r="AB406" s="102"/>
      <c r="AC406" s="35"/>
      <c r="AD406" s="35"/>
    </row>
    <row r="407" spans="1:30">
      <c r="A407" s="102">
        <f t="shared" si="7"/>
        <v>406</v>
      </c>
      <c r="B407" s="257">
        <f>YEAR(Table6[[#This Row],[Date]])+IF(MONTH(Table6[[#This Row],[Date]])&gt;=4,1,0)</f>
        <v>2026</v>
      </c>
      <c r="C407" s="102">
        <f>YEAR(Table6[[#This Row],[Date]])</f>
        <v>2025</v>
      </c>
      <c r="D407" s="102" t="s">
        <v>265</v>
      </c>
      <c r="E407" s="258">
        <f>Table6[[#This Row],[Date]]-DAY(Table6[[#This Row],[Date]])+1</f>
        <v>45748</v>
      </c>
      <c r="F407" s="259">
        <v>45773</v>
      </c>
      <c r="G407" s="35" t="s">
        <v>137</v>
      </c>
      <c r="H407" s="35" t="str">
        <f>IFERROR(_xlfn.XLOOKUP(Table6[[#This Row],[Affected WTG]],'Basic Data'!$A:$A,'Basic Data'!$B:$B),"")</f>
        <v>TQGXIIPL</v>
      </c>
      <c r="I407" s="35" t="str">
        <f>IFERROR(_xlfn.XLOOKUP(Table6[[#This Row],[Affected WTG]],'Basic Data'!$A:$A,'Basic Data'!$C:$C),"")</f>
        <v>GEDA</v>
      </c>
      <c r="J407" s="260">
        <f>IFERROR(_xlfn.XLOOKUP(Table6[[#This Row],[Affected WTG]],'Basic Data'!$A:$A,'Basic Data'!$E:$E),"")</f>
        <v>3.846153846153845E-2</v>
      </c>
      <c r="K407" s="102">
        <v>6130</v>
      </c>
      <c r="L407" s="35" t="str">
        <f>IFERROR(_xlfn.XLOOKUP(Table6[[#This Row],[Error Code]],'Basic Data'!$AA:$AA,'Basic Data'!$AB:$AB),"Incorrect Error Code")</f>
        <v>Yaw speed high</v>
      </c>
      <c r="M407" s="35" t="s">
        <v>278</v>
      </c>
      <c r="N407" s="264"/>
      <c r="O407" s="265">
        <v>0.51388888888888884</v>
      </c>
      <c r="P407" s="265">
        <v>0.51388888888888884</v>
      </c>
      <c r="Q407" s="266">
        <v>0.5180555555555556</v>
      </c>
      <c r="R407" s="261">
        <f>IF(Table6[[#This Row],[Work Start TimeStamp]]="","",(Table6[[#This Row],[Work Start TimeStamp]]-Table6[[#This Row],[Fault Start TimeStamp]])*24)</f>
        <v>0</v>
      </c>
      <c r="S407" s="261">
        <f>(Table6[[#This Row],[Fault Clearance time]]-Table6[[#This Row],[Work Start TimeStamp]])*24</f>
        <v>0.10000000000000231</v>
      </c>
      <c r="T407" s="261">
        <f>(Table6[[#This Row],[Fault Clearance time]]-Table6[[#This Row],[Fault Start TimeStamp]])*24</f>
        <v>0.10000000000000231</v>
      </c>
      <c r="U407" s="35" t="s">
        <v>277</v>
      </c>
      <c r="V407" s="102" t="s">
        <v>268</v>
      </c>
      <c r="W407" s="267">
        <f>IFERROR(Table6[[#This Row],[Breakdown Time]]*Table6[[#This Row],[Plant Equivalent Weightage]],"")</f>
        <v>3.846153846153934E-3</v>
      </c>
      <c r="X407" s="262" t="s">
        <v>269</v>
      </c>
      <c r="Y407" s="263" t="s">
        <v>125</v>
      </c>
      <c r="Z407" s="102">
        <v>20631</v>
      </c>
      <c r="AA407" s="257">
        <f>(Table6[[#This Row],[Paired WTG Generation for loss calculation]]/24)*Table6[[#This Row],[Breakdown Time]]</f>
        <v>85.962500000001981</v>
      </c>
      <c r="AB407" s="102"/>
      <c r="AC407" s="35"/>
      <c r="AD407" s="35"/>
    </row>
    <row r="408" spans="1:30">
      <c r="A408" s="102">
        <f t="shared" si="7"/>
        <v>407</v>
      </c>
      <c r="B408" s="257">
        <f>YEAR(Table6[[#This Row],[Date]])+IF(MONTH(Table6[[#This Row],[Date]])&gt;=4,1,0)</f>
        <v>2026</v>
      </c>
      <c r="C408" s="102">
        <f>YEAR(Table6[[#This Row],[Date]])</f>
        <v>2025</v>
      </c>
      <c r="D408" s="102" t="s">
        <v>265</v>
      </c>
      <c r="E408" s="258">
        <f>Table6[[#This Row],[Date]]-DAY(Table6[[#This Row],[Date]])+1</f>
        <v>45748</v>
      </c>
      <c r="F408" s="259">
        <v>45773</v>
      </c>
      <c r="G408" s="35" t="s">
        <v>139</v>
      </c>
      <c r="H408" s="35" t="str">
        <f>IFERROR(_xlfn.XLOOKUP(Table6[[#This Row],[Affected WTG]],'Basic Data'!$A:$A,'Basic Data'!$B:$B),"")</f>
        <v>TQGXIIPL</v>
      </c>
      <c r="I408" s="35" t="str">
        <f>IFERROR(_xlfn.XLOOKUP(Table6[[#This Row],[Affected WTG]],'Basic Data'!$A:$A,'Basic Data'!$C:$C),"")</f>
        <v>GEDA</v>
      </c>
      <c r="J408" s="260">
        <f>IFERROR(_xlfn.XLOOKUP(Table6[[#This Row],[Affected WTG]],'Basic Data'!$A:$A,'Basic Data'!$E:$E),"")</f>
        <v>3.846153846153845E-2</v>
      </c>
      <c r="K408" s="102">
        <v>55</v>
      </c>
      <c r="L408" s="35" t="str">
        <f>IFERROR(_xlfn.XLOOKUP(Table6[[#This Row],[Error Code]],'Basic Data'!$AA:$AA,'Basic Data'!$AB:$AB),"Incorrect Error Code")</f>
        <v>WTG shut down</v>
      </c>
      <c r="M408" s="35" t="s">
        <v>300</v>
      </c>
      <c r="N408" s="264"/>
      <c r="O408" s="265">
        <v>0.75694444444444442</v>
      </c>
      <c r="P408" s="265">
        <v>0.75694444444444442</v>
      </c>
      <c r="Q408" s="266">
        <v>0.88541666666666663</v>
      </c>
      <c r="R408" s="261">
        <f>IF(Table6[[#This Row],[Work Start TimeStamp]]="","",(Table6[[#This Row],[Work Start TimeStamp]]-Table6[[#This Row],[Fault Start TimeStamp]])*24)</f>
        <v>0</v>
      </c>
      <c r="S408" s="261">
        <f>(Table6[[#This Row],[Fault Clearance time]]-Table6[[#This Row],[Work Start TimeStamp]])*24</f>
        <v>3.083333333333333</v>
      </c>
      <c r="T408" s="261">
        <f>(Table6[[#This Row],[Fault Clearance time]]-Table6[[#This Row],[Fault Start TimeStamp]])*24</f>
        <v>3.083333333333333</v>
      </c>
      <c r="U408" s="35" t="s">
        <v>301</v>
      </c>
      <c r="V408" s="102" t="s">
        <v>268</v>
      </c>
      <c r="W408" s="267">
        <f>IFERROR(Table6[[#This Row],[Breakdown Time]]*Table6[[#This Row],[Plant Equivalent Weightage]],"")</f>
        <v>0.11858974358974354</v>
      </c>
      <c r="X408" s="262" t="s">
        <v>296</v>
      </c>
      <c r="Y408" s="263" t="s">
        <v>115</v>
      </c>
      <c r="Z408" s="102">
        <v>23625</v>
      </c>
      <c r="AA408" s="257">
        <f>(Table6[[#This Row],[Paired WTG Generation for loss calculation]]/24)*Table6[[#This Row],[Breakdown Time]]</f>
        <v>3035.1562499999995</v>
      </c>
      <c r="AB408" s="102"/>
      <c r="AC408" s="35"/>
      <c r="AD408" s="35"/>
    </row>
    <row r="409" spans="1:30">
      <c r="A409" s="102">
        <f t="shared" si="7"/>
        <v>408</v>
      </c>
      <c r="B409" s="257">
        <f>YEAR(Table6[[#This Row],[Date]])+IF(MONTH(Table6[[#This Row],[Date]])&gt;=4,1,0)</f>
        <v>2026</v>
      </c>
      <c r="C409" s="102">
        <f>YEAR(Table6[[#This Row],[Date]])</f>
        <v>2025</v>
      </c>
      <c r="D409" s="102" t="s">
        <v>265</v>
      </c>
      <c r="E409" s="258">
        <f>Table6[[#This Row],[Date]]-DAY(Table6[[#This Row],[Date]])+1</f>
        <v>45748</v>
      </c>
      <c r="F409" s="259">
        <v>45774</v>
      </c>
      <c r="G409" s="35" t="s">
        <v>119</v>
      </c>
      <c r="H409" s="35" t="str">
        <f>IFERROR(_xlfn.XLOOKUP(Table6[[#This Row],[Affected WTG]],'Basic Data'!$A:$A,'Basic Data'!$B:$B),"")</f>
        <v>TQGXIIPL</v>
      </c>
      <c r="I409" s="35" t="str">
        <f>IFERROR(_xlfn.XLOOKUP(Table6[[#This Row],[Affected WTG]],'Basic Data'!$A:$A,'Basic Data'!$C:$C),"")</f>
        <v>GEDA</v>
      </c>
      <c r="J409" s="260">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266</v>
      </c>
      <c r="N409" s="264"/>
      <c r="O409" s="265">
        <v>0.23055555555555557</v>
      </c>
      <c r="P409" s="265">
        <v>0.23055555555555557</v>
      </c>
      <c r="Q409" s="266">
        <v>0.2326388888888889</v>
      </c>
      <c r="R409" s="261">
        <f>IF(Table6[[#This Row],[Work Start TimeStamp]]="","",(Table6[[#This Row],[Work Start TimeStamp]]-Table6[[#This Row],[Fault Start TimeStamp]])*24)</f>
        <v>0</v>
      </c>
      <c r="S409" s="261">
        <f>(Table6[[#This Row],[Fault Clearance time]]-Table6[[#This Row],[Work Start TimeStamp]])*24</f>
        <v>4.9999999999999822E-2</v>
      </c>
      <c r="T409" s="261">
        <f>(Table6[[#This Row],[Fault Clearance time]]-Table6[[#This Row],[Fault Start TimeStamp]])*24</f>
        <v>4.9999999999999822E-2</v>
      </c>
      <c r="U409" s="35" t="s">
        <v>267</v>
      </c>
      <c r="V409" s="102" t="s">
        <v>268</v>
      </c>
      <c r="W409" s="267">
        <f>IFERROR(Table6[[#This Row],[Breakdown Time]]*Table6[[#This Row],[Plant Equivalent Weightage]],"")</f>
        <v>1.9230769230769156E-3</v>
      </c>
      <c r="X409" s="262" t="s">
        <v>269</v>
      </c>
      <c r="Y409" s="263" t="s">
        <v>116</v>
      </c>
      <c r="Z409" s="102">
        <v>27721</v>
      </c>
      <c r="AA409" s="257">
        <f>(Table6[[#This Row],[Paired WTG Generation for loss calculation]]/24)*Table6[[#This Row],[Breakdown Time]]</f>
        <v>57.752083333333132</v>
      </c>
      <c r="AB409" s="102"/>
      <c r="AC409" s="35"/>
      <c r="AD409" s="35"/>
    </row>
    <row r="410" spans="1:30">
      <c r="A410" s="102">
        <f t="shared" si="7"/>
        <v>409</v>
      </c>
      <c r="B410" s="257">
        <f>YEAR(Table6[[#This Row],[Date]])+IF(MONTH(Table6[[#This Row],[Date]])&gt;=4,1,0)</f>
        <v>2026</v>
      </c>
      <c r="C410" s="102">
        <f>YEAR(Table6[[#This Row],[Date]])</f>
        <v>2025</v>
      </c>
      <c r="D410" s="102" t="s">
        <v>265</v>
      </c>
      <c r="E410" s="258">
        <f>Table6[[#This Row],[Date]]-DAY(Table6[[#This Row],[Date]])+1</f>
        <v>45748</v>
      </c>
      <c r="F410" s="259">
        <v>45774</v>
      </c>
      <c r="G410" s="35" t="s">
        <v>121</v>
      </c>
      <c r="H410" s="35" t="str">
        <f>IFERROR(_xlfn.XLOOKUP(Table6[[#This Row],[Affected WTG]],'Basic Data'!$A:$A,'Basic Data'!$B:$B),"")</f>
        <v>TQGXIIPL</v>
      </c>
      <c r="I410" s="35" t="str">
        <f>IFERROR(_xlfn.XLOOKUP(Table6[[#This Row],[Affected WTG]],'Basic Data'!$A:$A,'Basic Data'!$C:$C),"")</f>
        <v>GEDA</v>
      </c>
      <c r="J410" s="260">
        <f>IFERROR(_xlfn.XLOOKUP(Table6[[#This Row],[Affected WTG]],'Basic Data'!$A:$A,'Basic Data'!$E:$E),"")</f>
        <v>3.846153846153845E-2</v>
      </c>
      <c r="K410" s="102">
        <v>6300</v>
      </c>
      <c r="L410" s="35" t="str">
        <f>IFERROR(_xlfn.XLOOKUP(Table6[[#This Row],[Error Code]],'Basic Data'!$AA:$AA,'Basic Data'!$AB:$AB),"Incorrect Error Code")</f>
        <v>Yaw error</v>
      </c>
      <c r="M410" s="35" t="s">
        <v>266</v>
      </c>
      <c r="N410" s="264"/>
      <c r="O410" s="265">
        <v>0.80833333333333335</v>
      </c>
      <c r="P410" s="265">
        <v>0.80833333333333335</v>
      </c>
      <c r="Q410" s="266">
        <v>0.81319444444444444</v>
      </c>
      <c r="R410" s="261">
        <f>IF(Table6[[#This Row],[Work Start TimeStamp]]="","",(Table6[[#This Row],[Work Start TimeStamp]]-Table6[[#This Row],[Fault Start TimeStamp]])*24)</f>
        <v>0</v>
      </c>
      <c r="S410" s="261">
        <f>(Table6[[#This Row],[Fault Clearance time]]-Table6[[#This Row],[Work Start TimeStamp]])*24</f>
        <v>0.11666666666666625</v>
      </c>
      <c r="T410" s="261">
        <f>(Table6[[#This Row],[Fault Clearance time]]-Table6[[#This Row],[Fault Start TimeStamp]])*24</f>
        <v>0.11666666666666625</v>
      </c>
      <c r="U410" s="35" t="s">
        <v>267</v>
      </c>
      <c r="V410" s="102" t="s">
        <v>268</v>
      </c>
      <c r="W410" s="267">
        <f>IFERROR(Table6[[#This Row],[Breakdown Time]]*Table6[[#This Row],[Plant Equivalent Weightage]],"")</f>
        <v>4.4871794871794695E-3</v>
      </c>
      <c r="X410" s="262" t="s">
        <v>269</v>
      </c>
      <c r="Y410" s="263" t="s">
        <v>118</v>
      </c>
      <c r="Z410" s="102">
        <v>25863</v>
      </c>
      <c r="AA410" s="257">
        <f>(Table6[[#This Row],[Paired WTG Generation for loss calculation]]/24)*Table6[[#This Row],[Breakdown Time]]</f>
        <v>125.72291666666622</v>
      </c>
      <c r="AB410" s="102"/>
      <c r="AC410" s="35"/>
      <c r="AD410" s="35"/>
    </row>
    <row r="411" spans="1:30">
      <c r="A411" s="102">
        <f t="shared" si="7"/>
        <v>410</v>
      </c>
      <c r="B411" s="257">
        <f>YEAR(Table6[[#This Row],[Date]])+IF(MONTH(Table6[[#This Row],[Date]])&gt;=4,1,0)</f>
        <v>2026</v>
      </c>
      <c r="C411" s="102">
        <f>YEAR(Table6[[#This Row],[Date]])</f>
        <v>2025</v>
      </c>
      <c r="D411" s="102" t="s">
        <v>265</v>
      </c>
      <c r="E411" s="258">
        <f>Table6[[#This Row],[Date]]-DAY(Table6[[#This Row],[Date]])+1</f>
        <v>45748</v>
      </c>
      <c r="F411" s="259">
        <v>45774</v>
      </c>
      <c r="G411" s="35" t="s">
        <v>126</v>
      </c>
      <c r="H411" s="35" t="str">
        <f>IFERROR(_xlfn.XLOOKUP(Table6[[#This Row],[Affected WTG]],'Basic Data'!$A:$A,'Basic Data'!$B:$B),"")</f>
        <v>TQGXIIPL</v>
      </c>
      <c r="I411" s="35" t="str">
        <f>IFERROR(_xlfn.XLOOKUP(Table6[[#This Row],[Affected WTG]],'Basic Data'!$A:$A,'Basic Data'!$C:$C),"")</f>
        <v>GEDA</v>
      </c>
      <c r="J411" s="260">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266</v>
      </c>
      <c r="N411" s="264"/>
      <c r="O411" s="265">
        <v>0.49930555555555556</v>
      </c>
      <c r="P411" s="265">
        <v>0.49930555555555556</v>
      </c>
      <c r="Q411" s="266">
        <v>0.50763888888888886</v>
      </c>
      <c r="R411" s="261">
        <f>IF(Table6[[#This Row],[Work Start TimeStamp]]="","",(Table6[[#This Row],[Work Start TimeStamp]]-Table6[[#This Row],[Fault Start TimeStamp]])*24)</f>
        <v>0</v>
      </c>
      <c r="S411" s="261">
        <f>(Table6[[#This Row],[Fault Clearance time]]-Table6[[#This Row],[Work Start TimeStamp]])*24</f>
        <v>0.19999999999999929</v>
      </c>
      <c r="T411" s="261">
        <f>(Table6[[#This Row],[Fault Clearance time]]-Table6[[#This Row],[Fault Start TimeStamp]])*24</f>
        <v>0.19999999999999929</v>
      </c>
      <c r="U411" s="35" t="s">
        <v>329</v>
      </c>
      <c r="V411" s="102" t="s">
        <v>268</v>
      </c>
      <c r="W411" s="267">
        <f>IFERROR(Table6[[#This Row],[Breakdown Time]]*Table6[[#This Row],[Plant Equivalent Weightage]],"")</f>
        <v>7.6923076923076624E-3</v>
      </c>
      <c r="X411" s="262" t="s">
        <v>269</v>
      </c>
      <c r="Y411" s="263" t="s">
        <v>128</v>
      </c>
      <c r="Z411" s="102">
        <v>17831</v>
      </c>
      <c r="AA411" s="257">
        <f>(Table6[[#This Row],[Paired WTG Generation for loss calculation]]/24)*Table6[[#This Row],[Breakdown Time]]</f>
        <v>148.59166666666616</v>
      </c>
      <c r="AB411" s="102"/>
      <c r="AC411" s="35"/>
      <c r="AD411" s="35"/>
    </row>
    <row r="412" spans="1:30">
      <c r="A412" s="102">
        <f t="shared" si="7"/>
        <v>411</v>
      </c>
      <c r="B412" s="257">
        <f>YEAR(Table6[[#This Row],[Date]])+IF(MONTH(Table6[[#This Row],[Date]])&gt;=4,1,0)</f>
        <v>2026</v>
      </c>
      <c r="C412" s="102">
        <f>YEAR(Table6[[#This Row],[Date]])</f>
        <v>2025</v>
      </c>
      <c r="D412" s="102" t="s">
        <v>265</v>
      </c>
      <c r="E412" s="258">
        <f>Table6[[#This Row],[Date]]-DAY(Table6[[#This Row],[Date]])+1</f>
        <v>45748</v>
      </c>
      <c r="F412" s="259">
        <v>45774</v>
      </c>
      <c r="G412" s="35" t="s">
        <v>131</v>
      </c>
      <c r="H412" s="35" t="str">
        <f>IFERROR(_xlfn.XLOOKUP(Table6[[#This Row],[Affected WTG]],'Basic Data'!$A:$A,'Basic Data'!$B:$B),"")</f>
        <v>TQGXIIPL</v>
      </c>
      <c r="I412" s="35" t="str">
        <f>IFERROR(_xlfn.XLOOKUP(Table6[[#This Row],[Affected WTG]],'Basic Data'!$A:$A,'Basic Data'!$C:$C),"")</f>
        <v>GEDA</v>
      </c>
      <c r="J412" s="260">
        <f>IFERROR(_xlfn.XLOOKUP(Table6[[#This Row],[Affected WTG]],'Basic Data'!$A:$A,'Basic Data'!$E:$E),"")</f>
        <v>3.846153846153845E-2</v>
      </c>
      <c r="K412" s="102">
        <v>55</v>
      </c>
      <c r="L412" s="35" t="str">
        <f>IFERROR(_xlfn.XLOOKUP(Table6[[#This Row],[Error Code]],'Basic Data'!$AA:$AA,'Basic Data'!$AB:$AB),"Incorrect Error Code")</f>
        <v>WTG shut down</v>
      </c>
      <c r="M412" s="35" t="s">
        <v>291</v>
      </c>
      <c r="N412" s="264"/>
      <c r="O412" s="265">
        <v>0.31666666666666665</v>
      </c>
      <c r="P412" s="265">
        <v>0.31666666666666665</v>
      </c>
      <c r="Q412" s="266">
        <v>0.62361111111111112</v>
      </c>
      <c r="R412" s="261">
        <f>IF(Table6[[#This Row],[Work Start TimeStamp]]="","",(Table6[[#This Row],[Work Start TimeStamp]]-Table6[[#This Row],[Fault Start TimeStamp]])*24)</f>
        <v>0</v>
      </c>
      <c r="S412" s="261">
        <f>(Table6[[#This Row],[Fault Clearance time]]-Table6[[#This Row],[Work Start TimeStamp]])*24</f>
        <v>7.3666666666666671</v>
      </c>
      <c r="T412" s="261">
        <f>(Table6[[#This Row],[Fault Clearance time]]-Table6[[#This Row],[Fault Start TimeStamp]])*24</f>
        <v>7.3666666666666671</v>
      </c>
      <c r="U412" s="35" t="s">
        <v>368</v>
      </c>
      <c r="V412" s="102" t="s">
        <v>268</v>
      </c>
      <c r="W412" s="267">
        <f>IFERROR(Table6[[#This Row],[Breakdown Time]]*Table6[[#This Row],[Plant Equivalent Weightage]],"")</f>
        <v>0.28333333333333327</v>
      </c>
      <c r="X412" s="262" t="s">
        <v>296</v>
      </c>
      <c r="Y412" s="263" t="s">
        <v>136</v>
      </c>
      <c r="Z412" s="102">
        <v>24160</v>
      </c>
      <c r="AA412" s="257">
        <f>(Table6[[#This Row],[Paired WTG Generation for loss calculation]]/24)*Table6[[#This Row],[Breakdown Time]]</f>
        <v>7415.7777777777783</v>
      </c>
      <c r="AB412" s="102"/>
      <c r="AC412" s="35"/>
      <c r="AD412" s="35"/>
    </row>
    <row r="413" spans="1:30">
      <c r="A413" s="102">
        <f t="shared" si="7"/>
        <v>412</v>
      </c>
      <c r="B413" s="257">
        <f>YEAR(Table6[[#This Row],[Date]])+IF(MONTH(Table6[[#This Row],[Date]])&gt;=4,1,0)</f>
        <v>2026</v>
      </c>
      <c r="C413" s="102">
        <f>YEAR(Table6[[#This Row],[Date]])</f>
        <v>2025</v>
      </c>
      <c r="D413" s="102" t="s">
        <v>265</v>
      </c>
      <c r="E413" s="258">
        <f>Table6[[#This Row],[Date]]-DAY(Table6[[#This Row],[Date]])+1</f>
        <v>45748</v>
      </c>
      <c r="F413" s="259">
        <v>45774</v>
      </c>
      <c r="G413" s="35" t="s">
        <v>133</v>
      </c>
      <c r="H413" s="35" t="str">
        <f>IFERROR(_xlfn.XLOOKUP(Table6[[#This Row],[Affected WTG]],'Basic Data'!$A:$A,'Basic Data'!$B:$B),"")</f>
        <v>TQGXIIPL</v>
      </c>
      <c r="I413" s="35" t="str">
        <f>IFERROR(_xlfn.XLOOKUP(Table6[[#This Row],[Affected WTG]],'Basic Data'!$A:$A,'Basic Data'!$C:$C),"")</f>
        <v>GEDA</v>
      </c>
      <c r="J413" s="260">
        <f>IFERROR(_xlfn.XLOOKUP(Table6[[#This Row],[Affected WTG]],'Basic Data'!$A:$A,'Basic Data'!$E:$E),"")</f>
        <v>3.846153846153845E-2</v>
      </c>
      <c r="K413" s="102">
        <v>3800</v>
      </c>
      <c r="L413" s="35" t="str">
        <f>IFERROR(_xlfn.XLOOKUP(Table6[[#This Row],[Error Code]],'Basic Data'!$AA:$AA,'Basic Data'!$AB:$AB),"Incorrect Error Code")</f>
        <v>Circuit breaker</v>
      </c>
      <c r="M413" s="35" t="s">
        <v>291</v>
      </c>
      <c r="N413" s="264"/>
      <c r="O413" s="265">
        <v>0</v>
      </c>
      <c r="P413" s="265">
        <v>0.15555555555555556</v>
      </c>
      <c r="Q413" s="266">
        <v>0.6069444444444444</v>
      </c>
      <c r="R413" s="261">
        <f>IF(Table6[[#This Row],[Work Start TimeStamp]]="","",(Table6[[#This Row],[Work Start TimeStamp]]-Table6[[#This Row],[Fault Start TimeStamp]])*24)</f>
        <v>3.7333333333333334</v>
      </c>
      <c r="S413" s="261">
        <f>(Table6[[#This Row],[Fault Clearance time]]-Table6[[#This Row],[Work Start TimeStamp]])*24</f>
        <v>10.833333333333332</v>
      </c>
      <c r="T413" s="261">
        <f>(Table6[[#This Row],[Fault Clearance time]]-Table6[[#This Row],[Fault Start TimeStamp]])*24</f>
        <v>14.566666666666666</v>
      </c>
      <c r="U413" s="35" t="s">
        <v>376</v>
      </c>
      <c r="V413" s="102" t="s">
        <v>268</v>
      </c>
      <c r="W413" s="267">
        <f>IFERROR(Table6[[#This Row],[Breakdown Time]]*Table6[[#This Row],[Plant Equivalent Weightage]],"")</f>
        <v>0.56025641025641004</v>
      </c>
      <c r="X413" s="262" t="s">
        <v>269</v>
      </c>
      <c r="Y413" s="263" t="s">
        <v>121</v>
      </c>
      <c r="Z413" s="102">
        <v>23298</v>
      </c>
      <c r="AA413" s="257">
        <f>(Table6[[#This Row],[Paired WTG Generation for loss calculation]]/24)*Table6[[#This Row],[Breakdown Time]]</f>
        <v>14140.591666666667</v>
      </c>
      <c r="AB413" s="102"/>
      <c r="AC413" s="35"/>
      <c r="AD413" s="35"/>
    </row>
    <row r="414" spans="1:30">
      <c r="A414" s="102">
        <f t="shared" si="7"/>
        <v>413</v>
      </c>
      <c r="B414" s="257">
        <f>YEAR(Table6[[#This Row],[Date]])+IF(MONTH(Table6[[#This Row],[Date]])&gt;=4,1,0)</f>
        <v>2026</v>
      </c>
      <c r="C414" s="102">
        <f>YEAR(Table6[[#This Row],[Date]])</f>
        <v>2025</v>
      </c>
      <c r="D414" s="102" t="s">
        <v>265</v>
      </c>
      <c r="E414" s="258">
        <f>Table6[[#This Row],[Date]]-DAY(Table6[[#This Row],[Date]])+1</f>
        <v>45748</v>
      </c>
      <c r="F414" s="259">
        <v>45774</v>
      </c>
      <c r="G414" s="35" t="s">
        <v>133</v>
      </c>
      <c r="H414" s="35" t="str">
        <f>IFERROR(_xlfn.XLOOKUP(Table6[[#This Row],[Affected WTG]],'Basic Data'!$A:$A,'Basic Data'!$B:$B),"")</f>
        <v>TQGXIIPL</v>
      </c>
      <c r="I414" s="35" t="str">
        <f>IFERROR(_xlfn.XLOOKUP(Table6[[#This Row],[Affected WTG]],'Basic Data'!$A:$A,'Basic Data'!$C:$C),"")</f>
        <v>GEDA</v>
      </c>
      <c r="J414" s="260">
        <f>IFERROR(_xlfn.XLOOKUP(Table6[[#This Row],[Affected WTG]],'Basic Data'!$A:$A,'Basic Data'!$E:$E),"")</f>
        <v>3.846153846153845E-2</v>
      </c>
      <c r="K414" s="102">
        <v>55</v>
      </c>
      <c r="L414" s="35" t="str">
        <f>IFERROR(_xlfn.XLOOKUP(Table6[[#This Row],[Error Code]],'Basic Data'!$AA:$AA,'Basic Data'!$AB:$AB),"Incorrect Error Code")</f>
        <v>WTG shut down</v>
      </c>
      <c r="M414" s="35" t="s">
        <v>266</v>
      </c>
      <c r="N414" s="264"/>
      <c r="O414" s="265">
        <v>0.70972222222222225</v>
      </c>
      <c r="P414" s="265">
        <v>0.70972222222222225</v>
      </c>
      <c r="Q414" s="266">
        <v>0.7319444444444444</v>
      </c>
      <c r="R414" s="261">
        <f>IF(Table6[[#This Row],[Work Start TimeStamp]]="","",(Table6[[#This Row],[Work Start TimeStamp]]-Table6[[#This Row],[Fault Start TimeStamp]])*24)</f>
        <v>0</v>
      </c>
      <c r="S414" s="261">
        <f>(Table6[[#This Row],[Fault Clearance time]]-Table6[[#This Row],[Work Start TimeStamp]])*24</f>
        <v>0.53333333333333144</v>
      </c>
      <c r="T414" s="261">
        <f>(Table6[[#This Row],[Fault Clearance time]]-Table6[[#This Row],[Fault Start TimeStamp]])*24</f>
        <v>0.53333333333333144</v>
      </c>
      <c r="U414" s="35" t="s">
        <v>377</v>
      </c>
      <c r="V414" s="102" t="s">
        <v>268</v>
      </c>
      <c r="W414" s="267">
        <f>IFERROR(Table6[[#This Row],[Breakdown Time]]*Table6[[#This Row],[Plant Equivalent Weightage]],"")</f>
        <v>2.0512820512820433E-2</v>
      </c>
      <c r="X414" s="262" t="s">
        <v>296</v>
      </c>
      <c r="Y414" s="263" t="s">
        <v>121</v>
      </c>
      <c r="Z414" s="102">
        <v>23298</v>
      </c>
      <c r="AA414" s="257">
        <f>(Table6[[#This Row],[Paired WTG Generation for loss calculation]]/24)*Table6[[#This Row],[Breakdown Time]]</f>
        <v>517.73333333333153</v>
      </c>
      <c r="AB414" s="102"/>
      <c r="AC414" s="35"/>
      <c r="AD414" s="35"/>
    </row>
    <row r="415" spans="1:30">
      <c r="A415" s="102">
        <f t="shared" si="7"/>
        <v>414</v>
      </c>
      <c r="B415" s="257">
        <f>YEAR(Table6[[#This Row],[Date]])+IF(MONTH(Table6[[#This Row],[Date]])&gt;=4,1,0)</f>
        <v>2026</v>
      </c>
      <c r="C415" s="102">
        <f>YEAR(Table6[[#This Row],[Date]])</f>
        <v>2025</v>
      </c>
      <c r="D415" s="102" t="s">
        <v>265</v>
      </c>
      <c r="E415" s="258">
        <f>Table6[[#This Row],[Date]]-DAY(Table6[[#This Row],[Date]])+1</f>
        <v>45748</v>
      </c>
      <c r="F415" s="259">
        <v>45774</v>
      </c>
      <c r="G415" s="35" t="s">
        <v>137</v>
      </c>
      <c r="H415" s="35" t="str">
        <f>IFERROR(_xlfn.XLOOKUP(Table6[[#This Row],[Affected WTG]],'Basic Data'!$A:$A,'Basic Data'!$B:$B),"")</f>
        <v>TQGXIIPL</v>
      </c>
      <c r="I415" s="35" t="str">
        <f>IFERROR(_xlfn.XLOOKUP(Table6[[#This Row],[Affected WTG]],'Basic Data'!$A:$A,'Basic Data'!$C:$C),"")</f>
        <v>GEDA</v>
      </c>
      <c r="J415" s="260">
        <f>IFERROR(_xlfn.XLOOKUP(Table6[[#This Row],[Affected WTG]],'Basic Data'!$A:$A,'Basic Data'!$E:$E),"")</f>
        <v>3.846153846153845E-2</v>
      </c>
      <c r="K415" s="102">
        <v>3211</v>
      </c>
      <c r="L415" s="35" t="str">
        <f>IFERROR(_xlfn.XLOOKUP(Table6[[#This Row],[Error Code]],'Basic Data'!$AA:$AA,'Basic Data'!$AB:$AB),"Incorrect Error Code")</f>
        <v>Conv. load shedding (CAN)</v>
      </c>
      <c r="M415" s="35" t="s">
        <v>266</v>
      </c>
      <c r="N415" s="264"/>
      <c r="O415" s="265">
        <v>0.38124999999999998</v>
      </c>
      <c r="P415" s="265">
        <v>0.38124999999999998</v>
      </c>
      <c r="Q415" s="266">
        <v>0.38333333333333336</v>
      </c>
      <c r="R415" s="261">
        <f>IF(Table6[[#This Row],[Work Start TimeStamp]]="","",(Table6[[#This Row],[Work Start TimeStamp]]-Table6[[#This Row],[Fault Start TimeStamp]])*24)</f>
        <v>0</v>
      </c>
      <c r="S415" s="261">
        <f>(Table6[[#This Row],[Fault Clearance time]]-Table6[[#This Row],[Work Start TimeStamp]])*24</f>
        <v>5.0000000000001155E-2</v>
      </c>
      <c r="T415" s="261">
        <f>(Table6[[#This Row],[Fault Clearance time]]-Table6[[#This Row],[Fault Start TimeStamp]])*24</f>
        <v>5.0000000000001155E-2</v>
      </c>
      <c r="U415" s="35" t="s">
        <v>267</v>
      </c>
      <c r="V415" s="102" t="s">
        <v>268</v>
      </c>
      <c r="W415" s="267">
        <f>IFERROR(Table6[[#This Row],[Breakdown Time]]*Table6[[#This Row],[Plant Equivalent Weightage]],"")</f>
        <v>1.923076923076967E-3</v>
      </c>
      <c r="X415" s="262" t="s">
        <v>269</v>
      </c>
      <c r="Y415" s="263" t="s">
        <v>125</v>
      </c>
      <c r="Z415" s="102">
        <v>18496</v>
      </c>
      <c r="AA415" s="257">
        <f>(Table6[[#This Row],[Paired WTG Generation for loss calculation]]/24)*Table6[[#This Row],[Breakdown Time]]</f>
        <v>38.53333333333422</v>
      </c>
      <c r="AB415" s="102"/>
      <c r="AC415" s="35"/>
      <c r="AD415" s="35"/>
    </row>
    <row r="416" spans="1:30">
      <c r="A416" s="102">
        <f t="shared" si="7"/>
        <v>415</v>
      </c>
      <c r="B416" s="257">
        <f>YEAR(Table6[[#This Row],[Date]])+IF(MONTH(Table6[[#This Row],[Date]])&gt;=4,1,0)</f>
        <v>2026</v>
      </c>
      <c r="C416" s="102">
        <f>YEAR(Table6[[#This Row],[Date]])</f>
        <v>2025</v>
      </c>
      <c r="D416" s="102" t="s">
        <v>265</v>
      </c>
      <c r="E416" s="258">
        <f>Table6[[#This Row],[Date]]-DAY(Table6[[#This Row],[Date]])+1</f>
        <v>45748</v>
      </c>
      <c r="F416" s="259">
        <v>45774</v>
      </c>
      <c r="G416" s="35" t="s">
        <v>140</v>
      </c>
      <c r="H416" s="35" t="str">
        <f>IFERROR(_xlfn.XLOOKUP(Table6[[#This Row],[Affected WTG]],'Basic Data'!$A:$A,'Basic Data'!$B:$B),"")</f>
        <v>TQGXIIPL</v>
      </c>
      <c r="I416" s="35" t="str">
        <f>IFERROR(_xlfn.XLOOKUP(Table6[[#This Row],[Affected WTG]],'Basic Data'!$A:$A,'Basic Data'!$C:$C),"")</f>
        <v>GEDA</v>
      </c>
      <c r="J416" s="260">
        <f>IFERROR(_xlfn.XLOOKUP(Table6[[#This Row],[Affected WTG]],'Basic Data'!$A:$A,'Basic Data'!$E:$E),"")</f>
        <v>3.846153846153845E-2</v>
      </c>
      <c r="K416" s="102">
        <v>3211</v>
      </c>
      <c r="L416" s="35" t="str">
        <f>IFERROR(_xlfn.XLOOKUP(Table6[[#This Row],[Error Code]],'Basic Data'!$AA:$AA,'Basic Data'!$AB:$AB),"Incorrect Error Code")</f>
        <v>Conv. load shedding (CAN)</v>
      </c>
      <c r="M416" s="35" t="s">
        <v>266</v>
      </c>
      <c r="N416" s="264"/>
      <c r="O416" s="265">
        <v>0.38124999999999998</v>
      </c>
      <c r="P416" s="265">
        <v>0.38124999999999998</v>
      </c>
      <c r="Q416" s="266">
        <v>0.38333333333333336</v>
      </c>
      <c r="R416" s="261">
        <f>IF(Table6[[#This Row],[Work Start TimeStamp]]="","",(Table6[[#This Row],[Work Start TimeStamp]]-Table6[[#This Row],[Fault Start TimeStamp]])*24)</f>
        <v>0</v>
      </c>
      <c r="S416" s="261">
        <f>(Table6[[#This Row],[Fault Clearance time]]-Table6[[#This Row],[Work Start TimeStamp]])*24</f>
        <v>5.0000000000001155E-2</v>
      </c>
      <c r="T416" s="261">
        <f>(Table6[[#This Row],[Fault Clearance time]]-Table6[[#This Row],[Fault Start TimeStamp]])*24</f>
        <v>5.0000000000001155E-2</v>
      </c>
      <c r="U416" s="35" t="s">
        <v>267</v>
      </c>
      <c r="V416" s="102" t="s">
        <v>268</v>
      </c>
      <c r="W416" s="267">
        <f>IFERROR(Table6[[#This Row],[Breakdown Time]]*Table6[[#This Row],[Plant Equivalent Weightage]],"")</f>
        <v>1.923076923076967E-3</v>
      </c>
      <c r="X416" s="262" t="s">
        <v>269</v>
      </c>
      <c r="Y416" s="263" t="s">
        <v>115</v>
      </c>
      <c r="Z416" s="102">
        <v>21657</v>
      </c>
      <c r="AA416" s="257">
        <f>(Table6[[#This Row],[Paired WTG Generation for loss calculation]]/24)*Table6[[#This Row],[Breakdown Time]]</f>
        <v>45.118750000001043</v>
      </c>
      <c r="AB416" s="102"/>
      <c r="AC416" s="35"/>
      <c r="AD416" s="35"/>
    </row>
    <row r="417" spans="1:30">
      <c r="A417" s="102">
        <f t="shared" si="7"/>
        <v>416</v>
      </c>
      <c r="B417" s="257">
        <f>YEAR(Table6[[#This Row],[Date]])+IF(MONTH(Table6[[#This Row],[Date]])&gt;=4,1,0)</f>
        <v>2026</v>
      </c>
      <c r="C417" s="102">
        <f>YEAR(Table6[[#This Row],[Date]])</f>
        <v>2025</v>
      </c>
      <c r="D417" s="102" t="s">
        <v>265</v>
      </c>
      <c r="E417" s="258">
        <f>Table6[[#This Row],[Date]]-DAY(Table6[[#This Row],[Date]])+1</f>
        <v>45748</v>
      </c>
      <c r="F417" s="259">
        <v>45775</v>
      </c>
      <c r="G417" s="35" t="s">
        <v>116</v>
      </c>
      <c r="H417" s="35" t="str">
        <f>IFERROR(_xlfn.XLOOKUP(Table6[[#This Row],[Affected WTG]],'Basic Data'!$A:$A,'Basic Data'!$B:$B),"")</f>
        <v>TQGXIIPL</v>
      </c>
      <c r="I417" s="35" t="str">
        <f>IFERROR(_xlfn.XLOOKUP(Table6[[#This Row],[Affected WTG]],'Basic Data'!$A:$A,'Basic Data'!$C:$C),"")</f>
        <v>GEDA</v>
      </c>
      <c r="J417" s="260">
        <f>IFERROR(_xlfn.XLOOKUP(Table6[[#This Row],[Affected WTG]],'Basic Data'!$A:$A,'Basic Data'!$E:$E),"")</f>
        <v>3.846153846153845E-2</v>
      </c>
      <c r="K417" s="102">
        <v>6130</v>
      </c>
      <c r="L417" s="35" t="str">
        <f>IFERROR(_xlfn.XLOOKUP(Table6[[#This Row],[Error Code]],'Basic Data'!$AA:$AA,'Basic Data'!$AB:$AB),"Incorrect Error Code")</f>
        <v>Yaw speed high</v>
      </c>
      <c r="M417" s="35" t="s">
        <v>278</v>
      </c>
      <c r="N417" s="264"/>
      <c r="O417" s="265">
        <v>0.47361111111111109</v>
      </c>
      <c r="P417" s="265">
        <v>0.47361111111111109</v>
      </c>
      <c r="Q417" s="266">
        <v>0.4777777777777778</v>
      </c>
      <c r="R417" s="261">
        <f>IF(Table6[[#This Row],[Work Start TimeStamp]]="","",(Table6[[#This Row],[Work Start TimeStamp]]-Table6[[#This Row],[Fault Start TimeStamp]])*24)</f>
        <v>0</v>
      </c>
      <c r="S417" s="261">
        <f>(Table6[[#This Row],[Fault Clearance time]]-Table6[[#This Row],[Work Start TimeStamp]])*24</f>
        <v>0.10000000000000098</v>
      </c>
      <c r="T417" s="261">
        <f>(Table6[[#This Row],[Fault Clearance time]]-Table6[[#This Row],[Fault Start TimeStamp]])*24</f>
        <v>0.10000000000000098</v>
      </c>
      <c r="U417" s="35" t="s">
        <v>277</v>
      </c>
      <c r="V417" s="102" t="s">
        <v>268</v>
      </c>
      <c r="W417" s="267">
        <f>IFERROR(Table6[[#This Row],[Breakdown Time]]*Table6[[#This Row],[Plant Equivalent Weightage]],"")</f>
        <v>3.8461538461538824E-3</v>
      </c>
      <c r="X417" s="262" t="s">
        <v>269</v>
      </c>
      <c r="Y417" s="263" t="s">
        <v>119</v>
      </c>
      <c r="Z417" s="102">
        <v>28941</v>
      </c>
      <c r="AA417" s="257">
        <f>(Table6[[#This Row],[Paired WTG Generation for loss calculation]]/24)*Table6[[#This Row],[Breakdown Time]]</f>
        <v>120.58750000000119</v>
      </c>
      <c r="AB417" s="102"/>
      <c r="AC417" s="35"/>
      <c r="AD417" s="35"/>
    </row>
    <row r="418" spans="1:30">
      <c r="A418" s="102">
        <f t="shared" si="7"/>
        <v>417</v>
      </c>
      <c r="B418" s="257">
        <f>YEAR(Table6[[#This Row],[Date]])+IF(MONTH(Table6[[#This Row],[Date]])&gt;=4,1,0)</f>
        <v>2026</v>
      </c>
      <c r="C418" s="102">
        <f>YEAR(Table6[[#This Row],[Date]])</f>
        <v>2025</v>
      </c>
      <c r="D418" s="102" t="s">
        <v>265</v>
      </c>
      <c r="E418" s="258">
        <f>Table6[[#This Row],[Date]]-DAY(Table6[[#This Row],[Date]])+1</f>
        <v>45748</v>
      </c>
      <c r="F418" s="259">
        <v>45775</v>
      </c>
      <c r="G418" s="35" t="s">
        <v>117</v>
      </c>
      <c r="H418" s="35" t="str">
        <f>IFERROR(_xlfn.XLOOKUP(Table6[[#This Row],[Affected WTG]],'Basic Data'!$A:$A,'Basic Data'!$B:$B),"")</f>
        <v>TQGXIIPL</v>
      </c>
      <c r="I418" s="35" t="str">
        <f>IFERROR(_xlfn.XLOOKUP(Table6[[#This Row],[Affected WTG]],'Basic Data'!$A:$A,'Basic Data'!$C:$C),"")</f>
        <v>GEDA</v>
      </c>
      <c r="J418" s="260">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266</v>
      </c>
      <c r="N418" s="264"/>
      <c r="O418" s="265">
        <v>0.77500000000000002</v>
      </c>
      <c r="P418" s="265">
        <v>0.77500000000000002</v>
      </c>
      <c r="Q418" s="266">
        <v>0.77986111111111112</v>
      </c>
      <c r="R418" s="261">
        <f>IF(Table6[[#This Row],[Work Start TimeStamp]]="","",(Table6[[#This Row],[Work Start TimeStamp]]-Table6[[#This Row],[Fault Start TimeStamp]])*24)</f>
        <v>0</v>
      </c>
      <c r="S418" s="261">
        <f>(Table6[[#This Row],[Fault Clearance time]]-Table6[[#This Row],[Work Start TimeStamp]])*24</f>
        <v>0.11666666666666625</v>
      </c>
      <c r="T418" s="261">
        <f>(Table6[[#This Row],[Fault Clearance time]]-Table6[[#This Row],[Fault Start TimeStamp]])*24</f>
        <v>0.11666666666666625</v>
      </c>
      <c r="U418" s="35" t="s">
        <v>378</v>
      </c>
      <c r="V418" s="102" t="s">
        <v>268</v>
      </c>
      <c r="W418" s="267">
        <f>IFERROR(Table6[[#This Row],[Breakdown Time]]*Table6[[#This Row],[Plant Equivalent Weightage]],"")</f>
        <v>4.4871794871794695E-3</v>
      </c>
      <c r="X418" s="262" t="s">
        <v>269</v>
      </c>
      <c r="Y418" s="263" t="s">
        <v>123</v>
      </c>
      <c r="Z418" s="102">
        <v>23663</v>
      </c>
      <c r="AA418" s="257">
        <f>(Table6[[#This Row],[Paired WTG Generation for loss calculation]]/24)*Table6[[#This Row],[Breakdown Time]]</f>
        <v>115.02847222222182</v>
      </c>
      <c r="AB418" s="102"/>
      <c r="AC418" s="35"/>
      <c r="AD418" s="35"/>
    </row>
    <row r="419" spans="1:30">
      <c r="A419" s="102">
        <f t="shared" si="7"/>
        <v>418</v>
      </c>
      <c r="B419" s="257">
        <f>YEAR(Table6[[#This Row],[Date]])+IF(MONTH(Table6[[#This Row],[Date]])&gt;=4,1,0)</f>
        <v>2026</v>
      </c>
      <c r="C419" s="102">
        <f>YEAR(Table6[[#This Row],[Date]])</f>
        <v>2025</v>
      </c>
      <c r="D419" s="102" t="s">
        <v>265</v>
      </c>
      <c r="E419" s="258">
        <f>Table6[[#This Row],[Date]]-DAY(Table6[[#This Row],[Date]])+1</f>
        <v>45748</v>
      </c>
      <c r="F419" s="259">
        <v>45775</v>
      </c>
      <c r="G419" s="35" t="s">
        <v>119</v>
      </c>
      <c r="H419" s="35" t="str">
        <f>IFERROR(_xlfn.XLOOKUP(Table6[[#This Row],[Affected WTG]],'Basic Data'!$A:$A,'Basic Data'!$B:$B),"")</f>
        <v>TQGXIIPL</v>
      </c>
      <c r="I419" s="35" t="str">
        <f>IFERROR(_xlfn.XLOOKUP(Table6[[#This Row],[Affected WTG]],'Basic Data'!$A:$A,'Basic Data'!$C:$C),"")</f>
        <v>GEDA</v>
      </c>
      <c r="J419" s="260">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266</v>
      </c>
      <c r="N419" s="264"/>
      <c r="O419" s="265">
        <v>0.47430555555555554</v>
      </c>
      <c r="P419" s="265">
        <v>0.47430555555555554</v>
      </c>
      <c r="Q419" s="266">
        <v>0.47638888888888886</v>
      </c>
      <c r="R419" s="261">
        <f>IF(Table6[[#This Row],[Work Start TimeStamp]]="","",(Table6[[#This Row],[Work Start TimeStamp]]-Table6[[#This Row],[Fault Start TimeStamp]])*24)</f>
        <v>0</v>
      </c>
      <c r="S419" s="261">
        <f>(Table6[[#This Row],[Fault Clearance time]]-Table6[[#This Row],[Work Start TimeStamp]])*24</f>
        <v>4.9999999999999822E-2</v>
      </c>
      <c r="T419" s="261">
        <f>(Table6[[#This Row],[Fault Clearance time]]-Table6[[#This Row],[Fault Start TimeStamp]])*24</f>
        <v>4.9999999999999822E-2</v>
      </c>
      <c r="U419" s="35" t="s">
        <v>267</v>
      </c>
      <c r="V419" s="102" t="s">
        <v>268</v>
      </c>
      <c r="W419" s="267">
        <f>IFERROR(Table6[[#This Row],[Breakdown Time]]*Table6[[#This Row],[Plant Equivalent Weightage]],"")</f>
        <v>1.9230769230769156E-3</v>
      </c>
      <c r="X419" s="262" t="s">
        <v>269</v>
      </c>
      <c r="Y419" s="263" t="s">
        <v>116</v>
      </c>
      <c r="Z419" s="102">
        <v>33725</v>
      </c>
      <c r="AA419" s="257">
        <f>(Table6[[#This Row],[Paired WTG Generation for loss calculation]]/24)*Table6[[#This Row],[Breakdown Time]]</f>
        <v>70.260416666666416</v>
      </c>
      <c r="AB419" s="102"/>
      <c r="AC419" s="35"/>
      <c r="AD419" s="35"/>
    </row>
    <row r="420" spans="1:30">
      <c r="A420" s="102">
        <f t="shared" si="7"/>
        <v>419</v>
      </c>
      <c r="B420" s="257">
        <f>YEAR(Table6[[#This Row],[Date]])+IF(MONTH(Table6[[#This Row],[Date]])&gt;=4,1,0)</f>
        <v>2026</v>
      </c>
      <c r="C420" s="102">
        <f>YEAR(Table6[[#This Row],[Date]])</f>
        <v>2025</v>
      </c>
      <c r="D420" s="102" t="s">
        <v>265</v>
      </c>
      <c r="E420" s="258">
        <f>Table6[[#This Row],[Date]]-DAY(Table6[[#This Row],[Date]])+1</f>
        <v>45748</v>
      </c>
      <c r="F420" s="259">
        <v>45775</v>
      </c>
      <c r="G420" s="35" t="s">
        <v>119</v>
      </c>
      <c r="H420" s="35" t="str">
        <f>IFERROR(_xlfn.XLOOKUP(Table6[[#This Row],[Affected WTG]],'Basic Data'!$A:$A,'Basic Data'!$B:$B),"")</f>
        <v>TQGXIIPL</v>
      </c>
      <c r="I420" s="35" t="str">
        <f>IFERROR(_xlfn.XLOOKUP(Table6[[#This Row],[Affected WTG]],'Basic Data'!$A:$A,'Basic Data'!$C:$C),"")</f>
        <v>GEDA</v>
      </c>
      <c r="J420" s="260">
        <f>IFERROR(_xlfn.XLOOKUP(Table6[[#This Row],[Affected WTG]],'Basic Data'!$A:$A,'Basic Data'!$E:$E),"")</f>
        <v>3.846153846153845E-2</v>
      </c>
      <c r="K420" s="102">
        <v>6130</v>
      </c>
      <c r="L420" s="35" t="str">
        <f>IFERROR(_xlfn.XLOOKUP(Table6[[#This Row],[Error Code]],'Basic Data'!$AA:$AA,'Basic Data'!$AB:$AB),"Incorrect Error Code")</f>
        <v>Yaw speed high</v>
      </c>
      <c r="M420" s="35" t="s">
        <v>278</v>
      </c>
      <c r="N420" s="264"/>
      <c r="O420" s="265">
        <v>0.74861111111111112</v>
      </c>
      <c r="P420" s="265">
        <v>0.74861111111111112</v>
      </c>
      <c r="Q420" s="266">
        <v>0.75277777777777777</v>
      </c>
      <c r="R420" s="261">
        <f>IF(Table6[[#This Row],[Work Start TimeStamp]]="","",(Table6[[#This Row],[Work Start TimeStamp]]-Table6[[#This Row],[Fault Start TimeStamp]])*24)</f>
        <v>0</v>
      </c>
      <c r="S420" s="261">
        <f>(Table6[[#This Row],[Fault Clearance time]]-Table6[[#This Row],[Work Start TimeStamp]])*24</f>
        <v>9.9999999999999645E-2</v>
      </c>
      <c r="T420" s="261">
        <f>(Table6[[#This Row],[Fault Clearance time]]-Table6[[#This Row],[Fault Start TimeStamp]])*24</f>
        <v>9.9999999999999645E-2</v>
      </c>
      <c r="U420" s="35" t="s">
        <v>277</v>
      </c>
      <c r="V420" s="102" t="s">
        <v>268</v>
      </c>
      <c r="W420" s="267">
        <f>IFERROR(Table6[[#This Row],[Breakdown Time]]*Table6[[#This Row],[Plant Equivalent Weightage]],"")</f>
        <v>3.8461538461538312E-3</v>
      </c>
      <c r="X420" s="262" t="s">
        <v>269</v>
      </c>
      <c r="Y420" s="263" t="s">
        <v>116</v>
      </c>
      <c r="Z420" s="102">
        <v>33725</v>
      </c>
      <c r="AA420" s="257">
        <f>(Table6[[#This Row],[Paired WTG Generation for loss calculation]]/24)*Table6[[#This Row],[Breakdown Time]]</f>
        <v>140.52083333333283</v>
      </c>
      <c r="AB420" s="102"/>
      <c r="AC420" s="35"/>
      <c r="AD420" s="35"/>
    </row>
    <row r="421" spans="1:30">
      <c r="A421" s="102">
        <f t="shared" si="7"/>
        <v>420</v>
      </c>
      <c r="B421" s="257">
        <f>YEAR(Table6[[#This Row],[Date]])+IF(MONTH(Table6[[#This Row],[Date]])&gt;=4,1,0)</f>
        <v>2026</v>
      </c>
      <c r="C421" s="102">
        <f>YEAR(Table6[[#This Row],[Date]])</f>
        <v>2025</v>
      </c>
      <c r="D421" s="102" t="s">
        <v>265</v>
      </c>
      <c r="E421" s="258">
        <f>Table6[[#This Row],[Date]]-DAY(Table6[[#This Row],[Date]])+1</f>
        <v>45748</v>
      </c>
      <c r="F421" s="259">
        <v>45775</v>
      </c>
      <c r="G421" s="35" t="s">
        <v>119</v>
      </c>
      <c r="H421" s="35" t="str">
        <f>IFERROR(_xlfn.XLOOKUP(Table6[[#This Row],[Affected WTG]],'Basic Data'!$A:$A,'Basic Data'!$B:$B),"")</f>
        <v>TQGXIIPL</v>
      </c>
      <c r="I421" s="35" t="str">
        <f>IFERROR(_xlfn.XLOOKUP(Table6[[#This Row],[Affected WTG]],'Basic Data'!$A:$A,'Basic Data'!$C:$C),"")</f>
        <v>GEDA</v>
      </c>
      <c r="J421" s="260">
        <f>IFERROR(_xlfn.XLOOKUP(Table6[[#This Row],[Affected WTG]],'Basic Data'!$A:$A,'Basic Data'!$E:$E),"")</f>
        <v>3.846153846153845E-2</v>
      </c>
      <c r="K421" s="102">
        <v>55</v>
      </c>
      <c r="L421" s="35" t="str">
        <f>IFERROR(_xlfn.XLOOKUP(Table6[[#This Row],[Error Code]],'Basic Data'!$AA:$AA,'Basic Data'!$AB:$AB),"Incorrect Error Code")</f>
        <v>WTG shut down</v>
      </c>
      <c r="M421" s="35" t="s">
        <v>300</v>
      </c>
      <c r="N421" s="264"/>
      <c r="O421" s="265">
        <v>0.85763888888888884</v>
      </c>
      <c r="P421" s="265">
        <v>0.85763888888888884</v>
      </c>
      <c r="Q421" s="266">
        <v>0.92638888888888893</v>
      </c>
      <c r="R421" s="261">
        <f>IF(Table6[[#This Row],[Work Start TimeStamp]]="","",(Table6[[#This Row],[Work Start TimeStamp]]-Table6[[#This Row],[Fault Start TimeStamp]])*24)</f>
        <v>0</v>
      </c>
      <c r="S421" s="261">
        <f>(Table6[[#This Row],[Fault Clearance time]]-Table6[[#This Row],[Work Start TimeStamp]])*24</f>
        <v>1.6500000000000021</v>
      </c>
      <c r="T421" s="261">
        <f>(Table6[[#This Row],[Fault Clearance time]]-Table6[[#This Row],[Fault Start TimeStamp]])*24</f>
        <v>1.6500000000000021</v>
      </c>
      <c r="U421" s="35" t="s">
        <v>301</v>
      </c>
      <c r="V421" s="102" t="s">
        <v>268</v>
      </c>
      <c r="W421" s="267">
        <f>IFERROR(Table6[[#This Row],[Breakdown Time]]*Table6[[#This Row],[Plant Equivalent Weightage]],"")</f>
        <v>6.3461538461538528E-2</v>
      </c>
      <c r="X421" s="262" t="s">
        <v>296</v>
      </c>
      <c r="Y421" s="263" t="s">
        <v>116</v>
      </c>
      <c r="Z421" s="102">
        <v>33725</v>
      </c>
      <c r="AA421" s="257">
        <f>(Table6[[#This Row],[Paired WTG Generation for loss calculation]]/24)*Table6[[#This Row],[Breakdown Time]]</f>
        <v>2318.5937500000027</v>
      </c>
      <c r="AB421" s="102"/>
      <c r="AC421" s="35"/>
      <c r="AD421" s="35"/>
    </row>
    <row r="422" spans="1:30">
      <c r="A422" s="102">
        <f t="shared" si="7"/>
        <v>421</v>
      </c>
      <c r="B422" s="257">
        <f>YEAR(Table6[[#This Row],[Date]])+IF(MONTH(Table6[[#This Row],[Date]])&gt;=4,1,0)</f>
        <v>2026</v>
      </c>
      <c r="C422" s="102">
        <f>YEAR(Table6[[#This Row],[Date]])</f>
        <v>2025</v>
      </c>
      <c r="D422" s="102" t="s">
        <v>265</v>
      </c>
      <c r="E422" s="258">
        <f>Table6[[#This Row],[Date]]-DAY(Table6[[#This Row],[Date]])+1</f>
        <v>45748</v>
      </c>
      <c r="F422" s="259">
        <v>45775</v>
      </c>
      <c r="G422" s="35" t="s">
        <v>120</v>
      </c>
      <c r="H422" s="35" t="str">
        <f>IFERROR(_xlfn.XLOOKUP(Table6[[#This Row],[Affected WTG]],'Basic Data'!$A:$A,'Basic Data'!$B:$B),"")</f>
        <v>TQGXIIPL</v>
      </c>
      <c r="I422" s="35" t="str">
        <f>IFERROR(_xlfn.XLOOKUP(Table6[[#This Row],[Affected WTG]],'Basic Data'!$A:$A,'Basic Data'!$C:$C),"")</f>
        <v>GEDA</v>
      </c>
      <c r="J422" s="260">
        <f>IFERROR(_xlfn.XLOOKUP(Table6[[#This Row],[Affected WTG]],'Basic Data'!$A:$A,'Basic Data'!$E:$E),"")</f>
        <v>3.846153846153845E-2</v>
      </c>
      <c r="K422" s="102">
        <v>55</v>
      </c>
      <c r="L422" s="35" t="str">
        <f>IFERROR(_xlfn.XLOOKUP(Table6[[#This Row],[Error Code]],'Basic Data'!$AA:$AA,'Basic Data'!$AB:$AB),"Incorrect Error Code")</f>
        <v>WTG shut down</v>
      </c>
      <c r="M422" s="35" t="s">
        <v>271</v>
      </c>
      <c r="N422" s="264"/>
      <c r="O422" s="265">
        <v>0.28472222222222221</v>
      </c>
      <c r="P422" s="265">
        <v>0.28472222222222221</v>
      </c>
      <c r="Q422" s="266">
        <v>0.60833333333333328</v>
      </c>
      <c r="R422" s="261">
        <f>IF(Table6[[#This Row],[Work Start TimeStamp]]="","",(Table6[[#This Row],[Work Start TimeStamp]]-Table6[[#This Row],[Fault Start TimeStamp]])*24)</f>
        <v>0</v>
      </c>
      <c r="S422" s="261">
        <f>(Table6[[#This Row],[Fault Clearance time]]-Table6[[#This Row],[Work Start TimeStamp]])*24</f>
        <v>7.7666666666666657</v>
      </c>
      <c r="T422" s="261">
        <f>(Table6[[#This Row],[Fault Clearance time]]-Table6[[#This Row],[Fault Start TimeStamp]])*24</f>
        <v>7.7666666666666657</v>
      </c>
      <c r="U422" s="35" t="s">
        <v>379</v>
      </c>
      <c r="V422" s="102" t="s">
        <v>268</v>
      </c>
      <c r="W422" s="267">
        <f>IFERROR(Table6[[#This Row],[Breakdown Time]]*Table6[[#This Row],[Plant Equivalent Weightage]],"")</f>
        <v>0.2987179487179486</v>
      </c>
      <c r="X422" s="262" t="s">
        <v>273</v>
      </c>
      <c r="Y422" s="263" t="s">
        <v>135</v>
      </c>
      <c r="Z422" s="102">
        <v>21721</v>
      </c>
      <c r="AA422" s="257">
        <f>(Table6[[#This Row],[Paired WTG Generation for loss calculation]]/24)*Table6[[#This Row],[Breakdown Time]]</f>
        <v>7029.1569444444431</v>
      </c>
      <c r="AB422" s="102"/>
      <c r="AC422" s="35"/>
      <c r="AD422" s="35"/>
    </row>
    <row r="423" spans="1:30">
      <c r="A423" s="102">
        <f t="shared" si="7"/>
        <v>422</v>
      </c>
      <c r="B423" s="257">
        <f>YEAR(Table6[[#This Row],[Date]])+IF(MONTH(Table6[[#This Row],[Date]])&gt;=4,1,0)</f>
        <v>2026</v>
      </c>
      <c r="C423" s="102">
        <f>YEAR(Table6[[#This Row],[Date]])</f>
        <v>2025</v>
      </c>
      <c r="D423" s="102" t="s">
        <v>265</v>
      </c>
      <c r="E423" s="258">
        <f>Table6[[#This Row],[Date]]-DAY(Table6[[#This Row],[Date]])+1</f>
        <v>45748</v>
      </c>
      <c r="F423" s="259">
        <v>45775</v>
      </c>
      <c r="G423" s="35" t="s">
        <v>120</v>
      </c>
      <c r="H423" s="35" t="str">
        <f>IFERROR(_xlfn.XLOOKUP(Table6[[#This Row],[Affected WTG]],'Basic Data'!$A:$A,'Basic Data'!$B:$B),"")</f>
        <v>TQGXIIPL</v>
      </c>
      <c r="I423" s="35" t="str">
        <f>IFERROR(_xlfn.XLOOKUP(Table6[[#This Row],[Affected WTG]],'Basic Data'!$A:$A,'Basic Data'!$C:$C),"")</f>
        <v>GEDA</v>
      </c>
      <c r="J423" s="260">
        <f>IFERROR(_xlfn.XLOOKUP(Table6[[#This Row],[Affected WTG]],'Basic Data'!$A:$A,'Basic Data'!$E:$E),"")</f>
        <v>3.846153846153845E-2</v>
      </c>
      <c r="K423" s="102">
        <v>6056</v>
      </c>
      <c r="L423" s="35" t="str">
        <f>IFERROR(_xlfn.XLOOKUP(Table6[[#This Row],[Error Code]],'Basic Data'!$AA:$AA,'Basic Data'!$AB:$AB),"Incorrect Error Code")</f>
        <v>High yaw load</v>
      </c>
      <c r="M423" s="35" t="s">
        <v>266</v>
      </c>
      <c r="N423" s="264"/>
      <c r="O423" s="265">
        <v>0.66180555555555554</v>
      </c>
      <c r="P423" s="265">
        <v>0.66180555555555554</v>
      </c>
      <c r="Q423" s="266">
        <v>0.66319444444444442</v>
      </c>
      <c r="R423" s="261">
        <f>IF(Table6[[#This Row],[Work Start TimeStamp]]="","",(Table6[[#This Row],[Work Start TimeStamp]]-Table6[[#This Row],[Fault Start TimeStamp]])*24)</f>
        <v>0</v>
      </c>
      <c r="S423" s="261">
        <f>(Table6[[#This Row],[Fault Clearance time]]-Table6[[#This Row],[Work Start TimeStamp]])*24</f>
        <v>3.3333333333333215E-2</v>
      </c>
      <c r="T423" s="261">
        <f>(Table6[[#This Row],[Fault Clearance time]]-Table6[[#This Row],[Fault Start TimeStamp]])*24</f>
        <v>3.3333333333333215E-2</v>
      </c>
      <c r="U423" s="35" t="s">
        <v>267</v>
      </c>
      <c r="V423" s="102" t="s">
        <v>268</v>
      </c>
      <c r="W423" s="267">
        <f>IFERROR(Table6[[#This Row],[Breakdown Time]]*Table6[[#This Row],[Plant Equivalent Weightage]],"")</f>
        <v>1.2820512820512771E-3</v>
      </c>
      <c r="X423" s="262" t="s">
        <v>269</v>
      </c>
      <c r="Y423" s="263" t="s">
        <v>135</v>
      </c>
      <c r="Z423" s="102">
        <v>21721</v>
      </c>
      <c r="AA423" s="257">
        <f>(Table6[[#This Row],[Paired WTG Generation for loss calculation]]/24)*Table6[[#This Row],[Breakdown Time]]</f>
        <v>30.168055555555448</v>
      </c>
      <c r="AB423" s="102"/>
      <c r="AC423" s="35"/>
      <c r="AD423" s="35"/>
    </row>
    <row r="424" spans="1:30">
      <c r="A424" s="102">
        <f t="shared" si="7"/>
        <v>423</v>
      </c>
      <c r="B424" s="257">
        <f>YEAR(Table6[[#This Row],[Date]])+IF(MONTH(Table6[[#This Row],[Date]])&gt;=4,1,0)</f>
        <v>2026</v>
      </c>
      <c r="C424" s="102">
        <f>YEAR(Table6[[#This Row],[Date]])</f>
        <v>2025</v>
      </c>
      <c r="D424" s="102" t="s">
        <v>265</v>
      </c>
      <c r="E424" s="258">
        <f>Table6[[#This Row],[Date]]-DAY(Table6[[#This Row],[Date]])+1</f>
        <v>45748</v>
      </c>
      <c r="F424" s="259">
        <v>45775</v>
      </c>
      <c r="G424" s="35" t="s">
        <v>126</v>
      </c>
      <c r="H424" s="35" t="str">
        <f>IFERROR(_xlfn.XLOOKUP(Table6[[#This Row],[Affected WTG]],'Basic Data'!$A:$A,'Basic Data'!$B:$B),"")</f>
        <v>TQGXIIPL</v>
      </c>
      <c r="I424" s="35" t="str">
        <f>IFERROR(_xlfn.XLOOKUP(Table6[[#This Row],[Affected WTG]],'Basic Data'!$A:$A,'Basic Data'!$C:$C),"")</f>
        <v>GEDA</v>
      </c>
      <c r="J424" s="260">
        <f>IFERROR(_xlfn.XLOOKUP(Table6[[#This Row],[Affected WTG]],'Basic Data'!$A:$A,'Basic Data'!$E:$E),"")</f>
        <v>3.846153846153845E-2</v>
      </c>
      <c r="K424" s="102">
        <v>55</v>
      </c>
      <c r="L424" s="35" t="str">
        <f>IFERROR(_xlfn.XLOOKUP(Table6[[#This Row],[Error Code]],'Basic Data'!$AA:$AA,'Basic Data'!$AB:$AB),"Incorrect Error Code")</f>
        <v>WTG shut down</v>
      </c>
      <c r="M424" s="35" t="s">
        <v>300</v>
      </c>
      <c r="N424" s="264"/>
      <c r="O424" s="265">
        <v>0.78680555555555554</v>
      </c>
      <c r="P424" s="265">
        <v>0.78680555555555554</v>
      </c>
      <c r="Q424" s="266">
        <v>0.84027777777777779</v>
      </c>
      <c r="R424" s="261">
        <f>IF(Table6[[#This Row],[Work Start TimeStamp]]="","",(Table6[[#This Row],[Work Start TimeStamp]]-Table6[[#This Row],[Fault Start TimeStamp]])*24)</f>
        <v>0</v>
      </c>
      <c r="S424" s="261">
        <f>(Table6[[#This Row],[Fault Clearance time]]-Table6[[#This Row],[Work Start TimeStamp]])*24</f>
        <v>1.2833333333333341</v>
      </c>
      <c r="T424" s="261">
        <f>(Table6[[#This Row],[Fault Clearance time]]-Table6[[#This Row],[Fault Start TimeStamp]])*24</f>
        <v>1.2833333333333341</v>
      </c>
      <c r="U424" s="35" t="s">
        <v>380</v>
      </c>
      <c r="V424" s="102" t="s">
        <v>268</v>
      </c>
      <c r="W424" s="267">
        <f>IFERROR(Table6[[#This Row],[Breakdown Time]]*Table6[[#This Row],[Plant Equivalent Weightage]],"")</f>
        <v>4.9358974358974371E-2</v>
      </c>
      <c r="X424" s="262" t="s">
        <v>296</v>
      </c>
      <c r="Y424" s="263" t="s">
        <v>128</v>
      </c>
      <c r="Z424" s="102">
        <v>20172</v>
      </c>
      <c r="AA424" s="257">
        <f>(Table6[[#This Row],[Paired WTG Generation for loss calculation]]/24)*Table6[[#This Row],[Breakdown Time]]</f>
        <v>1078.6416666666673</v>
      </c>
      <c r="AB424" s="102"/>
      <c r="AC424" s="35"/>
      <c r="AD424" s="35"/>
    </row>
    <row r="425" spans="1:30">
      <c r="A425" s="102">
        <f t="shared" si="7"/>
        <v>424</v>
      </c>
      <c r="B425" s="257">
        <f>YEAR(Table6[[#This Row],[Date]])+IF(MONTH(Table6[[#This Row],[Date]])&gt;=4,1,0)</f>
        <v>2026</v>
      </c>
      <c r="C425" s="102">
        <f>YEAR(Table6[[#This Row],[Date]])</f>
        <v>2025</v>
      </c>
      <c r="D425" s="102" t="s">
        <v>265</v>
      </c>
      <c r="E425" s="258">
        <f>Table6[[#This Row],[Date]]-DAY(Table6[[#This Row],[Date]])+1</f>
        <v>45748</v>
      </c>
      <c r="F425" s="259">
        <v>45775</v>
      </c>
      <c r="G425" s="35" t="s">
        <v>130</v>
      </c>
      <c r="H425" s="35" t="str">
        <f>IFERROR(_xlfn.XLOOKUP(Table6[[#This Row],[Affected WTG]],'Basic Data'!$A:$A,'Basic Data'!$B:$B),"")</f>
        <v>TQGXIIPL</v>
      </c>
      <c r="I425" s="35" t="str">
        <f>IFERROR(_xlfn.XLOOKUP(Table6[[#This Row],[Affected WTG]],'Basic Data'!$A:$A,'Basic Data'!$C:$C),"")</f>
        <v>GEDA</v>
      </c>
      <c r="J425" s="260">
        <f>IFERROR(_xlfn.XLOOKUP(Table6[[#This Row],[Affected WTG]],'Basic Data'!$A:$A,'Basic Data'!$E:$E),"")</f>
        <v>3.846153846153845E-2</v>
      </c>
      <c r="K425" s="102">
        <v>55</v>
      </c>
      <c r="L425" s="35" t="str">
        <f>IFERROR(_xlfn.XLOOKUP(Table6[[#This Row],[Error Code]],'Basic Data'!$AA:$AA,'Basic Data'!$AB:$AB),"Incorrect Error Code")</f>
        <v>WTG shut down</v>
      </c>
      <c r="M425" s="35" t="s">
        <v>266</v>
      </c>
      <c r="N425" s="264"/>
      <c r="O425" s="265">
        <v>0.69791666666666663</v>
      </c>
      <c r="P425" s="265">
        <v>0.69791666666666663</v>
      </c>
      <c r="Q425" s="266">
        <v>0.7270833333333333</v>
      </c>
      <c r="R425" s="261">
        <f>IF(Table6[[#This Row],[Work Start TimeStamp]]="","",(Table6[[#This Row],[Work Start TimeStamp]]-Table6[[#This Row],[Fault Start TimeStamp]])*24)</f>
        <v>0</v>
      </c>
      <c r="S425" s="261">
        <f>(Table6[[#This Row],[Fault Clearance time]]-Table6[[#This Row],[Work Start TimeStamp]])*24</f>
        <v>0.70000000000000018</v>
      </c>
      <c r="T425" s="261">
        <f>(Table6[[#This Row],[Fault Clearance time]]-Table6[[#This Row],[Fault Start TimeStamp]])*24</f>
        <v>0.70000000000000018</v>
      </c>
      <c r="U425" s="35" t="s">
        <v>361</v>
      </c>
      <c r="V425" s="102" t="s">
        <v>268</v>
      </c>
      <c r="W425" s="267">
        <f>IFERROR(Table6[[#This Row],[Breakdown Time]]*Table6[[#This Row],[Plant Equivalent Weightage]],"")</f>
        <v>2.6923076923076921E-2</v>
      </c>
      <c r="X425" s="262" t="s">
        <v>296</v>
      </c>
      <c r="Y425" s="263" t="s">
        <v>135</v>
      </c>
      <c r="Z425" s="102">
        <v>21721</v>
      </c>
      <c r="AA425" s="257">
        <f>(Table6[[#This Row],[Paired WTG Generation for loss calculation]]/24)*Table6[[#This Row],[Breakdown Time]]</f>
        <v>633.52916666666681</v>
      </c>
      <c r="AB425" s="102"/>
      <c r="AC425" s="35"/>
      <c r="AD425" s="35"/>
    </row>
    <row r="426" spans="1:30">
      <c r="A426" s="102">
        <f t="shared" si="7"/>
        <v>425</v>
      </c>
      <c r="B426" s="257">
        <f>YEAR(Table6[[#This Row],[Date]])+IF(MONTH(Table6[[#This Row],[Date]])&gt;=4,1,0)</f>
        <v>2026</v>
      </c>
      <c r="C426" s="102">
        <f>YEAR(Table6[[#This Row],[Date]])</f>
        <v>2025</v>
      </c>
      <c r="D426" s="102" t="s">
        <v>265</v>
      </c>
      <c r="E426" s="258">
        <f>Table6[[#This Row],[Date]]-DAY(Table6[[#This Row],[Date]])+1</f>
        <v>45748</v>
      </c>
      <c r="F426" s="259">
        <v>45775</v>
      </c>
      <c r="G426" s="35" t="s">
        <v>131</v>
      </c>
      <c r="H426" s="35" t="str">
        <f>IFERROR(_xlfn.XLOOKUP(Table6[[#This Row],[Affected WTG]],'Basic Data'!$A:$A,'Basic Data'!$B:$B),"")</f>
        <v>TQGXIIPL</v>
      </c>
      <c r="I426" s="35" t="str">
        <f>IFERROR(_xlfn.XLOOKUP(Table6[[#This Row],[Affected WTG]],'Basic Data'!$A:$A,'Basic Data'!$C:$C),"")</f>
        <v>GEDA</v>
      </c>
      <c r="J426" s="260">
        <f>IFERROR(_xlfn.XLOOKUP(Table6[[#This Row],[Affected WTG]],'Basic Data'!$A:$A,'Basic Data'!$E:$E),"")</f>
        <v>3.846153846153845E-2</v>
      </c>
      <c r="K426" s="102">
        <v>551</v>
      </c>
      <c r="L426" s="35" t="str">
        <f>IFERROR(_xlfn.XLOOKUP(Table6[[#This Row],[Error Code]],'Basic Data'!$AA:$AA,'Basic Data'!$AB:$AB),"Incorrect Error Code")</f>
        <v>Pitch motor current too high</v>
      </c>
      <c r="M426" s="35" t="s">
        <v>266</v>
      </c>
      <c r="N426" s="264"/>
      <c r="O426" s="265">
        <v>0.25208333333333333</v>
      </c>
      <c r="P426" s="265">
        <v>0.25208333333333333</v>
      </c>
      <c r="Q426" s="266">
        <v>0.25555555555555554</v>
      </c>
      <c r="R426" s="261">
        <f>IF(Table6[[#This Row],[Work Start TimeStamp]]="","",(Table6[[#This Row],[Work Start TimeStamp]]-Table6[[#This Row],[Fault Start TimeStamp]])*24)</f>
        <v>0</v>
      </c>
      <c r="S426" s="261">
        <f>(Table6[[#This Row],[Fault Clearance time]]-Table6[[#This Row],[Work Start TimeStamp]])*24</f>
        <v>8.3333333333333037E-2</v>
      </c>
      <c r="T426" s="261">
        <f>(Table6[[#This Row],[Fault Clearance time]]-Table6[[#This Row],[Fault Start TimeStamp]])*24</f>
        <v>8.3333333333333037E-2</v>
      </c>
      <c r="U426" s="35" t="s">
        <v>267</v>
      </c>
      <c r="V426" s="102" t="s">
        <v>268</v>
      </c>
      <c r="W426" s="267">
        <f>IFERROR(Table6[[#This Row],[Breakdown Time]]*Table6[[#This Row],[Plant Equivalent Weightage]],"")</f>
        <v>3.2051282051281929E-3</v>
      </c>
      <c r="X426" s="262" t="s">
        <v>269</v>
      </c>
      <c r="Y426" s="263" t="s">
        <v>136</v>
      </c>
      <c r="Z426" s="102">
        <v>28665</v>
      </c>
      <c r="AA426" s="257">
        <f>(Table6[[#This Row],[Paired WTG Generation for loss calculation]]/24)*Table6[[#This Row],[Breakdown Time]]</f>
        <v>99.531249999999645</v>
      </c>
      <c r="AB426" s="102"/>
      <c r="AC426" s="35"/>
      <c r="AD426" s="35"/>
    </row>
    <row r="427" spans="1:30">
      <c r="A427" s="102">
        <f t="shared" si="7"/>
        <v>426</v>
      </c>
      <c r="B427" s="257">
        <f>YEAR(Table6[[#This Row],[Date]])+IF(MONTH(Table6[[#This Row],[Date]])&gt;=4,1,0)</f>
        <v>2026</v>
      </c>
      <c r="C427" s="102">
        <f>YEAR(Table6[[#This Row],[Date]])</f>
        <v>2025</v>
      </c>
      <c r="D427" s="102" t="s">
        <v>265</v>
      </c>
      <c r="E427" s="258">
        <f>Table6[[#This Row],[Date]]-DAY(Table6[[#This Row],[Date]])+1</f>
        <v>45748</v>
      </c>
      <c r="F427" s="259">
        <v>45775</v>
      </c>
      <c r="G427" s="35" t="s">
        <v>131</v>
      </c>
      <c r="H427" s="35" t="str">
        <f>IFERROR(_xlfn.XLOOKUP(Table6[[#This Row],[Affected WTG]],'Basic Data'!$A:$A,'Basic Data'!$B:$B),"")</f>
        <v>TQGXIIPL</v>
      </c>
      <c r="I427" s="35" t="str">
        <f>IFERROR(_xlfn.XLOOKUP(Table6[[#This Row],[Affected WTG]],'Basic Data'!$A:$A,'Basic Data'!$C:$C),"")</f>
        <v>GEDA</v>
      </c>
      <c r="J427" s="260">
        <f>IFERROR(_xlfn.XLOOKUP(Table6[[#This Row],[Affected WTG]],'Basic Data'!$A:$A,'Basic Data'!$E:$E),"")</f>
        <v>3.846153846153845E-2</v>
      </c>
      <c r="K427" s="102">
        <v>55</v>
      </c>
      <c r="L427" s="35" t="str">
        <f>IFERROR(_xlfn.XLOOKUP(Table6[[#This Row],[Error Code]],'Basic Data'!$AA:$AA,'Basic Data'!$AB:$AB),"Incorrect Error Code")</f>
        <v>WTG shut down</v>
      </c>
      <c r="M427" s="35" t="s">
        <v>291</v>
      </c>
      <c r="N427" s="264"/>
      <c r="O427" s="265">
        <v>0.3527777777777778</v>
      </c>
      <c r="P427" s="265">
        <v>0.3527777777777778</v>
      </c>
      <c r="Q427" s="266">
        <v>0.69097222222222221</v>
      </c>
      <c r="R427" s="261">
        <f>IF(Table6[[#This Row],[Work Start TimeStamp]]="","",(Table6[[#This Row],[Work Start TimeStamp]]-Table6[[#This Row],[Fault Start TimeStamp]])*24)</f>
        <v>0</v>
      </c>
      <c r="S427" s="261">
        <f>(Table6[[#This Row],[Fault Clearance time]]-Table6[[#This Row],[Work Start TimeStamp]])*24</f>
        <v>8.1166666666666654</v>
      </c>
      <c r="T427" s="261">
        <f>(Table6[[#This Row],[Fault Clearance time]]-Table6[[#This Row],[Fault Start TimeStamp]])*24</f>
        <v>8.1166666666666654</v>
      </c>
      <c r="U427" s="35" t="s">
        <v>362</v>
      </c>
      <c r="V427" s="102" t="s">
        <v>268</v>
      </c>
      <c r="W427" s="267">
        <f>IFERROR(Table6[[#This Row],[Breakdown Time]]*Table6[[#This Row],[Plant Equivalent Weightage]],"")</f>
        <v>0.31217948717948701</v>
      </c>
      <c r="X427" s="262" t="s">
        <v>296</v>
      </c>
      <c r="Y427" s="263" t="s">
        <v>136</v>
      </c>
      <c r="Z427" s="102">
        <v>28665</v>
      </c>
      <c r="AA427" s="257">
        <f>(Table6[[#This Row],[Paired WTG Generation for loss calculation]]/24)*Table6[[#This Row],[Breakdown Time]]</f>
        <v>9694.3437499999982</v>
      </c>
      <c r="AB427" s="102"/>
      <c r="AC427" s="35"/>
      <c r="AD427" s="35"/>
    </row>
    <row r="428" spans="1:30">
      <c r="A428" s="102">
        <f t="shared" si="7"/>
        <v>427</v>
      </c>
      <c r="B428" s="257">
        <f>YEAR(Table6[[#This Row],[Date]])+IF(MONTH(Table6[[#This Row],[Date]])&gt;=4,1,0)</f>
        <v>2026</v>
      </c>
      <c r="C428" s="102">
        <f>YEAR(Table6[[#This Row],[Date]])</f>
        <v>2025</v>
      </c>
      <c r="D428" s="102" t="s">
        <v>265</v>
      </c>
      <c r="E428" s="258">
        <f>Table6[[#This Row],[Date]]-DAY(Table6[[#This Row],[Date]])+1</f>
        <v>45748</v>
      </c>
      <c r="F428" s="259">
        <v>45775</v>
      </c>
      <c r="G428" s="35" t="s">
        <v>131</v>
      </c>
      <c r="H428" s="35" t="str">
        <f>IFERROR(_xlfn.XLOOKUP(Table6[[#This Row],[Affected WTG]],'Basic Data'!$A:$A,'Basic Data'!$B:$B),"")</f>
        <v>TQGXIIPL</v>
      </c>
      <c r="I428" s="35" t="str">
        <f>IFERROR(_xlfn.XLOOKUP(Table6[[#This Row],[Affected WTG]],'Basic Data'!$A:$A,'Basic Data'!$C:$C),"")</f>
        <v>GEDA</v>
      </c>
      <c r="J428" s="260">
        <f>IFERROR(_xlfn.XLOOKUP(Table6[[#This Row],[Affected WTG]],'Basic Data'!$A:$A,'Basic Data'!$E:$E),"")</f>
        <v>3.846153846153845E-2</v>
      </c>
      <c r="K428" s="102">
        <v>6605</v>
      </c>
      <c r="L428" s="35" t="str">
        <f>IFERROR(_xlfn.XLOOKUP(Table6[[#This Row],[Error Code]],'Basic Data'!$AA:$AA,'Basic Data'!$AB:$AB),"Incorrect Error Code")</f>
        <v>Wind.dir. diff. level 2</v>
      </c>
      <c r="M428" s="35" t="s">
        <v>266</v>
      </c>
      <c r="N428" s="264"/>
      <c r="O428" s="265">
        <v>0.87777777777777777</v>
      </c>
      <c r="P428" s="265">
        <v>0.87777777777777777</v>
      </c>
      <c r="Q428" s="266">
        <v>0.87916666666666665</v>
      </c>
      <c r="R428" s="261">
        <f>IF(Table6[[#This Row],[Work Start TimeStamp]]="","",(Table6[[#This Row],[Work Start TimeStamp]]-Table6[[#This Row],[Fault Start TimeStamp]])*24)</f>
        <v>0</v>
      </c>
      <c r="S428" s="261">
        <f>(Table6[[#This Row],[Fault Clearance time]]-Table6[[#This Row],[Work Start TimeStamp]])*24</f>
        <v>3.3333333333333215E-2</v>
      </c>
      <c r="T428" s="261">
        <f>(Table6[[#This Row],[Fault Clearance time]]-Table6[[#This Row],[Fault Start TimeStamp]])*24</f>
        <v>3.3333333333333215E-2</v>
      </c>
      <c r="U428" s="35" t="s">
        <v>267</v>
      </c>
      <c r="V428" s="102" t="s">
        <v>268</v>
      </c>
      <c r="W428" s="267">
        <f>IFERROR(Table6[[#This Row],[Breakdown Time]]*Table6[[#This Row],[Plant Equivalent Weightage]],"")</f>
        <v>1.2820512820512771E-3</v>
      </c>
      <c r="X428" s="262" t="s">
        <v>269</v>
      </c>
      <c r="Y428" s="263" t="s">
        <v>136</v>
      </c>
      <c r="Z428" s="102">
        <v>28665</v>
      </c>
      <c r="AA428" s="257">
        <f>(Table6[[#This Row],[Paired WTG Generation for loss calculation]]/24)*Table6[[#This Row],[Breakdown Time]]</f>
        <v>39.812499999999858</v>
      </c>
      <c r="AB428" s="102"/>
      <c r="AC428" s="35"/>
      <c r="AD428" s="35"/>
    </row>
    <row r="429" spans="1:30">
      <c r="A429" s="102">
        <f t="shared" si="7"/>
        <v>428</v>
      </c>
      <c r="B429" s="257">
        <f>YEAR(Table6[[#This Row],[Date]])+IF(MONTH(Table6[[#This Row],[Date]])&gt;=4,1,0)</f>
        <v>2026</v>
      </c>
      <c r="C429" s="102">
        <f>YEAR(Table6[[#This Row],[Date]])</f>
        <v>2025</v>
      </c>
      <c r="D429" s="102" t="s">
        <v>265</v>
      </c>
      <c r="E429" s="258">
        <f>Table6[[#This Row],[Date]]-DAY(Table6[[#This Row],[Date]])+1</f>
        <v>45748</v>
      </c>
      <c r="F429" s="259">
        <v>45775</v>
      </c>
      <c r="G429" s="35" t="s">
        <v>134</v>
      </c>
      <c r="H429" s="35" t="str">
        <f>IFERROR(_xlfn.XLOOKUP(Table6[[#This Row],[Affected WTG]],'Basic Data'!$A:$A,'Basic Data'!$B:$B),"")</f>
        <v>TQGXIIPL</v>
      </c>
      <c r="I429" s="35" t="str">
        <f>IFERROR(_xlfn.XLOOKUP(Table6[[#This Row],[Affected WTG]],'Basic Data'!$A:$A,'Basic Data'!$C:$C),"")</f>
        <v>GEDA</v>
      </c>
      <c r="J429" s="260">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266</v>
      </c>
      <c r="N429" s="264"/>
      <c r="O429" s="265">
        <v>0.78541666666666665</v>
      </c>
      <c r="P429" s="265">
        <v>0.78541666666666665</v>
      </c>
      <c r="Q429" s="266">
        <v>0.79374999999999996</v>
      </c>
      <c r="R429" s="261">
        <f>IF(Table6[[#This Row],[Work Start TimeStamp]]="","",(Table6[[#This Row],[Work Start TimeStamp]]-Table6[[#This Row],[Fault Start TimeStamp]])*24)</f>
        <v>0</v>
      </c>
      <c r="S429" s="261">
        <f>(Table6[[#This Row],[Fault Clearance time]]-Table6[[#This Row],[Work Start TimeStamp]])*24</f>
        <v>0.19999999999999929</v>
      </c>
      <c r="T429" s="261">
        <f>(Table6[[#This Row],[Fault Clearance time]]-Table6[[#This Row],[Fault Start TimeStamp]])*24</f>
        <v>0.19999999999999929</v>
      </c>
      <c r="U429" s="35" t="s">
        <v>329</v>
      </c>
      <c r="V429" s="102" t="s">
        <v>268</v>
      </c>
      <c r="W429" s="267">
        <f>IFERROR(Table6[[#This Row],[Breakdown Time]]*Table6[[#This Row],[Plant Equivalent Weightage]],"")</f>
        <v>7.6923076923076624E-3</v>
      </c>
      <c r="X429" s="262" t="s">
        <v>269</v>
      </c>
      <c r="Y429" s="263" t="s">
        <v>138</v>
      </c>
      <c r="Z429" s="102">
        <v>25311</v>
      </c>
      <c r="AA429" s="257">
        <f>(Table6[[#This Row],[Paired WTG Generation for loss calculation]]/24)*Table6[[#This Row],[Breakdown Time]]</f>
        <v>210.92499999999924</v>
      </c>
      <c r="AB429" s="102"/>
      <c r="AC429" s="35"/>
      <c r="AD429" s="35"/>
    </row>
    <row r="430" spans="1:30">
      <c r="A430" s="102">
        <f t="shared" si="7"/>
        <v>429</v>
      </c>
      <c r="B430" s="257">
        <f>YEAR(Table6[[#This Row],[Date]])+IF(MONTH(Table6[[#This Row],[Date]])&gt;=4,1,0)</f>
        <v>2026</v>
      </c>
      <c r="C430" s="102">
        <f>YEAR(Table6[[#This Row],[Date]])</f>
        <v>2025</v>
      </c>
      <c r="D430" s="102" t="s">
        <v>265</v>
      </c>
      <c r="E430" s="258">
        <f>Table6[[#This Row],[Date]]-DAY(Table6[[#This Row],[Date]])+1</f>
        <v>45748</v>
      </c>
      <c r="F430" s="259">
        <v>45775</v>
      </c>
      <c r="G430" s="35" t="s">
        <v>135</v>
      </c>
      <c r="H430" s="35" t="str">
        <f>IFERROR(_xlfn.XLOOKUP(Table6[[#This Row],[Affected WTG]],'Basic Data'!$A:$A,'Basic Data'!$B:$B),"")</f>
        <v>TQGXIIPL</v>
      </c>
      <c r="I430" s="35" t="str">
        <f>IFERROR(_xlfn.XLOOKUP(Table6[[#This Row],[Affected WTG]],'Basic Data'!$A:$A,'Basic Data'!$C:$C),"")</f>
        <v>GEDA</v>
      </c>
      <c r="J430" s="260">
        <f>IFERROR(_xlfn.XLOOKUP(Table6[[#This Row],[Affected WTG]],'Basic Data'!$A:$A,'Basic Data'!$E:$E),"")</f>
        <v>3.846153846153845E-2</v>
      </c>
      <c r="K430" s="102">
        <v>55</v>
      </c>
      <c r="L430" s="35" t="str">
        <f>IFERROR(_xlfn.XLOOKUP(Table6[[#This Row],[Error Code]],'Basic Data'!$AA:$AA,'Basic Data'!$AB:$AB),"Incorrect Error Code")</f>
        <v>WTG shut down</v>
      </c>
      <c r="M430" s="35" t="s">
        <v>266</v>
      </c>
      <c r="N430" s="264"/>
      <c r="O430" s="265">
        <v>0.62916666666666665</v>
      </c>
      <c r="P430" s="265">
        <v>0.62916666666666665</v>
      </c>
      <c r="Q430" s="266">
        <v>0.66527777777777775</v>
      </c>
      <c r="R430" s="261">
        <f>IF(Table6[[#This Row],[Work Start TimeStamp]]="","",(Table6[[#This Row],[Work Start TimeStamp]]-Table6[[#This Row],[Fault Start TimeStamp]])*24)</f>
        <v>0</v>
      </c>
      <c r="S430" s="261">
        <f>(Table6[[#This Row],[Fault Clearance time]]-Table6[[#This Row],[Work Start TimeStamp]])*24</f>
        <v>0.86666666666666625</v>
      </c>
      <c r="T430" s="261">
        <f>(Table6[[#This Row],[Fault Clearance time]]-Table6[[#This Row],[Fault Start TimeStamp]])*24</f>
        <v>0.86666666666666625</v>
      </c>
      <c r="U430" s="35" t="s">
        <v>361</v>
      </c>
      <c r="V430" s="102" t="s">
        <v>268</v>
      </c>
      <c r="W430" s="267">
        <f>IFERROR(Table6[[#This Row],[Breakdown Time]]*Table6[[#This Row],[Plant Equivalent Weightage]],"")</f>
        <v>3.3333333333333305E-2</v>
      </c>
      <c r="X430" s="262" t="s">
        <v>296</v>
      </c>
      <c r="Y430" s="263" t="s">
        <v>120</v>
      </c>
      <c r="Z430" s="102">
        <v>18752</v>
      </c>
      <c r="AA430" s="257">
        <f>(Table6[[#This Row],[Paired WTG Generation for loss calculation]]/24)*Table6[[#This Row],[Breakdown Time]]</f>
        <v>677.15555555555522</v>
      </c>
      <c r="AB430" s="102"/>
      <c r="AC430" s="35"/>
      <c r="AD430" s="35"/>
    </row>
    <row r="431" spans="1:30">
      <c r="A431" s="102">
        <f t="shared" si="7"/>
        <v>430</v>
      </c>
      <c r="B431" s="257">
        <f>YEAR(Table6[[#This Row],[Date]])+IF(MONTH(Table6[[#This Row],[Date]])&gt;=4,1,0)</f>
        <v>2026</v>
      </c>
      <c r="C431" s="102">
        <f>YEAR(Table6[[#This Row],[Date]])</f>
        <v>2025</v>
      </c>
      <c r="D431" s="102" t="s">
        <v>265</v>
      </c>
      <c r="E431" s="258">
        <f>Table6[[#This Row],[Date]]-DAY(Table6[[#This Row],[Date]])+1</f>
        <v>45748</v>
      </c>
      <c r="F431" s="259">
        <v>45775</v>
      </c>
      <c r="G431" s="35" t="s">
        <v>136</v>
      </c>
      <c r="H431" s="35" t="str">
        <f>IFERROR(_xlfn.XLOOKUP(Table6[[#This Row],[Affected WTG]],'Basic Data'!$A:$A,'Basic Data'!$B:$B),"")</f>
        <v>TQGXIIPL</v>
      </c>
      <c r="I431" s="35" t="str">
        <f>IFERROR(_xlfn.XLOOKUP(Table6[[#This Row],[Affected WTG]],'Basic Data'!$A:$A,'Basic Data'!$C:$C),"")</f>
        <v>GEDA</v>
      </c>
      <c r="J431" s="260">
        <f>IFERROR(_xlfn.XLOOKUP(Table6[[#This Row],[Affected WTG]],'Basic Data'!$A:$A,'Basic Data'!$E:$E),"")</f>
        <v>3.846153846153845E-2</v>
      </c>
      <c r="K431" s="102">
        <v>55</v>
      </c>
      <c r="L431" s="35" t="str">
        <f>IFERROR(_xlfn.XLOOKUP(Table6[[#This Row],[Error Code]],'Basic Data'!$AA:$AA,'Basic Data'!$AB:$AB),"Incorrect Error Code")</f>
        <v>WTG shut down</v>
      </c>
      <c r="M431" s="35" t="s">
        <v>266</v>
      </c>
      <c r="N431" s="264"/>
      <c r="O431" s="265">
        <v>0.46180555555555558</v>
      </c>
      <c r="P431" s="265">
        <v>0.46180555555555558</v>
      </c>
      <c r="Q431" s="266">
        <v>0.50347222222222221</v>
      </c>
      <c r="R431" s="261">
        <f>IF(Table6[[#This Row],[Work Start TimeStamp]]="","",(Table6[[#This Row],[Work Start TimeStamp]]-Table6[[#This Row],[Fault Start TimeStamp]])*24)</f>
        <v>0</v>
      </c>
      <c r="S431" s="261">
        <f>(Table6[[#This Row],[Fault Clearance time]]-Table6[[#This Row],[Work Start TimeStamp]])*24</f>
        <v>0.99999999999999911</v>
      </c>
      <c r="T431" s="261">
        <f>(Table6[[#This Row],[Fault Clearance time]]-Table6[[#This Row],[Fault Start TimeStamp]])*24</f>
        <v>0.99999999999999911</v>
      </c>
      <c r="U431" s="35" t="s">
        <v>381</v>
      </c>
      <c r="V431" s="102" t="s">
        <v>268</v>
      </c>
      <c r="W431" s="267">
        <f>IFERROR(Table6[[#This Row],[Breakdown Time]]*Table6[[#This Row],[Plant Equivalent Weightage]],"")</f>
        <v>3.8461538461538415E-2</v>
      </c>
      <c r="X431" s="262" t="s">
        <v>296</v>
      </c>
      <c r="Y431" s="263" t="s">
        <v>120</v>
      </c>
      <c r="Z431" s="102">
        <v>18752</v>
      </c>
      <c r="AA431" s="257">
        <f>(Table6[[#This Row],[Paired WTG Generation for loss calculation]]/24)*Table6[[#This Row],[Breakdown Time]]</f>
        <v>781.33333333333269</v>
      </c>
      <c r="AB431" s="102"/>
      <c r="AC431" s="35"/>
      <c r="AD431" s="35"/>
    </row>
    <row r="432" spans="1:30">
      <c r="A432" s="102">
        <f t="shared" si="7"/>
        <v>431</v>
      </c>
      <c r="B432" s="257">
        <f>YEAR(Table6[[#This Row],[Date]])+IF(MONTH(Table6[[#This Row],[Date]])&gt;=4,1,0)</f>
        <v>2026</v>
      </c>
      <c r="C432" s="102">
        <f>YEAR(Table6[[#This Row],[Date]])</f>
        <v>2025</v>
      </c>
      <c r="D432" s="102" t="s">
        <v>265</v>
      </c>
      <c r="E432" s="258">
        <f>Table6[[#This Row],[Date]]-DAY(Table6[[#This Row],[Date]])+1</f>
        <v>45748</v>
      </c>
      <c r="F432" s="259">
        <v>45775</v>
      </c>
      <c r="G432" s="35" t="s">
        <v>136</v>
      </c>
      <c r="H432" s="35" t="str">
        <f>IFERROR(_xlfn.XLOOKUP(Table6[[#This Row],[Affected WTG]],'Basic Data'!$A:$A,'Basic Data'!$B:$B),"")</f>
        <v>TQGXIIPL</v>
      </c>
      <c r="I432" s="35" t="str">
        <f>IFERROR(_xlfn.XLOOKUP(Table6[[#This Row],[Affected WTG]],'Basic Data'!$A:$A,'Basic Data'!$C:$C),"")</f>
        <v>GEDA</v>
      </c>
      <c r="J432" s="260">
        <f>IFERROR(_xlfn.XLOOKUP(Table6[[#This Row],[Affected WTG]],'Basic Data'!$A:$A,'Basic Data'!$E:$E),"")</f>
        <v>3.846153846153845E-2</v>
      </c>
      <c r="K432" s="102">
        <v>55</v>
      </c>
      <c r="L432" s="35" t="str">
        <f>IFERROR(_xlfn.XLOOKUP(Table6[[#This Row],[Error Code]],'Basic Data'!$AA:$AA,'Basic Data'!$AB:$AB),"Incorrect Error Code")</f>
        <v>WTG shut down</v>
      </c>
      <c r="M432" s="35" t="s">
        <v>266</v>
      </c>
      <c r="N432" s="264"/>
      <c r="O432" s="265">
        <v>0.50347222222222221</v>
      </c>
      <c r="P432" s="265">
        <v>0.50347222222222221</v>
      </c>
      <c r="Q432" s="266">
        <v>0.53680555555555554</v>
      </c>
      <c r="R432" s="261">
        <f>IF(Table6[[#This Row],[Work Start TimeStamp]]="","",(Table6[[#This Row],[Work Start TimeStamp]]-Table6[[#This Row],[Fault Start TimeStamp]])*24)</f>
        <v>0</v>
      </c>
      <c r="S432" s="261">
        <f>(Table6[[#This Row],[Fault Clearance time]]-Table6[[#This Row],[Work Start TimeStamp]])*24</f>
        <v>0.79999999999999982</v>
      </c>
      <c r="T432" s="261">
        <f>(Table6[[#This Row],[Fault Clearance time]]-Table6[[#This Row],[Fault Start TimeStamp]])*24</f>
        <v>0.79999999999999982</v>
      </c>
      <c r="U432" s="35" t="s">
        <v>361</v>
      </c>
      <c r="V432" s="102" t="s">
        <v>268</v>
      </c>
      <c r="W432" s="267">
        <f>IFERROR(Table6[[#This Row],[Breakdown Time]]*Table6[[#This Row],[Plant Equivalent Weightage]],"")</f>
        <v>3.0769230769230754E-2</v>
      </c>
      <c r="X432" s="262" t="s">
        <v>296</v>
      </c>
      <c r="Y432" s="263" t="s">
        <v>120</v>
      </c>
      <c r="Z432" s="102">
        <v>18752</v>
      </c>
      <c r="AA432" s="257">
        <f>(Table6[[#This Row],[Paired WTG Generation for loss calculation]]/24)*Table6[[#This Row],[Breakdown Time]]</f>
        <v>625.06666666666661</v>
      </c>
      <c r="AB432" s="102"/>
      <c r="AC432" s="35"/>
      <c r="AD432" s="35"/>
    </row>
    <row r="433" spans="1:30">
      <c r="A433" s="102">
        <f t="shared" si="7"/>
        <v>432</v>
      </c>
      <c r="B433" s="257">
        <f>YEAR(Table6[[#This Row],[Date]])+IF(MONTH(Table6[[#This Row],[Date]])&gt;=4,1,0)</f>
        <v>2026</v>
      </c>
      <c r="C433" s="102">
        <f>YEAR(Table6[[#This Row],[Date]])</f>
        <v>2025</v>
      </c>
      <c r="D433" s="102" t="s">
        <v>265</v>
      </c>
      <c r="E433" s="258">
        <f>Table6[[#This Row],[Date]]-DAY(Table6[[#This Row],[Date]])+1</f>
        <v>45748</v>
      </c>
      <c r="F433" s="259">
        <v>45775</v>
      </c>
      <c r="G433" s="35" t="s">
        <v>137</v>
      </c>
      <c r="H433" s="35" t="str">
        <f>IFERROR(_xlfn.XLOOKUP(Table6[[#This Row],[Affected WTG]],'Basic Data'!$A:$A,'Basic Data'!$B:$B),"")</f>
        <v>TQGXIIPL</v>
      </c>
      <c r="I433" s="35" t="str">
        <f>IFERROR(_xlfn.XLOOKUP(Table6[[#This Row],[Affected WTG]],'Basic Data'!$A:$A,'Basic Data'!$C:$C),"")</f>
        <v>GEDA</v>
      </c>
      <c r="J433" s="260">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266</v>
      </c>
      <c r="N433" s="264"/>
      <c r="O433" s="265">
        <v>0.76597222222222228</v>
      </c>
      <c r="P433" s="265">
        <v>0.76597222222222228</v>
      </c>
      <c r="Q433" s="266">
        <v>0.77222222222222225</v>
      </c>
      <c r="R433" s="261">
        <f>IF(Table6[[#This Row],[Work Start TimeStamp]]="","",(Table6[[#This Row],[Work Start TimeStamp]]-Table6[[#This Row],[Fault Start TimeStamp]])*24)</f>
        <v>0</v>
      </c>
      <c r="S433" s="261">
        <f>(Table6[[#This Row],[Fault Clearance time]]-Table6[[#This Row],[Work Start TimeStamp]])*24</f>
        <v>0.14999999999999947</v>
      </c>
      <c r="T433" s="261">
        <f>(Table6[[#This Row],[Fault Clearance time]]-Table6[[#This Row],[Fault Start TimeStamp]])*24</f>
        <v>0.14999999999999947</v>
      </c>
      <c r="U433" s="35" t="s">
        <v>378</v>
      </c>
      <c r="V433" s="102" t="s">
        <v>268</v>
      </c>
      <c r="W433" s="267">
        <f>IFERROR(Table6[[#This Row],[Breakdown Time]]*Table6[[#This Row],[Plant Equivalent Weightage]],"")</f>
        <v>5.769230769230747E-3</v>
      </c>
      <c r="X433" s="262" t="s">
        <v>269</v>
      </c>
      <c r="Y433" s="263" t="s">
        <v>125</v>
      </c>
      <c r="Z433" s="102">
        <v>22680</v>
      </c>
      <c r="AA433" s="257">
        <f>(Table6[[#This Row],[Paired WTG Generation for loss calculation]]/24)*Table6[[#This Row],[Breakdown Time]]</f>
        <v>141.74999999999949</v>
      </c>
      <c r="AB433" s="102"/>
      <c r="AC433" s="35"/>
      <c r="AD433" s="35"/>
    </row>
    <row r="434" spans="1:30">
      <c r="A434" s="102">
        <f t="shared" si="7"/>
        <v>433</v>
      </c>
      <c r="B434" s="257">
        <f>YEAR(Table6[[#This Row],[Date]])+IF(MONTH(Table6[[#This Row],[Date]])&gt;=4,1,0)</f>
        <v>2026</v>
      </c>
      <c r="C434" s="102">
        <f>YEAR(Table6[[#This Row],[Date]])</f>
        <v>2025</v>
      </c>
      <c r="D434" s="102" t="s">
        <v>265</v>
      </c>
      <c r="E434" s="258">
        <f>Table6[[#This Row],[Date]]-DAY(Table6[[#This Row],[Date]])+1</f>
        <v>45748</v>
      </c>
      <c r="F434" s="259">
        <v>45775</v>
      </c>
      <c r="G434" s="35" t="s">
        <v>138</v>
      </c>
      <c r="H434" s="35" t="str">
        <f>IFERROR(_xlfn.XLOOKUP(Table6[[#This Row],[Affected WTG]],'Basic Data'!$A:$A,'Basic Data'!$B:$B),"")</f>
        <v>TQGXIIPL</v>
      </c>
      <c r="I434" s="35" t="str">
        <f>IFERROR(_xlfn.XLOOKUP(Table6[[#This Row],[Affected WTG]],'Basic Data'!$A:$A,'Basic Data'!$C:$C),"")</f>
        <v>GEDA</v>
      </c>
      <c r="J434" s="260">
        <f>IFERROR(_xlfn.XLOOKUP(Table6[[#This Row],[Affected WTG]],'Basic Data'!$A:$A,'Basic Data'!$E:$E),"")</f>
        <v>3.846153846153845E-2</v>
      </c>
      <c r="K434" s="102">
        <v>6130</v>
      </c>
      <c r="L434" s="35" t="str">
        <f>IFERROR(_xlfn.XLOOKUP(Table6[[#This Row],[Error Code]],'Basic Data'!$AA:$AA,'Basic Data'!$AB:$AB),"Incorrect Error Code")</f>
        <v>Yaw speed high</v>
      </c>
      <c r="M434" s="35" t="s">
        <v>278</v>
      </c>
      <c r="N434" s="264"/>
      <c r="O434" s="265">
        <v>0.67361111111111116</v>
      </c>
      <c r="P434" s="265">
        <v>0.67361111111111116</v>
      </c>
      <c r="Q434" s="266">
        <v>0.67777777777777781</v>
      </c>
      <c r="R434" s="261">
        <f>IF(Table6[[#This Row],[Work Start TimeStamp]]="","",(Table6[[#This Row],[Work Start TimeStamp]]-Table6[[#This Row],[Fault Start TimeStamp]])*24)</f>
        <v>0</v>
      </c>
      <c r="S434" s="261">
        <f>(Table6[[#This Row],[Fault Clearance time]]-Table6[[#This Row],[Work Start TimeStamp]])*24</f>
        <v>9.9999999999999645E-2</v>
      </c>
      <c r="T434" s="261">
        <f>(Table6[[#This Row],[Fault Clearance time]]-Table6[[#This Row],[Fault Start TimeStamp]])*24</f>
        <v>9.9999999999999645E-2</v>
      </c>
      <c r="U434" s="35" t="s">
        <v>277</v>
      </c>
      <c r="V434" s="102" t="s">
        <v>268</v>
      </c>
      <c r="W434" s="267">
        <f>IFERROR(Table6[[#This Row],[Breakdown Time]]*Table6[[#This Row],[Plant Equivalent Weightage]],"")</f>
        <v>3.8461538461538312E-3</v>
      </c>
      <c r="X434" s="262" t="s">
        <v>269</v>
      </c>
      <c r="Y434" s="263" t="s">
        <v>134</v>
      </c>
      <c r="Z434" s="102">
        <v>24463</v>
      </c>
      <c r="AA434" s="257">
        <f>(Table6[[#This Row],[Paired WTG Generation for loss calculation]]/24)*Table6[[#This Row],[Breakdown Time]]</f>
        <v>101.9291666666663</v>
      </c>
      <c r="AB434" s="102"/>
      <c r="AC434" s="35"/>
      <c r="AD434" s="35"/>
    </row>
    <row r="435" spans="1:30">
      <c r="A435" s="102">
        <f t="shared" si="7"/>
        <v>434</v>
      </c>
      <c r="B435" s="257">
        <f>YEAR(Table6[[#This Row],[Date]])+IF(MONTH(Table6[[#This Row],[Date]])&gt;=4,1,0)</f>
        <v>2026</v>
      </c>
      <c r="C435" s="102">
        <f>YEAR(Table6[[#This Row],[Date]])</f>
        <v>2025</v>
      </c>
      <c r="D435" s="102" t="s">
        <v>265</v>
      </c>
      <c r="E435" s="258">
        <f>Table6[[#This Row],[Date]]-DAY(Table6[[#This Row],[Date]])+1</f>
        <v>45748</v>
      </c>
      <c r="F435" s="259">
        <v>45776</v>
      </c>
      <c r="G435" s="35" t="s">
        <v>115</v>
      </c>
      <c r="H435" s="35" t="str">
        <f>IFERROR(_xlfn.XLOOKUP(Table6[[#This Row],[Affected WTG]],'Basic Data'!$A:$A,'Basic Data'!$B:$B),"")</f>
        <v>TQGXIIPL</v>
      </c>
      <c r="I435" s="35" t="str">
        <f>IFERROR(_xlfn.XLOOKUP(Table6[[#This Row],[Affected WTG]],'Basic Data'!$A:$A,'Basic Data'!$C:$C),"")</f>
        <v>GEDA</v>
      </c>
      <c r="J435" s="260">
        <f>IFERROR(_xlfn.XLOOKUP(Table6[[#This Row],[Affected WTG]],'Basic Data'!$A:$A,'Basic Data'!$E:$E),"")</f>
        <v>3.846153846153845E-2</v>
      </c>
      <c r="K435" s="102">
        <v>55</v>
      </c>
      <c r="L435" s="35" t="str">
        <f>IFERROR(_xlfn.XLOOKUP(Table6[[#This Row],[Error Code]],'Basic Data'!$AA:$AA,'Basic Data'!$AB:$AB),"Incorrect Error Code")</f>
        <v>WTG shut down</v>
      </c>
      <c r="M435" s="35" t="s">
        <v>266</v>
      </c>
      <c r="N435" s="264"/>
      <c r="O435" s="265">
        <v>0.58680555555555558</v>
      </c>
      <c r="P435" s="265">
        <v>0.58680555555555558</v>
      </c>
      <c r="Q435" s="266">
        <v>0.60486111111111107</v>
      </c>
      <c r="R435" s="261">
        <f>IF(Table6[[#This Row],[Work Start TimeStamp]]="","",(Table6[[#This Row],[Work Start TimeStamp]]-Table6[[#This Row],[Fault Start TimeStamp]])*24)</f>
        <v>0</v>
      </c>
      <c r="S435" s="261">
        <f>(Table6[[#This Row],[Fault Clearance time]]-Table6[[#This Row],[Work Start TimeStamp]])*24</f>
        <v>0.43333333333333179</v>
      </c>
      <c r="T435" s="261">
        <f>(Table6[[#This Row],[Fault Clearance time]]-Table6[[#This Row],[Fault Start TimeStamp]])*24</f>
        <v>0.43333333333333179</v>
      </c>
      <c r="U435" s="35" t="s">
        <v>361</v>
      </c>
      <c r="V435" s="102" t="s">
        <v>268</v>
      </c>
      <c r="W435" s="267">
        <f>IFERROR(Table6[[#This Row],[Breakdown Time]]*Table6[[#This Row],[Plant Equivalent Weightage]],"")</f>
        <v>1.6666666666666604E-2</v>
      </c>
      <c r="X435" s="262" t="s">
        <v>296</v>
      </c>
      <c r="Y435" s="263" t="s">
        <v>140</v>
      </c>
      <c r="Z435" s="102">
        <v>40476</v>
      </c>
      <c r="AA435" s="257">
        <f>(Table6[[#This Row],[Paired WTG Generation for loss calculation]]/24)*Table6[[#This Row],[Breakdown Time]]</f>
        <v>730.8166666666641</v>
      </c>
      <c r="AB435" s="102"/>
      <c r="AC435" s="35"/>
      <c r="AD435" s="35"/>
    </row>
    <row r="436" spans="1:30">
      <c r="A436" s="102">
        <f t="shared" si="7"/>
        <v>435</v>
      </c>
      <c r="B436" s="257">
        <f>YEAR(Table6[[#This Row],[Date]])+IF(MONTH(Table6[[#This Row],[Date]])&gt;=4,1,0)</f>
        <v>2026</v>
      </c>
      <c r="C436" s="102">
        <f>YEAR(Table6[[#This Row],[Date]])</f>
        <v>2025</v>
      </c>
      <c r="D436" s="102" t="s">
        <v>265</v>
      </c>
      <c r="E436" s="258">
        <f>Table6[[#This Row],[Date]]-DAY(Table6[[#This Row],[Date]])+1</f>
        <v>45748</v>
      </c>
      <c r="F436" s="259">
        <v>45776</v>
      </c>
      <c r="G436" s="35" t="s">
        <v>115</v>
      </c>
      <c r="H436" s="35" t="str">
        <f>IFERROR(_xlfn.XLOOKUP(Table6[[#This Row],[Affected WTG]],'Basic Data'!$A:$A,'Basic Data'!$B:$B),"")</f>
        <v>TQGXIIPL</v>
      </c>
      <c r="I436" s="35" t="str">
        <f>IFERROR(_xlfn.XLOOKUP(Table6[[#This Row],[Affected WTG]],'Basic Data'!$A:$A,'Basic Data'!$C:$C),"")</f>
        <v>GEDA</v>
      </c>
      <c r="J436" s="260">
        <f>IFERROR(_xlfn.XLOOKUP(Table6[[#This Row],[Affected WTG]],'Basic Data'!$A:$A,'Basic Data'!$E:$E),"")</f>
        <v>3.846153846153845E-2</v>
      </c>
      <c r="K436" s="102">
        <v>159</v>
      </c>
      <c r="L436" s="35" t="str">
        <f>IFERROR(_xlfn.XLOOKUP(Table6[[#This Row],[Error Code]],'Basic Data'!$AA:$AA,'Basic Data'!$AB:$AB),"Incorrect Error Code")</f>
        <v>SLC SF emergency stop</v>
      </c>
      <c r="M436" s="35" t="s">
        <v>266</v>
      </c>
      <c r="N436" s="264"/>
      <c r="O436" s="265">
        <v>0.96527777777777779</v>
      </c>
      <c r="P436" s="265">
        <v>0.96527777777777779</v>
      </c>
      <c r="Q436" s="266">
        <v>1</v>
      </c>
      <c r="R436" s="261">
        <f>IF(Table6[[#This Row],[Work Start TimeStamp]]="","",(Table6[[#This Row],[Work Start TimeStamp]]-Table6[[#This Row],[Fault Start TimeStamp]])*24)</f>
        <v>0</v>
      </c>
      <c r="S436" s="261">
        <f>(Table6[[#This Row],[Fault Clearance time]]-Table6[[#This Row],[Work Start TimeStamp]])*24</f>
        <v>0.83333333333333304</v>
      </c>
      <c r="T436" s="261">
        <f>(Table6[[#This Row],[Fault Clearance time]]-Table6[[#This Row],[Fault Start TimeStamp]])*24</f>
        <v>0.83333333333333304</v>
      </c>
      <c r="U436" s="35" t="s">
        <v>382</v>
      </c>
      <c r="V436" s="102" t="s">
        <v>268</v>
      </c>
      <c r="W436" s="267">
        <f>IFERROR(Table6[[#This Row],[Breakdown Time]]*Table6[[#This Row],[Plant Equivalent Weightage]],"")</f>
        <v>3.2051282051282028E-2</v>
      </c>
      <c r="X436" s="262" t="s">
        <v>269</v>
      </c>
      <c r="Y436" s="263" t="s">
        <v>140</v>
      </c>
      <c r="Z436" s="102">
        <v>40476</v>
      </c>
      <c r="AA436" s="257">
        <f>(Table6[[#This Row],[Paired WTG Generation for loss calculation]]/24)*Table6[[#This Row],[Breakdown Time]]</f>
        <v>1405.4166666666661</v>
      </c>
      <c r="AB436" s="102"/>
      <c r="AC436" s="35"/>
      <c r="AD436" s="35"/>
    </row>
    <row r="437" spans="1:30">
      <c r="A437" s="102">
        <f t="shared" si="7"/>
        <v>436</v>
      </c>
      <c r="B437" s="257">
        <f>YEAR(Table6[[#This Row],[Date]])+IF(MONTH(Table6[[#This Row],[Date]])&gt;=4,1,0)</f>
        <v>2026</v>
      </c>
      <c r="C437" s="102">
        <f>YEAR(Table6[[#This Row],[Date]])</f>
        <v>2025</v>
      </c>
      <c r="D437" s="102" t="s">
        <v>265</v>
      </c>
      <c r="E437" s="258">
        <f>Table6[[#This Row],[Date]]-DAY(Table6[[#This Row],[Date]])+1</f>
        <v>45748</v>
      </c>
      <c r="F437" s="259">
        <v>45776</v>
      </c>
      <c r="G437" s="35" t="s">
        <v>116</v>
      </c>
      <c r="H437" s="35" t="str">
        <f>IFERROR(_xlfn.XLOOKUP(Table6[[#This Row],[Affected WTG]],'Basic Data'!$A:$A,'Basic Data'!$B:$B),"")</f>
        <v>TQGXIIPL</v>
      </c>
      <c r="I437" s="35" t="str">
        <f>IFERROR(_xlfn.XLOOKUP(Table6[[#This Row],[Affected WTG]],'Basic Data'!$A:$A,'Basic Data'!$C:$C),"")</f>
        <v>GEDA</v>
      </c>
      <c r="J437" s="260">
        <f>IFERROR(_xlfn.XLOOKUP(Table6[[#This Row],[Affected WTG]],'Basic Data'!$A:$A,'Basic Data'!$E:$E),"")</f>
        <v>3.846153846153845E-2</v>
      </c>
      <c r="K437" s="102">
        <v>55</v>
      </c>
      <c r="L437" s="35" t="str">
        <f>IFERROR(_xlfn.XLOOKUP(Table6[[#This Row],[Error Code]],'Basic Data'!$AA:$AA,'Basic Data'!$AB:$AB),"Incorrect Error Code")</f>
        <v>WTG shut down</v>
      </c>
      <c r="M437" s="35" t="s">
        <v>266</v>
      </c>
      <c r="N437" s="264"/>
      <c r="O437" s="265">
        <v>0.7104166666666667</v>
      </c>
      <c r="P437" s="265">
        <v>0.7104166666666667</v>
      </c>
      <c r="Q437" s="266">
        <v>0.73541666666666672</v>
      </c>
      <c r="R437" s="261">
        <f>IF(Table6[[#This Row],[Work Start TimeStamp]]="","",(Table6[[#This Row],[Work Start TimeStamp]]-Table6[[#This Row],[Fault Start TimeStamp]])*24)</f>
        <v>0</v>
      </c>
      <c r="S437" s="261">
        <f>(Table6[[#This Row],[Fault Clearance time]]-Table6[[#This Row],[Work Start TimeStamp]])*24</f>
        <v>0.60000000000000053</v>
      </c>
      <c r="T437" s="261">
        <f>(Table6[[#This Row],[Fault Clearance time]]-Table6[[#This Row],[Fault Start TimeStamp]])*24</f>
        <v>0.60000000000000053</v>
      </c>
      <c r="U437" s="35" t="s">
        <v>361</v>
      </c>
      <c r="V437" s="102" t="s">
        <v>268</v>
      </c>
      <c r="W437" s="267">
        <f>IFERROR(Table6[[#This Row],[Breakdown Time]]*Table6[[#This Row],[Plant Equivalent Weightage]],"")</f>
        <v>2.3076923076923092E-2</v>
      </c>
      <c r="X437" s="262" t="s">
        <v>296</v>
      </c>
      <c r="Y437" s="263" t="s">
        <v>119</v>
      </c>
      <c r="Z437" s="102">
        <v>37871</v>
      </c>
      <c r="AA437" s="257">
        <f>(Table6[[#This Row],[Paired WTG Generation for loss calculation]]/24)*Table6[[#This Row],[Breakdown Time]]</f>
        <v>946.77500000000077</v>
      </c>
      <c r="AB437" s="102"/>
      <c r="AC437" s="35"/>
      <c r="AD437" s="35"/>
    </row>
    <row r="438" spans="1:30">
      <c r="A438" s="102">
        <f t="shared" si="7"/>
        <v>437</v>
      </c>
      <c r="B438" s="257">
        <f>YEAR(Table6[[#This Row],[Date]])+IF(MONTH(Table6[[#This Row],[Date]])&gt;=4,1,0)</f>
        <v>2026</v>
      </c>
      <c r="C438" s="102">
        <f>YEAR(Table6[[#This Row],[Date]])</f>
        <v>2025</v>
      </c>
      <c r="D438" s="102" t="s">
        <v>265</v>
      </c>
      <c r="E438" s="258">
        <f>Table6[[#This Row],[Date]]-DAY(Table6[[#This Row],[Date]])+1</f>
        <v>45748</v>
      </c>
      <c r="F438" s="259">
        <v>45776</v>
      </c>
      <c r="G438" s="35" t="s">
        <v>117</v>
      </c>
      <c r="H438" s="35" t="str">
        <f>IFERROR(_xlfn.XLOOKUP(Table6[[#This Row],[Affected WTG]],'Basic Data'!$A:$A,'Basic Data'!$B:$B),"")</f>
        <v>TQGXIIPL</v>
      </c>
      <c r="I438" s="35" t="str">
        <f>IFERROR(_xlfn.XLOOKUP(Table6[[#This Row],[Affected WTG]],'Basic Data'!$A:$A,'Basic Data'!$C:$C),"")</f>
        <v>GEDA</v>
      </c>
      <c r="J438" s="260">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266</v>
      </c>
      <c r="N438" s="264"/>
      <c r="O438" s="265">
        <v>0.5</v>
      </c>
      <c r="P438" s="265">
        <v>0.5</v>
      </c>
      <c r="Q438" s="266">
        <v>0.67361111111111116</v>
      </c>
      <c r="R438" s="261">
        <f>IF(Table6[[#This Row],[Work Start TimeStamp]]="","",(Table6[[#This Row],[Work Start TimeStamp]]-Table6[[#This Row],[Fault Start TimeStamp]])*24)</f>
        <v>0</v>
      </c>
      <c r="S438" s="261">
        <f>(Table6[[#This Row],[Fault Clearance time]]-Table6[[#This Row],[Work Start TimeStamp]])*24</f>
        <v>4.1666666666666679</v>
      </c>
      <c r="T438" s="261">
        <f>(Table6[[#This Row],[Fault Clearance time]]-Table6[[#This Row],[Fault Start TimeStamp]])*24</f>
        <v>4.1666666666666679</v>
      </c>
      <c r="U438" s="35" t="s">
        <v>383</v>
      </c>
      <c r="V438" s="102" t="s">
        <v>268</v>
      </c>
      <c r="W438" s="267">
        <f>IFERROR(Table6[[#This Row],[Breakdown Time]]*Table6[[#This Row],[Plant Equivalent Weightage]],"")</f>
        <v>0.16025641025641024</v>
      </c>
      <c r="X438" s="262" t="s">
        <v>296</v>
      </c>
      <c r="Y438" s="263" t="s">
        <v>123</v>
      </c>
      <c r="Z438" s="102">
        <v>40871</v>
      </c>
      <c r="AA438" s="257">
        <f>(Table6[[#This Row],[Paired WTG Generation for loss calculation]]/24)*Table6[[#This Row],[Breakdown Time]]</f>
        <v>7095.6597222222235</v>
      </c>
      <c r="AB438" s="102"/>
      <c r="AC438" s="35"/>
      <c r="AD438" s="35"/>
    </row>
    <row r="439" spans="1:30">
      <c r="A439" s="102">
        <f t="shared" si="7"/>
        <v>438</v>
      </c>
      <c r="B439" s="257">
        <f>YEAR(Table6[[#This Row],[Date]])+IF(MONTH(Table6[[#This Row],[Date]])&gt;=4,1,0)</f>
        <v>2026</v>
      </c>
      <c r="C439" s="102">
        <f>YEAR(Table6[[#This Row],[Date]])</f>
        <v>2025</v>
      </c>
      <c r="D439" s="102" t="s">
        <v>265</v>
      </c>
      <c r="E439" s="258">
        <f>Table6[[#This Row],[Date]]-DAY(Table6[[#This Row],[Date]])+1</f>
        <v>45748</v>
      </c>
      <c r="F439" s="259">
        <v>45776</v>
      </c>
      <c r="G439" s="35" t="s">
        <v>118</v>
      </c>
      <c r="H439" s="35" t="str">
        <f>IFERROR(_xlfn.XLOOKUP(Table6[[#This Row],[Affected WTG]],'Basic Data'!$A:$A,'Basic Data'!$B:$B),"")</f>
        <v>TQGXIIPL</v>
      </c>
      <c r="I439" s="35" t="str">
        <f>IFERROR(_xlfn.XLOOKUP(Table6[[#This Row],[Affected WTG]],'Basic Data'!$A:$A,'Basic Data'!$C:$C),"")</f>
        <v>GEDA</v>
      </c>
      <c r="J439" s="260">
        <f>IFERROR(_xlfn.XLOOKUP(Table6[[#This Row],[Affected WTG]],'Basic Data'!$A:$A,'Basic Data'!$E:$E),"")</f>
        <v>3.846153846153845E-2</v>
      </c>
      <c r="K439" s="102">
        <v>55</v>
      </c>
      <c r="L439" s="35" t="str">
        <f>IFERROR(_xlfn.XLOOKUP(Table6[[#This Row],[Error Code]],'Basic Data'!$AA:$AA,'Basic Data'!$AB:$AB),"Incorrect Error Code")</f>
        <v>WTG shut down</v>
      </c>
      <c r="M439" s="35" t="s">
        <v>266</v>
      </c>
      <c r="N439" s="264"/>
      <c r="O439" s="265">
        <v>0.66666666666666663</v>
      </c>
      <c r="P439" s="265">
        <v>0.66666666666666663</v>
      </c>
      <c r="Q439" s="266">
        <v>0.69027777777777777</v>
      </c>
      <c r="R439" s="261">
        <f>IF(Table6[[#This Row],[Work Start TimeStamp]]="","",(Table6[[#This Row],[Work Start TimeStamp]]-Table6[[#This Row],[Fault Start TimeStamp]])*24)</f>
        <v>0</v>
      </c>
      <c r="S439" s="261">
        <f>(Table6[[#This Row],[Fault Clearance time]]-Table6[[#This Row],[Work Start TimeStamp]])*24</f>
        <v>0.56666666666666732</v>
      </c>
      <c r="T439" s="261">
        <f>(Table6[[#This Row],[Fault Clearance time]]-Table6[[#This Row],[Fault Start TimeStamp]])*24</f>
        <v>0.56666666666666732</v>
      </c>
      <c r="U439" s="35" t="s">
        <v>361</v>
      </c>
      <c r="V439" s="102" t="s">
        <v>268</v>
      </c>
      <c r="W439" s="267">
        <f>IFERROR(Table6[[#This Row],[Breakdown Time]]*Table6[[#This Row],[Plant Equivalent Weightage]],"")</f>
        <v>2.1794871794871815E-2</v>
      </c>
      <c r="X439" s="262" t="s">
        <v>296</v>
      </c>
      <c r="Y439" s="263" t="s">
        <v>121</v>
      </c>
      <c r="Z439" s="102">
        <v>47322</v>
      </c>
      <c r="AA439" s="257">
        <f>(Table6[[#This Row],[Paired WTG Generation for loss calculation]]/24)*Table6[[#This Row],[Breakdown Time]]</f>
        <v>1117.3250000000012</v>
      </c>
      <c r="AB439" s="102"/>
      <c r="AC439" s="35"/>
      <c r="AD439" s="35"/>
    </row>
    <row r="440" spans="1:30">
      <c r="A440" s="102">
        <f t="shared" si="7"/>
        <v>439</v>
      </c>
      <c r="B440" s="257">
        <f>YEAR(Table6[[#This Row],[Date]])+IF(MONTH(Table6[[#This Row],[Date]])&gt;=4,1,0)</f>
        <v>2026</v>
      </c>
      <c r="C440" s="102">
        <f>YEAR(Table6[[#This Row],[Date]])</f>
        <v>2025</v>
      </c>
      <c r="D440" s="102" t="s">
        <v>265</v>
      </c>
      <c r="E440" s="258">
        <f>Table6[[#This Row],[Date]]-DAY(Table6[[#This Row],[Date]])+1</f>
        <v>45748</v>
      </c>
      <c r="F440" s="259">
        <v>45776</v>
      </c>
      <c r="G440" s="35" t="s">
        <v>118</v>
      </c>
      <c r="H440" s="35" t="str">
        <f>IFERROR(_xlfn.XLOOKUP(Table6[[#This Row],[Affected WTG]],'Basic Data'!$A:$A,'Basic Data'!$B:$B),"")</f>
        <v>TQGXIIPL</v>
      </c>
      <c r="I440" s="35" t="str">
        <f>IFERROR(_xlfn.XLOOKUP(Table6[[#This Row],[Affected WTG]],'Basic Data'!$A:$A,'Basic Data'!$C:$C),"")</f>
        <v>GEDA</v>
      </c>
      <c r="J440" s="260">
        <f>IFERROR(_xlfn.XLOOKUP(Table6[[#This Row],[Affected WTG]],'Basic Data'!$A:$A,'Basic Data'!$E:$E),"")</f>
        <v>3.846153846153845E-2</v>
      </c>
      <c r="K440" s="102">
        <v>1700</v>
      </c>
      <c r="L440" s="35" t="str">
        <f>IFERROR(_xlfn.XLOOKUP(Table6[[#This Row],[Error Code]],'Basic Data'!$AA:$AA,'Basic Data'!$AB:$AB),"Incorrect Error Code")</f>
        <v>High temp. gear bearing 1</v>
      </c>
      <c r="M440" s="35" t="s">
        <v>266</v>
      </c>
      <c r="N440" s="264"/>
      <c r="O440" s="265">
        <v>0.75208333333333333</v>
      </c>
      <c r="P440" s="265">
        <v>0.75208333333333333</v>
      </c>
      <c r="Q440" s="266">
        <v>0.75694444444444442</v>
      </c>
      <c r="R440" s="261">
        <f>IF(Table6[[#This Row],[Work Start TimeStamp]]="","",(Table6[[#This Row],[Work Start TimeStamp]]-Table6[[#This Row],[Fault Start TimeStamp]])*24)</f>
        <v>0</v>
      </c>
      <c r="S440" s="261">
        <f>(Table6[[#This Row],[Fault Clearance time]]-Table6[[#This Row],[Work Start TimeStamp]])*24</f>
        <v>0.11666666666666625</v>
      </c>
      <c r="T440" s="261">
        <f>(Table6[[#This Row],[Fault Clearance time]]-Table6[[#This Row],[Fault Start TimeStamp]])*24</f>
        <v>0.11666666666666625</v>
      </c>
      <c r="U440" s="35" t="s">
        <v>267</v>
      </c>
      <c r="V440" s="102" t="s">
        <v>268</v>
      </c>
      <c r="W440" s="267">
        <f>IFERROR(Table6[[#This Row],[Breakdown Time]]*Table6[[#This Row],[Plant Equivalent Weightage]],"")</f>
        <v>4.4871794871794695E-3</v>
      </c>
      <c r="X440" s="262" t="s">
        <v>269</v>
      </c>
      <c r="Y440" s="263" t="s">
        <v>121</v>
      </c>
      <c r="Z440" s="102">
        <v>47322</v>
      </c>
      <c r="AA440" s="257">
        <f>(Table6[[#This Row],[Paired WTG Generation for loss calculation]]/24)*Table6[[#This Row],[Breakdown Time]]</f>
        <v>230.03749999999917</v>
      </c>
      <c r="AB440" s="102"/>
      <c r="AC440" s="35"/>
      <c r="AD440" s="35"/>
    </row>
    <row r="441" spans="1:30">
      <c r="A441" s="102">
        <f t="shared" si="7"/>
        <v>440</v>
      </c>
      <c r="B441" s="257">
        <f>YEAR(Table6[[#This Row],[Date]])+IF(MONTH(Table6[[#This Row],[Date]])&gt;=4,1,0)</f>
        <v>2026</v>
      </c>
      <c r="C441" s="102">
        <f>YEAR(Table6[[#This Row],[Date]])</f>
        <v>2025</v>
      </c>
      <c r="D441" s="102" t="s">
        <v>265</v>
      </c>
      <c r="E441" s="258">
        <f>Table6[[#This Row],[Date]]-DAY(Table6[[#This Row],[Date]])+1</f>
        <v>45748</v>
      </c>
      <c r="F441" s="259">
        <v>45776</v>
      </c>
      <c r="G441" s="35" t="s">
        <v>119</v>
      </c>
      <c r="H441" s="35" t="str">
        <f>IFERROR(_xlfn.XLOOKUP(Table6[[#This Row],[Affected WTG]],'Basic Data'!$A:$A,'Basic Data'!$B:$B),"")</f>
        <v>TQGXIIPL</v>
      </c>
      <c r="I441" s="35" t="str">
        <f>IFERROR(_xlfn.XLOOKUP(Table6[[#This Row],[Affected WTG]],'Basic Data'!$A:$A,'Basic Data'!$C:$C),"")</f>
        <v>GEDA</v>
      </c>
      <c r="J441" s="260">
        <f>IFERROR(_xlfn.XLOOKUP(Table6[[#This Row],[Affected WTG]],'Basic Data'!$A:$A,'Basic Data'!$E:$E),"")</f>
        <v>3.846153846153845E-2</v>
      </c>
      <c r="K441" s="102">
        <v>55</v>
      </c>
      <c r="L441" s="35" t="str">
        <f>IFERROR(_xlfn.XLOOKUP(Table6[[#This Row],[Error Code]],'Basic Data'!$AA:$AA,'Basic Data'!$AB:$AB),"Incorrect Error Code")</f>
        <v>WTG shut down</v>
      </c>
      <c r="M441" s="35" t="s">
        <v>300</v>
      </c>
      <c r="N441" s="264"/>
      <c r="O441" s="265">
        <v>0.86458333333333337</v>
      </c>
      <c r="P441" s="265">
        <v>0.86458333333333337</v>
      </c>
      <c r="Q441" s="266">
        <v>1</v>
      </c>
      <c r="R441" s="261">
        <f>IF(Table6[[#This Row],[Work Start TimeStamp]]="","",(Table6[[#This Row],[Work Start TimeStamp]]-Table6[[#This Row],[Fault Start TimeStamp]])*24)</f>
        <v>0</v>
      </c>
      <c r="S441" s="261">
        <f>(Table6[[#This Row],[Fault Clearance time]]-Table6[[#This Row],[Work Start TimeStamp]])*24</f>
        <v>3.2499999999999991</v>
      </c>
      <c r="T441" s="261">
        <f>(Table6[[#This Row],[Fault Clearance time]]-Table6[[#This Row],[Fault Start TimeStamp]])*24</f>
        <v>3.2499999999999991</v>
      </c>
      <c r="U441" s="35" t="s">
        <v>301</v>
      </c>
      <c r="V441" s="102" t="s">
        <v>268</v>
      </c>
      <c r="W441" s="267">
        <f>IFERROR(Table6[[#This Row],[Breakdown Time]]*Table6[[#This Row],[Plant Equivalent Weightage]],"")</f>
        <v>0.12499999999999993</v>
      </c>
      <c r="X441" s="262" t="s">
        <v>296</v>
      </c>
      <c r="Y441" s="263" t="s">
        <v>116</v>
      </c>
      <c r="Z441" s="102">
        <v>46987</v>
      </c>
      <c r="AA441" s="257">
        <f>(Table6[[#This Row],[Paired WTG Generation for loss calculation]]/24)*Table6[[#This Row],[Breakdown Time]]</f>
        <v>6362.8229166666652</v>
      </c>
      <c r="AB441" s="102"/>
      <c r="AC441" s="35"/>
      <c r="AD441" s="35"/>
    </row>
    <row r="442" spans="1:30">
      <c r="A442" s="102">
        <f t="shared" si="7"/>
        <v>441</v>
      </c>
      <c r="B442" s="257">
        <f>YEAR(Table6[[#This Row],[Date]])+IF(MONTH(Table6[[#This Row],[Date]])&gt;=4,1,0)</f>
        <v>2026</v>
      </c>
      <c r="C442" s="102">
        <f>YEAR(Table6[[#This Row],[Date]])</f>
        <v>2025</v>
      </c>
      <c r="D442" s="102" t="s">
        <v>265</v>
      </c>
      <c r="E442" s="258">
        <f>Table6[[#This Row],[Date]]-DAY(Table6[[#This Row],[Date]])+1</f>
        <v>45748</v>
      </c>
      <c r="F442" s="259">
        <v>45776</v>
      </c>
      <c r="G442" s="35" t="s">
        <v>120</v>
      </c>
      <c r="H442" s="35" t="str">
        <f>IFERROR(_xlfn.XLOOKUP(Table6[[#This Row],[Affected WTG]],'Basic Data'!$A:$A,'Basic Data'!$B:$B),"")</f>
        <v>TQGXIIPL</v>
      </c>
      <c r="I442" s="35" t="str">
        <f>IFERROR(_xlfn.XLOOKUP(Table6[[#This Row],[Affected WTG]],'Basic Data'!$A:$A,'Basic Data'!$C:$C),"")</f>
        <v>GEDA</v>
      </c>
      <c r="J442" s="260">
        <f>IFERROR(_xlfn.XLOOKUP(Table6[[#This Row],[Affected WTG]],'Basic Data'!$A:$A,'Basic Data'!$E:$E),"")</f>
        <v>3.846153846153845E-2</v>
      </c>
      <c r="K442" s="102">
        <v>55</v>
      </c>
      <c r="L442" s="35" t="str">
        <f>IFERROR(_xlfn.XLOOKUP(Table6[[#This Row],[Error Code]],'Basic Data'!$AA:$AA,'Basic Data'!$AB:$AB),"Incorrect Error Code")</f>
        <v>WTG shut down</v>
      </c>
      <c r="M442" s="35" t="s">
        <v>271</v>
      </c>
      <c r="N442" s="264"/>
      <c r="O442" s="265">
        <v>0.28888888888888886</v>
      </c>
      <c r="P442" s="265">
        <v>0.28888888888888886</v>
      </c>
      <c r="Q442" s="266">
        <v>0.57916666666666672</v>
      </c>
      <c r="R442" s="261">
        <f>IF(Table6[[#This Row],[Work Start TimeStamp]]="","",(Table6[[#This Row],[Work Start TimeStamp]]-Table6[[#This Row],[Fault Start TimeStamp]])*24)</f>
        <v>0</v>
      </c>
      <c r="S442" s="261">
        <f>(Table6[[#This Row],[Fault Clearance time]]-Table6[[#This Row],[Work Start TimeStamp]])*24</f>
        <v>6.9666666666666686</v>
      </c>
      <c r="T442" s="261">
        <f>(Table6[[#This Row],[Fault Clearance time]]-Table6[[#This Row],[Fault Start TimeStamp]])*24</f>
        <v>6.9666666666666686</v>
      </c>
      <c r="U442" s="35" t="s">
        <v>281</v>
      </c>
      <c r="V442" s="102" t="s">
        <v>268</v>
      </c>
      <c r="W442" s="267">
        <f>IFERROR(Table6[[#This Row],[Breakdown Time]]*Table6[[#This Row],[Plant Equivalent Weightage]],"")</f>
        <v>0.26794871794871794</v>
      </c>
      <c r="X442" s="262" t="s">
        <v>273</v>
      </c>
      <c r="Y442" s="263" t="s">
        <v>135</v>
      </c>
      <c r="Z442" s="102">
        <v>35807</v>
      </c>
      <c r="AA442" s="257">
        <f>(Table6[[#This Row],[Paired WTG Generation for loss calculation]]/24)*Table6[[#This Row],[Breakdown Time]]</f>
        <v>10393.976388888892</v>
      </c>
      <c r="AB442" s="102"/>
      <c r="AC442" s="35"/>
      <c r="AD442" s="35"/>
    </row>
    <row r="443" spans="1:30">
      <c r="A443" s="102">
        <f t="shared" si="7"/>
        <v>442</v>
      </c>
      <c r="B443" s="257">
        <f>YEAR(Table6[[#This Row],[Date]])+IF(MONTH(Table6[[#This Row],[Date]])&gt;=4,1,0)</f>
        <v>2026</v>
      </c>
      <c r="C443" s="102">
        <f>YEAR(Table6[[#This Row],[Date]])</f>
        <v>2025</v>
      </c>
      <c r="D443" s="102" t="s">
        <v>265</v>
      </c>
      <c r="E443" s="258">
        <f>Table6[[#This Row],[Date]]-DAY(Table6[[#This Row],[Date]])+1</f>
        <v>45748</v>
      </c>
      <c r="F443" s="259">
        <v>45776</v>
      </c>
      <c r="G443" s="35" t="s">
        <v>120</v>
      </c>
      <c r="H443" s="35" t="str">
        <f>IFERROR(_xlfn.XLOOKUP(Table6[[#This Row],[Affected WTG]],'Basic Data'!$A:$A,'Basic Data'!$B:$B),"")</f>
        <v>TQGXIIPL</v>
      </c>
      <c r="I443" s="35" t="str">
        <f>IFERROR(_xlfn.XLOOKUP(Table6[[#This Row],[Affected WTG]],'Basic Data'!$A:$A,'Basic Data'!$C:$C),"")</f>
        <v>GEDA</v>
      </c>
      <c r="J443" s="260">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266</v>
      </c>
      <c r="N443" s="264"/>
      <c r="O443" s="265">
        <v>0.61041666666666672</v>
      </c>
      <c r="P443" s="265">
        <v>0.61041666666666672</v>
      </c>
      <c r="Q443" s="266">
        <v>0.61527777777777781</v>
      </c>
      <c r="R443" s="261">
        <f>IF(Table6[[#This Row],[Work Start TimeStamp]]="","",(Table6[[#This Row],[Work Start TimeStamp]]-Table6[[#This Row],[Fault Start TimeStamp]])*24)</f>
        <v>0</v>
      </c>
      <c r="S443" s="261">
        <f>(Table6[[#This Row],[Fault Clearance time]]-Table6[[#This Row],[Work Start TimeStamp]])*24</f>
        <v>0.11666666666666625</v>
      </c>
      <c r="T443" s="261">
        <f>(Table6[[#This Row],[Fault Clearance time]]-Table6[[#This Row],[Fault Start TimeStamp]])*24</f>
        <v>0.11666666666666625</v>
      </c>
      <c r="U443" s="35" t="s">
        <v>329</v>
      </c>
      <c r="V443" s="102" t="s">
        <v>268</v>
      </c>
      <c r="W443" s="267">
        <f>IFERROR(Table6[[#This Row],[Breakdown Time]]*Table6[[#This Row],[Plant Equivalent Weightage]],"")</f>
        <v>4.4871794871794695E-3</v>
      </c>
      <c r="X443" s="262" t="s">
        <v>269</v>
      </c>
      <c r="Y443" s="263" t="s">
        <v>135</v>
      </c>
      <c r="Z443" s="102">
        <v>35807</v>
      </c>
      <c r="AA443" s="257">
        <f>(Table6[[#This Row],[Paired WTG Generation for loss calculation]]/24)*Table6[[#This Row],[Breakdown Time]]</f>
        <v>174.06180555555494</v>
      </c>
      <c r="AB443" s="102"/>
      <c r="AC443" s="35"/>
      <c r="AD443" s="35"/>
    </row>
    <row r="444" spans="1:30">
      <c r="A444" s="102">
        <f t="shared" si="7"/>
        <v>443</v>
      </c>
      <c r="B444" s="257">
        <f>YEAR(Table6[[#This Row],[Date]])+IF(MONTH(Table6[[#This Row],[Date]])&gt;=4,1,0)</f>
        <v>2026</v>
      </c>
      <c r="C444" s="102">
        <f>YEAR(Table6[[#This Row],[Date]])</f>
        <v>2025</v>
      </c>
      <c r="D444" s="102" t="s">
        <v>265</v>
      </c>
      <c r="E444" s="258">
        <f>Table6[[#This Row],[Date]]-DAY(Table6[[#This Row],[Date]])+1</f>
        <v>45748</v>
      </c>
      <c r="F444" s="259">
        <v>45776</v>
      </c>
      <c r="G444" s="35" t="s">
        <v>121</v>
      </c>
      <c r="H444" s="35" t="str">
        <f>IFERROR(_xlfn.XLOOKUP(Table6[[#This Row],[Affected WTG]],'Basic Data'!$A:$A,'Basic Data'!$B:$B),"")</f>
        <v>TQGXIIPL</v>
      </c>
      <c r="I444" s="35" t="str">
        <f>IFERROR(_xlfn.XLOOKUP(Table6[[#This Row],[Affected WTG]],'Basic Data'!$A:$A,'Basic Data'!$C:$C),"")</f>
        <v>GEDA</v>
      </c>
      <c r="J444" s="260">
        <f>IFERROR(_xlfn.XLOOKUP(Table6[[#This Row],[Affected WTG]],'Basic Data'!$A:$A,'Basic Data'!$E:$E),"")</f>
        <v>3.846153846153845E-2</v>
      </c>
      <c r="K444" s="102">
        <v>6130</v>
      </c>
      <c r="L444" s="35" t="str">
        <f>IFERROR(_xlfn.XLOOKUP(Table6[[#This Row],[Error Code]],'Basic Data'!$AA:$AA,'Basic Data'!$AB:$AB),"Incorrect Error Code")</f>
        <v>Yaw speed high</v>
      </c>
      <c r="M444" s="35" t="s">
        <v>278</v>
      </c>
      <c r="N444" s="264"/>
      <c r="O444" s="265">
        <v>0.3263888888888889</v>
      </c>
      <c r="P444" s="265">
        <v>0.3263888888888889</v>
      </c>
      <c r="Q444" s="266">
        <v>0.33055555555555555</v>
      </c>
      <c r="R444" s="261">
        <f>IF(Table6[[#This Row],[Work Start TimeStamp]]="","",(Table6[[#This Row],[Work Start TimeStamp]]-Table6[[#This Row],[Fault Start TimeStamp]])*24)</f>
        <v>0</v>
      </c>
      <c r="S444" s="261">
        <f>(Table6[[#This Row],[Fault Clearance time]]-Table6[[#This Row],[Work Start TimeStamp]])*24</f>
        <v>9.9999999999999645E-2</v>
      </c>
      <c r="T444" s="261">
        <f>(Table6[[#This Row],[Fault Clearance time]]-Table6[[#This Row],[Fault Start TimeStamp]])*24</f>
        <v>9.9999999999999645E-2</v>
      </c>
      <c r="U444" s="35" t="s">
        <v>277</v>
      </c>
      <c r="V444" s="102" t="s">
        <v>268</v>
      </c>
      <c r="W444" s="267">
        <f>IFERROR(Table6[[#This Row],[Breakdown Time]]*Table6[[#This Row],[Plant Equivalent Weightage]],"")</f>
        <v>3.8461538461538312E-3</v>
      </c>
      <c r="X444" s="262" t="s">
        <v>269</v>
      </c>
      <c r="Y444" s="263" t="s">
        <v>118</v>
      </c>
      <c r="Z444" s="102">
        <v>47661</v>
      </c>
      <c r="AA444" s="257">
        <f>(Table6[[#This Row],[Paired WTG Generation for loss calculation]]/24)*Table6[[#This Row],[Breakdown Time]]</f>
        <v>198.5874999999993</v>
      </c>
      <c r="AB444" s="102"/>
      <c r="AC444" s="35"/>
      <c r="AD444" s="35"/>
    </row>
    <row r="445" spans="1:30">
      <c r="A445" s="102">
        <f t="shared" si="7"/>
        <v>444</v>
      </c>
      <c r="B445" s="257">
        <f>YEAR(Table6[[#This Row],[Date]])+IF(MONTH(Table6[[#This Row],[Date]])&gt;=4,1,0)</f>
        <v>2026</v>
      </c>
      <c r="C445" s="102">
        <f>YEAR(Table6[[#This Row],[Date]])</f>
        <v>2025</v>
      </c>
      <c r="D445" s="102" t="s">
        <v>265</v>
      </c>
      <c r="E445" s="258">
        <f>Table6[[#This Row],[Date]]-DAY(Table6[[#This Row],[Date]])+1</f>
        <v>45748</v>
      </c>
      <c r="F445" s="259">
        <v>45776</v>
      </c>
      <c r="G445" s="35" t="s">
        <v>121</v>
      </c>
      <c r="H445" s="35" t="str">
        <f>IFERROR(_xlfn.XLOOKUP(Table6[[#This Row],[Affected WTG]],'Basic Data'!$A:$A,'Basic Data'!$B:$B),"")</f>
        <v>TQGXIIPL</v>
      </c>
      <c r="I445" s="35" t="str">
        <f>IFERROR(_xlfn.XLOOKUP(Table6[[#This Row],[Affected WTG]],'Basic Data'!$A:$A,'Basic Data'!$C:$C),"")</f>
        <v>GEDA</v>
      </c>
      <c r="J445" s="260">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266</v>
      </c>
      <c r="N445" s="264"/>
      <c r="O445" s="265">
        <v>0.74791666666666667</v>
      </c>
      <c r="P445" s="265">
        <v>0.74791666666666667</v>
      </c>
      <c r="Q445" s="266">
        <v>0.78125</v>
      </c>
      <c r="R445" s="261">
        <f>IF(Table6[[#This Row],[Work Start TimeStamp]]="","",(Table6[[#This Row],[Work Start TimeStamp]]-Table6[[#This Row],[Fault Start TimeStamp]])*24)</f>
        <v>0</v>
      </c>
      <c r="S445" s="261">
        <f>(Table6[[#This Row],[Fault Clearance time]]-Table6[[#This Row],[Work Start TimeStamp]])*24</f>
        <v>0.79999999999999982</v>
      </c>
      <c r="T445" s="261">
        <f>(Table6[[#This Row],[Fault Clearance time]]-Table6[[#This Row],[Fault Start TimeStamp]])*24</f>
        <v>0.79999999999999982</v>
      </c>
      <c r="U445" s="35" t="s">
        <v>329</v>
      </c>
      <c r="V445" s="102" t="s">
        <v>268</v>
      </c>
      <c r="W445" s="267">
        <f>IFERROR(Table6[[#This Row],[Breakdown Time]]*Table6[[#This Row],[Plant Equivalent Weightage]],"")</f>
        <v>3.0769230769230754E-2</v>
      </c>
      <c r="X445" s="262" t="s">
        <v>269</v>
      </c>
      <c r="Y445" s="263" t="s">
        <v>118</v>
      </c>
      <c r="Z445" s="102">
        <v>47661</v>
      </c>
      <c r="AA445" s="257">
        <f>(Table6[[#This Row],[Paired WTG Generation for loss calculation]]/24)*Table6[[#This Row],[Breakdown Time]]</f>
        <v>1588.6999999999996</v>
      </c>
      <c r="AB445" s="102"/>
      <c r="AC445" s="35"/>
      <c r="AD445" s="35"/>
    </row>
    <row r="446" spans="1:30">
      <c r="A446" s="102">
        <f t="shared" si="7"/>
        <v>445</v>
      </c>
      <c r="B446" s="257">
        <f>YEAR(Table6[[#This Row],[Date]])+IF(MONTH(Table6[[#This Row],[Date]])&gt;=4,1,0)</f>
        <v>2026</v>
      </c>
      <c r="C446" s="102">
        <f>YEAR(Table6[[#This Row],[Date]])</f>
        <v>2025</v>
      </c>
      <c r="D446" s="102" t="s">
        <v>265</v>
      </c>
      <c r="E446" s="258">
        <f>Table6[[#This Row],[Date]]-DAY(Table6[[#This Row],[Date]])+1</f>
        <v>45748</v>
      </c>
      <c r="F446" s="259">
        <v>45776</v>
      </c>
      <c r="G446" s="35" t="s">
        <v>122</v>
      </c>
      <c r="H446" s="35" t="str">
        <f>IFERROR(_xlfn.XLOOKUP(Table6[[#This Row],[Affected WTG]],'Basic Data'!$A:$A,'Basic Data'!$B:$B),"")</f>
        <v>TQGXIIPL</v>
      </c>
      <c r="I446" s="35" t="str">
        <f>IFERROR(_xlfn.XLOOKUP(Table6[[#This Row],[Affected WTG]],'Basic Data'!$A:$A,'Basic Data'!$C:$C),"")</f>
        <v>GEDA</v>
      </c>
      <c r="J446" s="260">
        <f>IFERROR(_xlfn.XLOOKUP(Table6[[#This Row],[Affected WTG]],'Basic Data'!$A:$A,'Basic Data'!$E:$E),"")</f>
        <v>3.846153846153845E-2</v>
      </c>
      <c r="K446" s="102">
        <v>6130</v>
      </c>
      <c r="L446" s="35" t="str">
        <f>IFERROR(_xlfn.XLOOKUP(Table6[[#This Row],[Error Code]],'Basic Data'!$AA:$AA,'Basic Data'!$AB:$AB),"Incorrect Error Code")</f>
        <v>Yaw speed high</v>
      </c>
      <c r="M446" s="35" t="s">
        <v>278</v>
      </c>
      <c r="N446" s="264"/>
      <c r="O446" s="265">
        <v>0.55277777777777781</v>
      </c>
      <c r="P446" s="265">
        <v>0.55277777777777781</v>
      </c>
      <c r="Q446" s="266">
        <v>0.55694444444444446</v>
      </c>
      <c r="R446" s="261">
        <f>IF(Table6[[#This Row],[Work Start TimeStamp]]="","",(Table6[[#This Row],[Work Start TimeStamp]]-Table6[[#This Row],[Fault Start TimeStamp]])*24)</f>
        <v>0</v>
      </c>
      <c r="S446" s="261">
        <f>(Table6[[#This Row],[Fault Clearance time]]-Table6[[#This Row],[Work Start TimeStamp]])*24</f>
        <v>9.9999999999999645E-2</v>
      </c>
      <c r="T446" s="261">
        <f>(Table6[[#This Row],[Fault Clearance time]]-Table6[[#This Row],[Fault Start TimeStamp]])*24</f>
        <v>9.9999999999999645E-2</v>
      </c>
      <c r="U446" s="35" t="s">
        <v>277</v>
      </c>
      <c r="V446" s="102" t="s">
        <v>268</v>
      </c>
      <c r="W446" s="267">
        <f>IFERROR(Table6[[#This Row],[Breakdown Time]]*Table6[[#This Row],[Plant Equivalent Weightage]],"")</f>
        <v>3.8461538461538312E-3</v>
      </c>
      <c r="X446" s="262" t="s">
        <v>269</v>
      </c>
      <c r="Y446" s="263" t="s">
        <v>140</v>
      </c>
      <c r="Z446" s="102">
        <v>40476</v>
      </c>
      <c r="AA446" s="257">
        <f>(Table6[[#This Row],[Paired WTG Generation for loss calculation]]/24)*Table6[[#This Row],[Breakdown Time]]</f>
        <v>168.64999999999941</v>
      </c>
      <c r="AB446" s="102"/>
      <c r="AC446" s="35"/>
      <c r="AD446" s="35"/>
    </row>
    <row r="447" spans="1:30">
      <c r="A447" s="102">
        <f t="shared" si="7"/>
        <v>446</v>
      </c>
      <c r="B447" s="257">
        <f>YEAR(Table6[[#This Row],[Date]])+IF(MONTH(Table6[[#This Row],[Date]])&gt;=4,1,0)</f>
        <v>2026</v>
      </c>
      <c r="C447" s="102">
        <f>YEAR(Table6[[#This Row],[Date]])</f>
        <v>2025</v>
      </c>
      <c r="D447" s="102" t="s">
        <v>265</v>
      </c>
      <c r="E447" s="258">
        <f>Table6[[#This Row],[Date]]-DAY(Table6[[#This Row],[Date]])+1</f>
        <v>45748</v>
      </c>
      <c r="F447" s="259">
        <v>45776</v>
      </c>
      <c r="G447" s="35" t="s">
        <v>122</v>
      </c>
      <c r="H447" s="35" t="str">
        <f>IFERROR(_xlfn.XLOOKUP(Table6[[#This Row],[Affected WTG]],'Basic Data'!$A:$A,'Basic Data'!$B:$B),"")</f>
        <v>TQGXIIPL</v>
      </c>
      <c r="I447" s="35" t="str">
        <f>IFERROR(_xlfn.XLOOKUP(Table6[[#This Row],[Affected WTG]],'Basic Data'!$A:$A,'Basic Data'!$C:$C),"")</f>
        <v>GEDA</v>
      </c>
      <c r="J447" s="260">
        <f>IFERROR(_xlfn.XLOOKUP(Table6[[#This Row],[Affected WTG]],'Basic Data'!$A:$A,'Basic Data'!$E:$E),"")</f>
        <v>3.846153846153845E-2</v>
      </c>
      <c r="K447" s="102">
        <v>6130</v>
      </c>
      <c r="L447" s="35" t="str">
        <f>IFERROR(_xlfn.XLOOKUP(Table6[[#This Row],[Error Code]],'Basic Data'!$AA:$AA,'Basic Data'!$AB:$AB),"Incorrect Error Code")</f>
        <v>Yaw speed high</v>
      </c>
      <c r="M447" s="35" t="s">
        <v>266</v>
      </c>
      <c r="N447" s="264"/>
      <c r="O447" s="265">
        <v>0.61041666666666672</v>
      </c>
      <c r="P447" s="265">
        <v>0.61041666666666672</v>
      </c>
      <c r="Q447" s="266">
        <v>0.61805555555555558</v>
      </c>
      <c r="R447" s="261">
        <f>IF(Table6[[#This Row],[Work Start TimeStamp]]="","",(Table6[[#This Row],[Work Start TimeStamp]]-Table6[[#This Row],[Fault Start TimeStamp]])*24)</f>
        <v>0</v>
      </c>
      <c r="S447" s="261">
        <f>(Table6[[#This Row],[Fault Clearance time]]-Table6[[#This Row],[Work Start TimeStamp]])*24</f>
        <v>0.18333333333333268</v>
      </c>
      <c r="T447" s="261">
        <f>(Table6[[#This Row],[Fault Clearance time]]-Table6[[#This Row],[Fault Start TimeStamp]])*24</f>
        <v>0.18333333333333268</v>
      </c>
      <c r="U447" s="35" t="s">
        <v>267</v>
      </c>
      <c r="V447" s="102" t="s">
        <v>268</v>
      </c>
      <c r="W447" s="267">
        <f>IFERROR(Table6[[#This Row],[Breakdown Time]]*Table6[[#This Row],[Plant Equivalent Weightage]],"")</f>
        <v>7.0512820512820245E-3</v>
      </c>
      <c r="X447" s="262" t="s">
        <v>269</v>
      </c>
      <c r="Y447" s="263" t="s">
        <v>140</v>
      </c>
      <c r="Z447" s="102">
        <v>40476</v>
      </c>
      <c r="AA447" s="257">
        <f>(Table6[[#This Row],[Paired WTG Generation for loss calculation]]/24)*Table6[[#This Row],[Breakdown Time]]</f>
        <v>309.19166666666558</v>
      </c>
      <c r="AB447" s="102"/>
      <c r="AC447" s="35"/>
      <c r="AD447" s="35"/>
    </row>
    <row r="448" spans="1:30">
      <c r="A448" s="102">
        <f t="shared" si="7"/>
        <v>447</v>
      </c>
      <c r="B448" s="257">
        <f>YEAR(Table6[[#This Row],[Date]])+IF(MONTH(Table6[[#This Row],[Date]])&gt;=4,1,0)</f>
        <v>2026</v>
      </c>
      <c r="C448" s="102">
        <f>YEAR(Table6[[#This Row],[Date]])</f>
        <v>2025</v>
      </c>
      <c r="D448" s="102" t="s">
        <v>265</v>
      </c>
      <c r="E448" s="258">
        <f>Table6[[#This Row],[Date]]-DAY(Table6[[#This Row],[Date]])+1</f>
        <v>45748</v>
      </c>
      <c r="F448" s="259">
        <v>45776</v>
      </c>
      <c r="G448" s="35" t="s">
        <v>124</v>
      </c>
      <c r="H448" s="35" t="str">
        <f>IFERROR(_xlfn.XLOOKUP(Table6[[#This Row],[Affected WTG]],'Basic Data'!$A:$A,'Basic Data'!$B:$B),"")</f>
        <v>TQGXIIPL</v>
      </c>
      <c r="I448" s="35" t="str">
        <f>IFERROR(_xlfn.XLOOKUP(Table6[[#This Row],[Affected WTG]],'Basic Data'!$A:$A,'Basic Data'!$C:$C),"")</f>
        <v>GEDA</v>
      </c>
      <c r="J448" s="260">
        <f>IFERROR(_xlfn.XLOOKUP(Table6[[#This Row],[Affected WTG]],'Basic Data'!$A:$A,'Basic Data'!$E:$E),"")</f>
        <v>3.846153846153845E-2</v>
      </c>
      <c r="K448" s="102">
        <v>6130</v>
      </c>
      <c r="L448" s="35" t="str">
        <f>IFERROR(_xlfn.XLOOKUP(Table6[[#This Row],[Error Code]],'Basic Data'!$AA:$AA,'Basic Data'!$AB:$AB),"Incorrect Error Code")</f>
        <v>Yaw speed high</v>
      </c>
      <c r="M448" s="35" t="s">
        <v>278</v>
      </c>
      <c r="N448" s="264"/>
      <c r="O448" s="265">
        <v>0.52500000000000002</v>
      </c>
      <c r="P448" s="265">
        <v>0.52500000000000002</v>
      </c>
      <c r="Q448" s="266">
        <v>0.52916666666666667</v>
      </c>
      <c r="R448" s="261">
        <f>IF(Table6[[#This Row],[Work Start TimeStamp]]="","",(Table6[[#This Row],[Work Start TimeStamp]]-Table6[[#This Row],[Fault Start TimeStamp]])*24)</f>
        <v>0</v>
      </c>
      <c r="S448" s="261">
        <f>(Table6[[#This Row],[Fault Clearance time]]-Table6[[#This Row],[Work Start TimeStamp]])*24</f>
        <v>9.9999999999999645E-2</v>
      </c>
      <c r="T448" s="261">
        <f>(Table6[[#This Row],[Fault Clearance time]]-Table6[[#This Row],[Fault Start TimeStamp]])*24</f>
        <v>9.9999999999999645E-2</v>
      </c>
      <c r="U448" s="35" t="s">
        <v>277</v>
      </c>
      <c r="V448" s="102" t="s">
        <v>268</v>
      </c>
      <c r="W448" s="267">
        <f>IFERROR(Table6[[#This Row],[Breakdown Time]]*Table6[[#This Row],[Plant Equivalent Weightage]],"")</f>
        <v>3.8461538461538312E-3</v>
      </c>
      <c r="X448" s="262" t="s">
        <v>269</v>
      </c>
      <c r="Y448" s="263" t="s">
        <v>129</v>
      </c>
      <c r="Z448" s="102">
        <v>40415</v>
      </c>
      <c r="AA448" s="257">
        <f>(Table6[[#This Row],[Paired WTG Generation for loss calculation]]/24)*Table6[[#This Row],[Breakdown Time]]</f>
        <v>168.39583333333272</v>
      </c>
      <c r="AB448" s="102"/>
      <c r="AC448" s="35"/>
      <c r="AD448" s="35"/>
    </row>
    <row r="449" spans="1:30">
      <c r="A449" s="102">
        <f t="shared" si="7"/>
        <v>448</v>
      </c>
      <c r="B449" s="257">
        <f>YEAR(Table6[[#This Row],[Date]])+IF(MONTH(Table6[[#This Row],[Date]])&gt;=4,1,0)</f>
        <v>2026</v>
      </c>
      <c r="C449" s="102">
        <f>YEAR(Table6[[#This Row],[Date]])</f>
        <v>2025</v>
      </c>
      <c r="D449" s="102" t="s">
        <v>265</v>
      </c>
      <c r="E449" s="258">
        <f>Table6[[#This Row],[Date]]-DAY(Table6[[#This Row],[Date]])+1</f>
        <v>45748</v>
      </c>
      <c r="F449" s="259">
        <v>45776</v>
      </c>
      <c r="G449" s="35" t="s">
        <v>126</v>
      </c>
      <c r="H449" s="35" t="str">
        <f>IFERROR(_xlfn.XLOOKUP(Table6[[#This Row],[Affected WTG]],'Basic Data'!$A:$A,'Basic Data'!$B:$B),"")</f>
        <v>TQGXIIPL</v>
      </c>
      <c r="I449" s="35" t="str">
        <f>IFERROR(_xlfn.XLOOKUP(Table6[[#This Row],[Affected WTG]],'Basic Data'!$A:$A,'Basic Data'!$C:$C),"")</f>
        <v>GEDA</v>
      </c>
      <c r="J449" s="260">
        <f>IFERROR(_xlfn.XLOOKUP(Table6[[#This Row],[Affected WTG]],'Basic Data'!$A:$A,'Basic Data'!$E:$E),"")</f>
        <v>3.846153846153845E-2</v>
      </c>
      <c r="K449" s="102">
        <v>1700</v>
      </c>
      <c r="L449" s="35" t="str">
        <f>IFERROR(_xlfn.XLOOKUP(Table6[[#This Row],[Error Code]],'Basic Data'!$AA:$AA,'Basic Data'!$AB:$AB),"Incorrect Error Code")</f>
        <v>High temp. gear bearing 1</v>
      </c>
      <c r="M449" s="35" t="s">
        <v>266</v>
      </c>
      <c r="N449" s="264"/>
      <c r="O449" s="265">
        <v>0.5083333333333333</v>
      </c>
      <c r="P449" s="265">
        <v>0.5083333333333333</v>
      </c>
      <c r="Q449" s="266">
        <v>0.51944444444444449</v>
      </c>
      <c r="R449" s="261">
        <f>IF(Table6[[#This Row],[Work Start TimeStamp]]="","",(Table6[[#This Row],[Work Start TimeStamp]]-Table6[[#This Row],[Fault Start TimeStamp]])*24)</f>
        <v>0</v>
      </c>
      <c r="S449" s="261">
        <f>(Table6[[#This Row],[Fault Clearance time]]-Table6[[#This Row],[Work Start TimeStamp]])*24</f>
        <v>0.26666666666666838</v>
      </c>
      <c r="T449" s="261">
        <f>(Table6[[#This Row],[Fault Clearance time]]-Table6[[#This Row],[Fault Start TimeStamp]])*24</f>
        <v>0.26666666666666838</v>
      </c>
      <c r="U449" s="35" t="s">
        <v>313</v>
      </c>
      <c r="V449" s="102" t="s">
        <v>268</v>
      </c>
      <c r="W449" s="267">
        <f>IFERROR(Table6[[#This Row],[Breakdown Time]]*Table6[[#This Row],[Plant Equivalent Weightage]],"")</f>
        <v>1.0256410256410319E-2</v>
      </c>
      <c r="X449" s="262" t="s">
        <v>269</v>
      </c>
      <c r="Y449" s="263" t="s">
        <v>128</v>
      </c>
      <c r="Z449" s="102">
        <v>36243</v>
      </c>
      <c r="AA449" s="257">
        <f>(Table6[[#This Row],[Paired WTG Generation for loss calculation]]/24)*Table6[[#This Row],[Breakdown Time]]</f>
        <v>402.7000000000026</v>
      </c>
      <c r="AB449" s="102"/>
      <c r="AC449" s="35"/>
      <c r="AD449" s="35"/>
    </row>
    <row r="450" spans="1:30">
      <c r="A450" s="102">
        <f t="shared" si="7"/>
        <v>449</v>
      </c>
      <c r="B450" s="257">
        <f>YEAR(Table6[[#This Row],[Date]])+IF(MONTH(Table6[[#This Row],[Date]])&gt;=4,1,0)</f>
        <v>2026</v>
      </c>
      <c r="C450" s="102">
        <f>YEAR(Table6[[#This Row],[Date]])</f>
        <v>2025</v>
      </c>
      <c r="D450" s="102" t="s">
        <v>265</v>
      </c>
      <c r="E450" s="258">
        <f>Table6[[#This Row],[Date]]-DAY(Table6[[#This Row],[Date]])+1</f>
        <v>45748</v>
      </c>
      <c r="F450" s="259">
        <v>45776</v>
      </c>
      <c r="G450" s="35" t="s">
        <v>127</v>
      </c>
      <c r="H450" s="35" t="str">
        <f>IFERROR(_xlfn.XLOOKUP(Table6[[#This Row],[Affected WTG]],'Basic Data'!$A:$A,'Basic Data'!$B:$B),"")</f>
        <v>TQGXIIPL</v>
      </c>
      <c r="I450" s="35" t="str">
        <f>IFERROR(_xlfn.XLOOKUP(Table6[[#This Row],[Affected WTG]],'Basic Data'!$A:$A,'Basic Data'!$C:$C),"")</f>
        <v>GEDA</v>
      </c>
      <c r="J450" s="260">
        <f>IFERROR(_xlfn.XLOOKUP(Table6[[#This Row],[Affected WTG]],'Basic Data'!$A:$A,'Basic Data'!$E:$E),"")</f>
        <v>3.846153846153845E-2</v>
      </c>
      <c r="K450" s="102">
        <v>6130</v>
      </c>
      <c r="L450" s="35" t="str">
        <f>IFERROR(_xlfn.XLOOKUP(Table6[[#This Row],[Error Code]],'Basic Data'!$AA:$AA,'Basic Data'!$AB:$AB),"Incorrect Error Code")</f>
        <v>Yaw speed high</v>
      </c>
      <c r="M450" s="35" t="s">
        <v>278</v>
      </c>
      <c r="N450" s="264"/>
      <c r="O450" s="265">
        <v>0.4597222222222222</v>
      </c>
      <c r="P450" s="265">
        <v>0.4597222222222222</v>
      </c>
      <c r="Q450" s="266">
        <v>0.46388888888888891</v>
      </c>
      <c r="R450" s="261">
        <f>IF(Table6[[#This Row],[Work Start TimeStamp]]="","",(Table6[[#This Row],[Work Start TimeStamp]]-Table6[[#This Row],[Fault Start TimeStamp]])*24)</f>
        <v>0</v>
      </c>
      <c r="S450" s="261">
        <f>(Table6[[#This Row],[Fault Clearance time]]-Table6[[#This Row],[Work Start TimeStamp]])*24</f>
        <v>0.10000000000000098</v>
      </c>
      <c r="T450" s="261">
        <f>(Table6[[#This Row],[Fault Clearance time]]-Table6[[#This Row],[Fault Start TimeStamp]])*24</f>
        <v>0.10000000000000098</v>
      </c>
      <c r="U450" s="35" t="s">
        <v>277</v>
      </c>
      <c r="V450" s="102" t="s">
        <v>268</v>
      </c>
      <c r="W450" s="267">
        <f>IFERROR(Table6[[#This Row],[Breakdown Time]]*Table6[[#This Row],[Plant Equivalent Weightage]],"")</f>
        <v>3.8461538461538824E-3</v>
      </c>
      <c r="X450" s="262" t="s">
        <v>269</v>
      </c>
      <c r="Y450" s="263" t="s">
        <v>125</v>
      </c>
      <c r="Z450" s="102">
        <v>38381</v>
      </c>
      <c r="AA450" s="257">
        <f>(Table6[[#This Row],[Paired WTG Generation for loss calculation]]/24)*Table6[[#This Row],[Breakdown Time]]</f>
        <v>159.92083333333488</v>
      </c>
      <c r="AB450" s="102"/>
      <c r="AC450" s="35"/>
      <c r="AD450" s="35"/>
    </row>
    <row r="451" spans="1:30">
      <c r="A451" s="102">
        <f t="shared" si="7"/>
        <v>450</v>
      </c>
      <c r="B451" s="257">
        <f>YEAR(Table6[[#This Row],[Date]])+IF(MONTH(Table6[[#This Row],[Date]])&gt;=4,1,0)</f>
        <v>2026</v>
      </c>
      <c r="C451" s="102">
        <f>YEAR(Table6[[#This Row],[Date]])</f>
        <v>2025</v>
      </c>
      <c r="D451" s="102" t="s">
        <v>265</v>
      </c>
      <c r="E451" s="258">
        <f>Table6[[#This Row],[Date]]-DAY(Table6[[#This Row],[Date]])+1</f>
        <v>45748</v>
      </c>
      <c r="F451" s="259">
        <v>45776</v>
      </c>
      <c r="G451" s="35" t="s">
        <v>127</v>
      </c>
      <c r="H451" s="35" t="str">
        <f>IFERROR(_xlfn.XLOOKUP(Table6[[#This Row],[Affected WTG]],'Basic Data'!$A:$A,'Basic Data'!$B:$B),"")</f>
        <v>TQGXIIPL</v>
      </c>
      <c r="I451" s="35" t="str">
        <f>IFERROR(_xlfn.XLOOKUP(Table6[[#This Row],[Affected WTG]],'Basic Data'!$A:$A,'Basic Data'!$C:$C),"")</f>
        <v>GEDA</v>
      </c>
      <c r="J451" s="260">
        <f>IFERROR(_xlfn.XLOOKUP(Table6[[#This Row],[Affected WTG]],'Basic Data'!$A:$A,'Basic Data'!$E:$E),"")</f>
        <v>3.846153846153845E-2</v>
      </c>
      <c r="K451" s="102">
        <v>6130</v>
      </c>
      <c r="L451" s="35" t="str">
        <f>IFERROR(_xlfn.XLOOKUP(Table6[[#This Row],[Error Code]],'Basic Data'!$AA:$AA,'Basic Data'!$AB:$AB),"Incorrect Error Code")</f>
        <v>Yaw speed high</v>
      </c>
      <c r="M451" s="35" t="s">
        <v>266</v>
      </c>
      <c r="N451" s="264"/>
      <c r="O451" s="265">
        <v>0.48055555555555557</v>
      </c>
      <c r="P451" s="265">
        <v>0.48055555555555557</v>
      </c>
      <c r="Q451" s="266">
        <v>0.49513888888888891</v>
      </c>
      <c r="R451" s="261">
        <f>IF(Table6[[#This Row],[Work Start TimeStamp]]="","",(Table6[[#This Row],[Work Start TimeStamp]]-Table6[[#This Row],[Fault Start TimeStamp]])*24)</f>
        <v>0</v>
      </c>
      <c r="S451" s="261">
        <f>(Table6[[#This Row],[Fault Clearance time]]-Table6[[#This Row],[Work Start TimeStamp]])*24</f>
        <v>0.35000000000000009</v>
      </c>
      <c r="T451" s="261">
        <f>(Table6[[#This Row],[Fault Clearance time]]-Table6[[#This Row],[Fault Start TimeStamp]])*24</f>
        <v>0.35000000000000009</v>
      </c>
      <c r="U451" s="35" t="s">
        <v>267</v>
      </c>
      <c r="V451" s="102" t="s">
        <v>268</v>
      </c>
      <c r="W451" s="267">
        <f>IFERROR(Table6[[#This Row],[Breakdown Time]]*Table6[[#This Row],[Plant Equivalent Weightage]],"")</f>
        <v>1.3461538461538461E-2</v>
      </c>
      <c r="X451" s="262" t="s">
        <v>269</v>
      </c>
      <c r="Y451" s="263" t="s">
        <v>125</v>
      </c>
      <c r="Z451" s="102">
        <v>38381</v>
      </c>
      <c r="AA451" s="257">
        <f>(Table6[[#This Row],[Paired WTG Generation for loss calculation]]/24)*Table6[[#This Row],[Breakdown Time]]</f>
        <v>559.72291666666683</v>
      </c>
      <c r="AB451" s="102"/>
      <c r="AC451" s="35"/>
      <c r="AD451" s="35"/>
    </row>
    <row r="452" spans="1:30">
      <c r="A452" s="102">
        <f t="shared" si="7"/>
        <v>451</v>
      </c>
      <c r="B452" s="257">
        <f>YEAR(Table6[[#This Row],[Date]])+IF(MONTH(Table6[[#This Row],[Date]])&gt;=4,1,0)</f>
        <v>2026</v>
      </c>
      <c r="C452" s="102">
        <f>YEAR(Table6[[#This Row],[Date]])</f>
        <v>2025</v>
      </c>
      <c r="D452" s="102" t="s">
        <v>265</v>
      </c>
      <c r="E452" s="258">
        <f>Table6[[#This Row],[Date]]-DAY(Table6[[#This Row],[Date]])+1</f>
        <v>45748</v>
      </c>
      <c r="F452" s="259">
        <v>45776</v>
      </c>
      <c r="G452" s="35" t="s">
        <v>128</v>
      </c>
      <c r="H452" s="35" t="str">
        <f>IFERROR(_xlfn.XLOOKUP(Table6[[#This Row],[Affected WTG]],'Basic Data'!$A:$A,'Basic Data'!$B:$B),"")</f>
        <v>TQGXIIPL</v>
      </c>
      <c r="I452" s="35" t="str">
        <f>IFERROR(_xlfn.XLOOKUP(Table6[[#This Row],[Affected WTG]],'Basic Data'!$A:$A,'Basic Data'!$C:$C),"")</f>
        <v>GEDA</v>
      </c>
      <c r="J452" s="260">
        <f>IFERROR(_xlfn.XLOOKUP(Table6[[#This Row],[Affected WTG]],'Basic Data'!$A:$A,'Basic Data'!$E:$E),"")</f>
        <v>3.846153846153845E-2</v>
      </c>
      <c r="K452" s="102">
        <v>6130</v>
      </c>
      <c r="L452" s="35" t="str">
        <f>IFERROR(_xlfn.XLOOKUP(Table6[[#This Row],[Error Code]],'Basic Data'!$AA:$AA,'Basic Data'!$AB:$AB),"Incorrect Error Code")</f>
        <v>Yaw speed high</v>
      </c>
      <c r="M452" s="35" t="s">
        <v>266</v>
      </c>
      <c r="N452" s="264"/>
      <c r="O452" s="265">
        <v>0.51666666666666672</v>
      </c>
      <c r="P452" s="265">
        <v>0.51666666666666672</v>
      </c>
      <c r="Q452" s="266">
        <v>0.52013888888888893</v>
      </c>
      <c r="R452" s="261">
        <f>IF(Table6[[#This Row],[Work Start TimeStamp]]="","",(Table6[[#This Row],[Work Start TimeStamp]]-Table6[[#This Row],[Fault Start TimeStamp]])*24)</f>
        <v>0</v>
      </c>
      <c r="S452" s="261">
        <f>(Table6[[#This Row],[Fault Clearance time]]-Table6[[#This Row],[Work Start TimeStamp]])*24</f>
        <v>8.3333333333333037E-2</v>
      </c>
      <c r="T452" s="261">
        <f>(Table6[[#This Row],[Fault Clearance time]]-Table6[[#This Row],[Fault Start TimeStamp]])*24</f>
        <v>8.3333333333333037E-2</v>
      </c>
      <c r="U452" s="35" t="s">
        <v>267</v>
      </c>
      <c r="V452" s="102" t="s">
        <v>268</v>
      </c>
      <c r="W452" s="267">
        <f>IFERROR(Table6[[#This Row],[Breakdown Time]]*Table6[[#This Row],[Plant Equivalent Weightage]],"")</f>
        <v>3.2051282051281929E-3</v>
      </c>
      <c r="X452" s="262" t="s">
        <v>269</v>
      </c>
      <c r="Y452" s="263" t="s">
        <v>126</v>
      </c>
      <c r="Z452" s="102">
        <v>36596</v>
      </c>
      <c r="AA452" s="257">
        <f>(Table6[[#This Row],[Paired WTG Generation for loss calculation]]/24)*Table6[[#This Row],[Breakdown Time]]</f>
        <v>127.06944444444399</v>
      </c>
      <c r="AB452" s="102"/>
      <c r="AC452" s="35"/>
      <c r="AD452" s="35"/>
    </row>
    <row r="453" spans="1:30">
      <c r="A453" s="102">
        <f t="shared" si="7"/>
        <v>452</v>
      </c>
      <c r="B453" s="257">
        <f>YEAR(Table6[[#This Row],[Date]])+IF(MONTH(Table6[[#This Row],[Date]])&gt;=4,1,0)</f>
        <v>2026</v>
      </c>
      <c r="C453" s="102">
        <f>YEAR(Table6[[#This Row],[Date]])</f>
        <v>2025</v>
      </c>
      <c r="D453" s="102" t="s">
        <v>265</v>
      </c>
      <c r="E453" s="258">
        <f>Table6[[#This Row],[Date]]-DAY(Table6[[#This Row],[Date]])+1</f>
        <v>45748</v>
      </c>
      <c r="F453" s="259">
        <v>45776</v>
      </c>
      <c r="G453" s="35" t="s">
        <v>129</v>
      </c>
      <c r="H453" s="35" t="str">
        <f>IFERROR(_xlfn.XLOOKUP(Table6[[#This Row],[Affected WTG]],'Basic Data'!$A:$A,'Basic Data'!$B:$B),"")</f>
        <v>TQGXIIPL</v>
      </c>
      <c r="I453" s="35" t="str">
        <f>IFERROR(_xlfn.XLOOKUP(Table6[[#This Row],[Affected WTG]],'Basic Data'!$A:$A,'Basic Data'!$C:$C),"")</f>
        <v>GEDA</v>
      </c>
      <c r="J453" s="260">
        <f>IFERROR(_xlfn.XLOOKUP(Table6[[#This Row],[Affected WTG]],'Basic Data'!$A:$A,'Basic Data'!$E:$E),"")</f>
        <v>3.846153846153845E-2</v>
      </c>
      <c r="K453" s="102">
        <v>6130</v>
      </c>
      <c r="L453" s="35" t="str">
        <f>IFERROR(_xlfn.XLOOKUP(Table6[[#This Row],[Error Code]],'Basic Data'!$AA:$AA,'Basic Data'!$AB:$AB),"Incorrect Error Code")</f>
        <v>Yaw speed high</v>
      </c>
      <c r="M453" s="35" t="s">
        <v>278</v>
      </c>
      <c r="N453" s="264"/>
      <c r="O453" s="265">
        <v>0.35902777777777778</v>
      </c>
      <c r="P453" s="265">
        <v>0.35902777777777778</v>
      </c>
      <c r="Q453" s="266">
        <v>0.36319444444444443</v>
      </c>
      <c r="R453" s="261">
        <f>IF(Table6[[#This Row],[Work Start TimeStamp]]="","",(Table6[[#This Row],[Work Start TimeStamp]]-Table6[[#This Row],[Fault Start TimeStamp]])*24)</f>
        <v>0</v>
      </c>
      <c r="S453" s="261">
        <f>(Table6[[#This Row],[Fault Clearance time]]-Table6[[#This Row],[Work Start TimeStamp]])*24</f>
        <v>9.9999999999999645E-2</v>
      </c>
      <c r="T453" s="261">
        <f>(Table6[[#This Row],[Fault Clearance time]]-Table6[[#This Row],[Fault Start TimeStamp]])*24</f>
        <v>9.9999999999999645E-2</v>
      </c>
      <c r="U453" s="35" t="s">
        <v>277</v>
      </c>
      <c r="V453" s="102" t="s">
        <v>268</v>
      </c>
      <c r="W453" s="267">
        <f>IFERROR(Table6[[#This Row],[Breakdown Time]]*Table6[[#This Row],[Plant Equivalent Weightage]],"")</f>
        <v>3.8461538461538312E-3</v>
      </c>
      <c r="X453" s="262" t="s">
        <v>269</v>
      </c>
      <c r="Y453" s="263" t="s">
        <v>124</v>
      </c>
      <c r="Z453" s="102">
        <v>33673</v>
      </c>
      <c r="AA453" s="257">
        <f>(Table6[[#This Row],[Paired WTG Generation for loss calculation]]/24)*Table6[[#This Row],[Breakdown Time]]</f>
        <v>140.30416666666616</v>
      </c>
      <c r="AB453" s="102"/>
      <c r="AC453" s="35"/>
      <c r="AD453" s="35"/>
    </row>
    <row r="454" spans="1:30">
      <c r="A454" s="102">
        <f t="shared" si="7"/>
        <v>453</v>
      </c>
      <c r="B454" s="257">
        <f>YEAR(Table6[[#This Row],[Date]])+IF(MONTH(Table6[[#This Row],[Date]])&gt;=4,1,0)</f>
        <v>2026</v>
      </c>
      <c r="C454" s="102">
        <f>YEAR(Table6[[#This Row],[Date]])</f>
        <v>2025</v>
      </c>
      <c r="D454" s="102" t="s">
        <v>265</v>
      </c>
      <c r="E454" s="258">
        <f>Table6[[#This Row],[Date]]-DAY(Table6[[#This Row],[Date]])+1</f>
        <v>45748</v>
      </c>
      <c r="F454" s="259">
        <v>45776</v>
      </c>
      <c r="G454" s="35" t="s">
        <v>129</v>
      </c>
      <c r="H454" s="35" t="str">
        <f>IFERROR(_xlfn.XLOOKUP(Table6[[#This Row],[Affected WTG]],'Basic Data'!$A:$A,'Basic Data'!$B:$B),"")</f>
        <v>TQGXIIPL</v>
      </c>
      <c r="I454" s="35" t="str">
        <f>IFERROR(_xlfn.XLOOKUP(Table6[[#This Row],[Affected WTG]],'Basic Data'!$A:$A,'Basic Data'!$C:$C),"")</f>
        <v>GEDA</v>
      </c>
      <c r="J454" s="260">
        <f>IFERROR(_xlfn.XLOOKUP(Table6[[#This Row],[Affected WTG]],'Basic Data'!$A:$A,'Basic Data'!$E:$E),"")</f>
        <v>3.846153846153845E-2</v>
      </c>
      <c r="K454" s="102">
        <v>6130</v>
      </c>
      <c r="L454" s="35" t="str">
        <f>IFERROR(_xlfn.XLOOKUP(Table6[[#This Row],[Error Code]],'Basic Data'!$AA:$AA,'Basic Data'!$AB:$AB),"Incorrect Error Code")</f>
        <v>Yaw speed high</v>
      </c>
      <c r="M454" s="35" t="s">
        <v>266</v>
      </c>
      <c r="N454" s="264"/>
      <c r="O454" s="265">
        <v>0.69027777777777777</v>
      </c>
      <c r="P454" s="265">
        <v>0.69027777777777777</v>
      </c>
      <c r="Q454" s="266">
        <v>0.70694444444444449</v>
      </c>
      <c r="R454" s="261">
        <f>IF(Table6[[#This Row],[Work Start TimeStamp]]="","",(Table6[[#This Row],[Work Start TimeStamp]]-Table6[[#This Row],[Fault Start TimeStamp]])*24)</f>
        <v>0</v>
      </c>
      <c r="S454" s="261">
        <f>(Table6[[#This Row],[Fault Clearance time]]-Table6[[#This Row],[Work Start TimeStamp]])*24</f>
        <v>0.40000000000000124</v>
      </c>
      <c r="T454" s="261">
        <f>(Table6[[#This Row],[Fault Clearance time]]-Table6[[#This Row],[Fault Start TimeStamp]])*24</f>
        <v>0.40000000000000124</v>
      </c>
      <c r="U454" s="35" t="s">
        <v>329</v>
      </c>
      <c r="V454" s="102" t="s">
        <v>268</v>
      </c>
      <c r="W454" s="267">
        <f>IFERROR(Table6[[#This Row],[Breakdown Time]]*Table6[[#This Row],[Plant Equivalent Weightage]],"")</f>
        <v>1.5384615384615427E-2</v>
      </c>
      <c r="X454" s="262" t="s">
        <v>269</v>
      </c>
      <c r="Y454" s="263" t="s">
        <v>124</v>
      </c>
      <c r="Z454" s="102">
        <v>33673</v>
      </c>
      <c r="AA454" s="257">
        <f>(Table6[[#This Row],[Paired WTG Generation for loss calculation]]/24)*Table6[[#This Row],[Breakdown Time]]</f>
        <v>561.2166666666684</v>
      </c>
      <c r="AB454" s="102"/>
      <c r="AC454" s="35"/>
      <c r="AD454" s="35"/>
    </row>
    <row r="455" spans="1:30">
      <c r="A455" s="102">
        <f t="shared" si="7"/>
        <v>454</v>
      </c>
      <c r="B455" s="257">
        <f>YEAR(Table6[[#This Row],[Date]])+IF(MONTH(Table6[[#This Row],[Date]])&gt;=4,1,0)</f>
        <v>2026</v>
      </c>
      <c r="C455" s="102">
        <f>YEAR(Table6[[#This Row],[Date]])</f>
        <v>2025</v>
      </c>
      <c r="D455" s="102" t="s">
        <v>265</v>
      </c>
      <c r="E455" s="258">
        <f>Table6[[#This Row],[Date]]-DAY(Table6[[#This Row],[Date]])+1</f>
        <v>45748</v>
      </c>
      <c r="F455" s="259">
        <v>45776</v>
      </c>
      <c r="G455" s="35" t="s">
        <v>130</v>
      </c>
      <c r="H455" s="35" t="str">
        <f>IFERROR(_xlfn.XLOOKUP(Table6[[#This Row],[Affected WTG]],'Basic Data'!$A:$A,'Basic Data'!$B:$B),"")</f>
        <v>TQGXIIPL</v>
      </c>
      <c r="I455" s="35" t="str">
        <f>IFERROR(_xlfn.XLOOKUP(Table6[[#This Row],[Affected WTG]],'Basic Data'!$A:$A,'Basic Data'!$C:$C),"")</f>
        <v>GEDA</v>
      </c>
      <c r="J455" s="260">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266</v>
      </c>
      <c r="N455" s="264"/>
      <c r="O455" s="265">
        <v>0.64861111111111114</v>
      </c>
      <c r="P455" s="265">
        <v>0.64861111111111114</v>
      </c>
      <c r="Q455" s="266">
        <v>0.65416666666666667</v>
      </c>
      <c r="R455" s="261">
        <f>IF(Table6[[#This Row],[Work Start TimeStamp]]="","",(Table6[[#This Row],[Work Start TimeStamp]]-Table6[[#This Row],[Fault Start TimeStamp]])*24)</f>
        <v>0</v>
      </c>
      <c r="S455" s="261">
        <f>(Table6[[#This Row],[Fault Clearance time]]-Table6[[#This Row],[Work Start TimeStamp]])*24</f>
        <v>0.13333333333333286</v>
      </c>
      <c r="T455" s="261">
        <f>(Table6[[#This Row],[Fault Clearance time]]-Table6[[#This Row],[Fault Start TimeStamp]])*24</f>
        <v>0.13333333333333286</v>
      </c>
      <c r="U455" s="35" t="s">
        <v>329</v>
      </c>
      <c r="V455" s="102" t="s">
        <v>268</v>
      </c>
      <c r="W455" s="267">
        <f>IFERROR(Table6[[#This Row],[Breakdown Time]]*Table6[[#This Row],[Plant Equivalent Weightage]],"")</f>
        <v>5.1282051282051083E-3</v>
      </c>
      <c r="X455" s="262" t="s">
        <v>269</v>
      </c>
      <c r="Y455" s="263" t="s">
        <v>135</v>
      </c>
      <c r="Z455" s="102">
        <v>35807</v>
      </c>
      <c r="AA455" s="257">
        <f>(Table6[[#This Row],[Paired WTG Generation for loss calculation]]/24)*Table6[[#This Row],[Breakdown Time]]</f>
        <v>198.92777777777707</v>
      </c>
      <c r="AB455" s="102"/>
      <c r="AC455" s="35"/>
      <c r="AD455" s="35"/>
    </row>
    <row r="456" spans="1:30">
      <c r="A456" s="102">
        <f t="shared" si="7"/>
        <v>455</v>
      </c>
      <c r="B456" s="257">
        <f>YEAR(Table6[[#This Row],[Date]])+IF(MONTH(Table6[[#This Row],[Date]])&gt;=4,1,0)</f>
        <v>2026</v>
      </c>
      <c r="C456" s="102">
        <f>YEAR(Table6[[#This Row],[Date]])</f>
        <v>2025</v>
      </c>
      <c r="D456" s="102" t="s">
        <v>265</v>
      </c>
      <c r="E456" s="258">
        <f>Table6[[#This Row],[Date]]-DAY(Table6[[#This Row],[Date]])+1</f>
        <v>45748</v>
      </c>
      <c r="F456" s="259">
        <v>45776</v>
      </c>
      <c r="G456" s="35" t="s">
        <v>130</v>
      </c>
      <c r="H456" s="35" t="str">
        <f>IFERROR(_xlfn.XLOOKUP(Table6[[#This Row],[Affected WTG]],'Basic Data'!$A:$A,'Basic Data'!$B:$B),"")</f>
        <v>TQGXIIPL</v>
      </c>
      <c r="I456" s="35" t="str">
        <f>IFERROR(_xlfn.XLOOKUP(Table6[[#This Row],[Affected WTG]],'Basic Data'!$A:$A,'Basic Data'!$C:$C),"")</f>
        <v>GEDA</v>
      </c>
      <c r="J456" s="260">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266</v>
      </c>
      <c r="N456" s="264"/>
      <c r="O456" s="265">
        <v>0.67291666666666672</v>
      </c>
      <c r="P456" s="265">
        <v>0.67291666666666672</v>
      </c>
      <c r="Q456" s="266">
        <v>0.67708333333333337</v>
      </c>
      <c r="R456" s="261">
        <f>IF(Table6[[#This Row],[Work Start TimeStamp]]="","",(Table6[[#This Row],[Work Start TimeStamp]]-Table6[[#This Row],[Fault Start TimeStamp]])*24)</f>
        <v>0</v>
      </c>
      <c r="S456" s="261">
        <f>(Table6[[#This Row],[Fault Clearance time]]-Table6[[#This Row],[Work Start TimeStamp]])*24</f>
        <v>9.9999999999999645E-2</v>
      </c>
      <c r="T456" s="261">
        <f>(Table6[[#This Row],[Fault Clearance time]]-Table6[[#This Row],[Fault Start TimeStamp]])*24</f>
        <v>9.9999999999999645E-2</v>
      </c>
      <c r="U456" s="35" t="s">
        <v>329</v>
      </c>
      <c r="V456" s="102" t="s">
        <v>268</v>
      </c>
      <c r="W456" s="267">
        <f>IFERROR(Table6[[#This Row],[Breakdown Time]]*Table6[[#This Row],[Plant Equivalent Weightage]],"")</f>
        <v>3.8461538461538312E-3</v>
      </c>
      <c r="X456" s="262" t="s">
        <v>269</v>
      </c>
      <c r="Y456" s="263" t="s">
        <v>135</v>
      </c>
      <c r="Z456" s="102">
        <v>35807</v>
      </c>
      <c r="AA456" s="257">
        <f>(Table6[[#This Row],[Paired WTG Generation for loss calculation]]/24)*Table6[[#This Row],[Breakdown Time]]</f>
        <v>149.19583333333279</v>
      </c>
      <c r="AB456" s="102"/>
      <c r="AC456" s="35"/>
      <c r="AD456" s="35"/>
    </row>
    <row r="457" spans="1:30">
      <c r="A457" s="102">
        <f t="shared" si="7"/>
        <v>456</v>
      </c>
      <c r="B457" s="257">
        <f>YEAR(Table6[[#This Row],[Date]])+IF(MONTH(Table6[[#This Row],[Date]])&gt;=4,1,0)</f>
        <v>2026</v>
      </c>
      <c r="C457" s="102">
        <f>YEAR(Table6[[#This Row],[Date]])</f>
        <v>2025</v>
      </c>
      <c r="D457" s="102" t="s">
        <v>265</v>
      </c>
      <c r="E457" s="258">
        <f>Table6[[#This Row],[Date]]-DAY(Table6[[#This Row],[Date]])+1</f>
        <v>45748</v>
      </c>
      <c r="F457" s="259">
        <v>45776</v>
      </c>
      <c r="G457" s="35" t="s">
        <v>130</v>
      </c>
      <c r="H457" s="35" t="str">
        <f>IFERROR(_xlfn.XLOOKUP(Table6[[#This Row],[Affected WTG]],'Basic Data'!$A:$A,'Basic Data'!$B:$B),"")</f>
        <v>TQGXIIPL</v>
      </c>
      <c r="I457" s="35" t="str">
        <f>IFERROR(_xlfn.XLOOKUP(Table6[[#This Row],[Affected WTG]],'Basic Data'!$A:$A,'Basic Data'!$C:$C),"")</f>
        <v>GEDA</v>
      </c>
      <c r="J457" s="260">
        <f>IFERROR(_xlfn.XLOOKUP(Table6[[#This Row],[Affected WTG]],'Basic Data'!$A:$A,'Basic Data'!$E:$E),"")</f>
        <v>3.846153846153845E-2</v>
      </c>
      <c r="K457" s="102">
        <v>6130</v>
      </c>
      <c r="L457" s="35" t="str">
        <f>IFERROR(_xlfn.XLOOKUP(Table6[[#This Row],[Error Code]],'Basic Data'!$AA:$AA,'Basic Data'!$AB:$AB),"Incorrect Error Code")</f>
        <v>Yaw speed high</v>
      </c>
      <c r="M457" s="35" t="s">
        <v>278</v>
      </c>
      <c r="N457" s="264"/>
      <c r="O457" s="265">
        <v>0.69513888888888886</v>
      </c>
      <c r="P457" s="265">
        <v>0.69513888888888886</v>
      </c>
      <c r="Q457" s="266">
        <v>0.69930555555555551</v>
      </c>
      <c r="R457" s="261">
        <f>IF(Table6[[#This Row],[Work Start TimeStamp]]="","",(Table6[[#This Row],[Work Start TimeStamp]]-Table6[[#This Row],[Fault Start TimeStamp]])*24)</f>
        <v>0</v>
      </c>
      <c r="S457" s="261">
        <f>(Table6[[#This Row],[Fault Clearance time]]-Table6[[#This Row],[Work Start TimeStamp]])*24</f>
        <v>9.9999999999999645E-2</v>
      </c>
      <c r="T457" s="261">
        <f>(Table6[[#This Row],[Fault Clearance time]]-Table6[[#This Row],[Fault Start TimeStamp]])*24</f>
        <v>9.9999999999999645E-2</v>
      </c>
      <c r="U457" s="35" t="s">
        <v>277</v>
      </c>
      <c r="V457" s="102" t="s">
        <v>268</v>
      </c>
      <c r="W457" s="267">
        <f>IFERROR(Table6[[#This Row],[Breakdown Time]]*Table6[[#This Row],[Plant Equivalent Weightage]],"")</f>
        <v>3.8461538461538312E-3</v>
      </c>
      <c r="X457" s="262" t="s">
        <v>269</v>
      </c>
      <c r="Y457" s="263" t="s">
        <v>135</v>
      </c>
      <c r="Z457" s="102">
        <v>35807</v>
      </c>
      <c r="AA457" s="257">
        <f>(Table6[[#This Row],[Paired WTG Generation for loss calculation]]/24)*Table6[[#This Row],[Breakdown Time]]</f>
        <v>149.19583333333279</v>
      </c>
      <c r="AB457" s="102"/>
      <c r="AC457" s="35"/>
      <c r="AD457" s="35"/>
    </row>
    <row r="458" spans="1:30">
      <c r="A458" s="102">
        <f t="shared" si="7"/>
        <v>457</v>
      </c>
      <c r="B458" s="257">
        <f>YEAR(Table6[[#This Row],[Date]])+IF(MONTH(Table6[[#This Row],[Date]])&gt;=4,1,0)</f>
        <v>2026</v>
      </c>
      <c r="C458" s="102">
        <f>YEAR(Table6[[#This Row],[Date]])</f>
        <v>2025</v>
      </c>
      <c r="D458" s="102" t="s">
        <v>265</v>
      </c>
      <c r="E458" s="258">
        <f>Table6[[#This Row],[Date]]-DAY(Table6[[#This Row],[Date]])+1</f>
        <v>45748</v>
      </c>
      <c r="F458" s="259">
        <v>45776</v>
      </c>
      <c r="G458" s="35" t="s">
        <v>131</v>
      </c>
      <c r="H458" s="35" t="str">
        <f>IFERROR(_xlfn.XLOOKUP(Table6[[#This Row],[Affected WTG]],'Basic Data'!$A:$A,'Basic Data'!$B:$B),"")</f>
        <v>TQGXIIPL</v>
      </c>
      <c r="I458" s="35" t="str">
        <f>IFERROR(_xlfn.XLOOKUP(Table6[[#This Row],[Affected WTG]],'Basic Data'!$A:$A,'Basic Data'!$C:$C),"")</f>
        <v>GEDA</v>
      </c>
      <c r="J458" s="260">
        <f>IFERROR(_xlfn.XLOOKUP(Table6[[#This Row],[Affected WTG]],'Basic Data'!$A:$A,'Basic Data'!$E:$E),"")</f>
        <v>3.846153846153845E-2</v>
      </c>
      <c r="K458" s="102">
        <v>6605</v>
      </c>
      <c r="L458" s="35" t="str">
        <f>IFERROR(_xlfn.XLOOKUP(Table6[[#This Row],[Error Code]],'Basic Data'!$AA:$AA,'Basic Data'!$AB:$AB),"Incorrect Error Code")</f>
        <v>Wind.dir. diff. level 2</v>
      </c>
      <c r="M458" s="35" t="s">
        <v>266</v>
      </c>
      <c r="N458" s="264"/>
      <c r="O458" s="265">
        <v>0.62291666666666667</v>
      </c>
      <c r="P458" s="265">
        <v>0.62291666666666667</v>
      </c>
      <c r="Q458" s="266">
        <v>0.62430555555555556</v>
      </c>
      <c r="R458" s="261">
        <f>IF(Table6[[#This Row],[Work Start TimeStamp]]="","",(Table6[[#This Row],[Work Start TimeStamp]]-Table6[[#This Row],[Fault Start TimeStamp]])*24)</f>
        <v>0</v>
      </c>
      <c r="S458" s="261">
        <f>(Table6[[#This Row],[Fault Clearance time]]-Table6[[#This Row],[Work Start TimeStamp]])*24</f>
        <v>3.3333333333333215E-2</v>
      </c>
      <c r="T458" s="261">
        <f>(Table6[[#This Row],[Fault Clearance time]]-Table6[[#This Row],[Fault Start TimeStamp]])*24</f>
        <v>3.3333333333333215E-2</v>
      </c>
      <c r="U458" s="35" t="s">
        <v>267</v>
      </c>
      <c r="V458" s="102" t="s">
        <v>268</v>
      </c>
      <c r="W458" s="267">
        <f>IFERROR(Table6[[#This Row],[Breakdown Time]]*Table6[[#This Row],[Plant Equivalent Weightage]],"")</f>
        <v>1.2820512820512771E-3</v>
      </c>
      <c r="X458" s="262" t="s">
        <v>269</v>
      </c>
      <c r="Y458" s="263" t="s">
        <v>136</v>
      </c>
      <c r="Z458" s="102">
        <v>41434</v>
      </c>
      <c r="AA458" s="257">
        <f>(Table6[[#This Row],[Paired WTG Generation for loss calculation]]/24)*Table6[[#This Row],[Breakdown Time]]</f>
        <v>57.547222222222018</v>
      </c>
      <c r="AB458" s="102"/>
      <c r="AC458" s="35"/>
      <c r="AD458" s="35"/>
    </row>
    <row r="459" spans="1:30">
      <c r="A459" s="102">
        <f t="shared" si="7"/>
        <v>458</v>
      </c>
      <c r="B459" s="257">
        <f>YEAR(Table6[[#This Row],[Date]])+IF(MONTH(Table6[[#This Row],[Date]])&gt;=4,1,0)</f>
        <v>2026</v>
      </c>
      <c r="C459" s="102">
        <f>YEAR(Table6[[#This Row],[Date]])</f>
        <v>2025</v>
      </c>
      <c r="D459" s="102" t="s">
        <v>265</v>
      </c>
      <c r="E459" s="258">
        <f>Table6[[#This Row],[Date]]-DAY(Table6[[#This Row],[Date]])+1</f>
        <v>45748</v>
      </c>
      <c r="F459" s="259">
        <v>45776</v>
      </c>
      <c r="G459" s="35" t="s">
        <v>131</v>
      </c>
      <c r="H459" s="35" t="str">
        <f>IFERROR(_xlfn.XLOOKUP(Table6[[#This Row],[Affected WTG]],'Basic Data'!$A:$A,'Basic Data'!$B:$B),"")</f>
        <v>TQGXIIPL</v>
      </c>
      <c r="I459" s="35" t="str">
        <f>IFERROR(_xlfn.XLOOKUP(Table6[[#This Row],[Affected WTG]],'Basic Data'!$A:$A,'Basic Data'!$C:$C),"")</f>
        <v>GEDA</v>
      </c>
      <c r="J459" s="260">
        <f>IFERROR(_xlfn.XLOOKUP(Table6[[#This Row],[Affected WTG]],'Basic Data'!$A:$A,'Basic Data'!$E:$E),"")</f>
        <v>3.846153846153845E-2</v>
      </c>
      <c r="K459" s="102">
        <v>6130</v>
      </c>
      <c r="L459" s="35" t="str">
        <f>IFERROR(_xlfn.XLOOKUP(Table6[[#This Row],[Error Code]],'Basic Data'!$AA:$AA,'Basic Data'!$AB:$AB),"Incorrect Error Code")</f>
        <v>Yaw speed high</v>
      </c>
      <c r="M459" s="35" t="s">
        <v>278</v>
      </c>
      <c r="N459" s="264"/>
      <c r="O459" s="265">
        <v>0.64652777777777781</v>
      </c>
      <c r="P459" s="265">
        <v>0.64652777777777781</v>
      </c>
      <c r="Q459" s="266">
        <v>0.65069444444444446</v>
      </c>
      <c r="R459" s="261">
        <f>IF(Table6[[#This Row],[Work Start TimeStamp]]="","",(Table6[[#This Row],[Work Start TimeStamp]]-Table6[[#This Row],[Fault Start TimeStamp]])*24)</f>
        <v>0</v>
      </c>
      <c r="S459" s="261">
        <f>(Table6[[#This Row],[Fault Clearance time]]-Table6[[#This Row],[Work Start TimeStamp]])*24</f>
        <v>9.9999999999999645E-2</v>
      </c>
      <c r="T459" s="261">
        <f>(Table6[[#This Row],[Fault Clearance time]]-Table6[[#This Row],[Fault Start TimeStamp]])*24</f>
        <v>9.9999999999999645E-2</v>
      </c>
      <c r="U459" s="35" t="s">
        <v>277</v>
      </c>
      <c r="V459" s="102" t="s">
        <v>268</v>
      </c>
      <c r="W459" s="267">
        <f>IFERROR(Table6[[#This Row],[Breakdown Time]]*Table6[[#This Row],[Plant Equivalent Weightage]],"")</f>
        <v>3.8461538461538312E-3</v>
      </c>
      <c r="X459" s="262" t="s">
        <v>269</v>
      </c>
      <c r="Y459" s="263" t="s">
        <v>136</v>
      </c>
      <c r="Z459" s="102">
        <v>41434</v>
      </c>
      <c r="AA459" s="257">
        <f>(Table6[[#This Row],[Paired WTG Generation for loss calculation]]/24)*Table6[[#This Row],[Breakdown Time]]</f>
        <v>172.64166666666605</v>
      </c>
      <c r="AB459" s="102"/>
      <c r="AC459" s="35"/>
      <c r="AD459" s="35"/>
    </row>
    <row r="460" spans="1:30">
      <c r="A460" s="102">
        <f t="shared" si="7"/>
        <v>459</v>
      </c>
      <c r="B460" s="257">
        <f>YEAR(Table6[[#This Row],[Date]])+IF(MONTH(Table6[[#This Row],[Date]])&gt;=4,1,0)</f>
        <v>2026</v>
      </c>
      <c r="C460" s="102">
        <f>YEAR(Table6[[#This Row],[Date]])</f>
        <v>2025</v>
      </c>
      <c r="D460" s="102" t="s">
        <v>265</v>
      </c>
      <c r="E460" s="258">
        <f>Table6[[#This Row],[Date]]-DAY(Table6[[#This Row],[Date]])+1</f>
        <v>45748</v>
      </c>
      <c r="F460" s="259">
        <v>45776</v>
      </c>
      <c r="G460" s="35" t="s">
        <v>131</v>
      </c>
      <c r="H460" s="35" t="str">
        <f>IFERROR(_xlfn.XLOOKUP(Table6[[#This Row],[Affected WTG]],'Basic Data'!$A:$A,'Basic Data'!$B:$B),"")</f>
        <v>TQGXIIPL</v>
      </c>
      <c r="I460" s="35" t="str">
        <f>IFERROR(_xlfn.XLOOKUP(Table6[[#This Row],[Affected WTG]],'Basic Data'!$A:$A,'Basic Data'!$C:$C),"")</f>
        <v>GEDA</v>
      </c>
      <c r="J460" s="260">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266</v>
      </c>
      <c r="N460" s="264"/>
      <c r="O460" s="265">
        <v>0.74513888888888891</v>
      </c>
      <c r="P460" s="265">
        <v>0.74513888888888891</v>
      </c>
      <c r="Q460" s="266">
        <v>0.77222222222222225</v>
      </c>
      <c r="R460" s="261">
        <f>IF(Table6[[#This Row],[Work Start TimeStamp]]="","",(Table6[[#This Row],[Work Start TimeStamp]]-Table6[[#This Row],[Fault Start TimeStamp]])*24)</f>
        <v>0</v>
      </c>
      <c r="S460" s="261">
        <f>(Table6[[#This Row],[Fault Clearance time]]-Table6[[#This Row],[Work Start TimeStamp]])*24</f>
        <v>0.65000000000000036</v>
      </c>
      <c r="T460" s="261">
        <f>(Table6[[#This Row],[Fault Clearance time]]-Table6[[#This Row],[Fault Start TimeStamp]])*24</f>
        <v>0.65000000000000036</v>
      </c>
      <c r="U460" s="35" t="s">
        <v>329</v>
      </c>
      <c r="V460" s="102" t="s">
        <v>268</v>
      </c>
      <c r="W460" s="267">
        <f>IFERROR(Table6[[#This Row],[Breakdown Time]]*Table6[[#This Row],[Plant Equivalent Weightage]],"")</f>
        <v>2.5000000000000005E-2</v>
      </c>
      <c r="X460" s="262" t="s">
        <v>269</v>
      </c>
      <c r="Y460" s="263" t="s">
        <v>136</v>
      </c>
      <c r="Z460" s="102">
        <v>41434</v>
      </c>
      <c r="AA460" s="257">
        <f>(Table6[[#This Row],[Paired WTG Generation for loss calculation]]/24)*Table6[[#This Row],[Breakdown Time]]</f>
        <v>1122.170833333334</v>
      </c>
      <c r="AB460" s="102"/>
      <c r="AC460" s="35"/>
      <c r="AD460" s="35"/>
    </row>
    <row r="461" spans="1:30">
      <c r="A461" s="102">
        <f t="shared" si="7"/>
        <v>460</v>
      </c>
      <c r="B461" s="257">
        <f>YEAR(Table6[[#This Row],[Date]])+IF(MONTH(Table6[[#This Row],[Date]])&gt;=4,1,0)</f>
        <v>2026</v>
      </c>
      <c r="C461" s="102">
        <f>YEAR(Table6[[#This Row],[Date]])</f>
        <v>2025</v>
      </c>
      <c r="D461" s="102" t="s">
        <v>265</v>
      </c>
      <c r="E461" s="258">
        <f>Table6[[#This Row],[Date]]-DAY(Table6[[#This Row],[Date]])+1</f>
        <v>45748</v>
      </c>
      <c r="F461" s="259">
        <v>45776</v>
      </c>
      <c r="G461" s="35" t="s">
        <v>133</v>
      </c>
      <c r="H461" s="35" t="str">
        <f>IFERROR(_xlfn.XLOOKUP(Table6[[#This Row],[Affected WTG]],'Basic Data'!$A:$A,'Basic Data'!$B:$B),"")</f>
        <v>TQGXIIPL</v>
      </c>
      <c r="I461" s="35" t="str">
        <f>IFERROR(_xlfn.XLOOKUP(Table6[[#This Row],[Affected WTG]],'Basic Data'!$A:$A,'Basic Data'!$C:$C),"")</f>
        <v>GEDA</v>
      </c>
      <c r="J461" s="260">
        <f>IFERROR(_xlfn.XLOOKUP(Table6[[#This Row],[Affected WTG]],'Basic Data'!$A:$A,'Basic Data'!$E:$E),"")</f>
        <v>3.846153846153845E-2</v>
      </c>
      <c r="K461" s="102">
        <v>1700</v>
      </c>
      <c r="L461" s="35" t="str">
        <f>IFERROR(_xlfn.XLOOKUP(Table6[[#This Row],[Error Code]],'Basic Data'!$AA:$AA,'Basic Data'!$AB:$AB),"Incorrect Error Code")</f>
        <v>High temp. gear bearing 1</v>
      </c>
      <c r="M461" s="35" t="s">
        <v>266</v>
      </c>
      <c r="N461" s="264"/>
      <c r="O461" s="265">
        <v>0.51180555555555551</v>
      </c>
      <c r="P461" s="265">
        <v>0.51180555555555551</v>
      </c>
      <c r="Q461" s="266">
        <v>0.51736111111111116</v>
      </c>
      <c r="R461" s="261">
        <f>IF(Table6[[#This Row],[Work Start TimeStamp]]="","",(Table6[[#This Row],[Work Start TimeStamp]]-Table6[[#This Row],[Fault Start TimeStamp]])*24)</f>
        <v>0</v>
      </c>
      <c r="S461" s="261">
        <f>(Table6[[#This Row],[Fault Clearance time]]-Table6[[#This Row],[Work Start TimeStamp]])*24</f>
        <v>0.13333333333333552</v>
      </c>
      <c r="T461" s="261">
        <f>(Table6[[#This Row],[Fault Clearance time]]-Table6[[#This Row],[Fault Start TimeStamp]])*24</f>
        <v>0.13333333333333552</v>
      </c>
      <c r="U461" s="35" t="s">
        <v>267</v>
      </c>
      <c r="V461" s="102" t="s">
        <v>268</v>
      </c>
      <c r="W461" s="267">
        <f>IFERROR(Table6[[#This Row],[Breakdown Time]]*Table6[[#This Row],[Plant Equivalent Weightage]],"")</f>
        <v>5.1282051282052106E-3</v>
      </c>
      <c r="X461" s="262" t="s">
        <v>269</v>
      </c>
      <c r="Y461" s="263" t="s">
        <v>121</v>
      </c>
      <c r="Z461" s="102">
        <v>47322</v>
      </c>
      <c r="AA461" s="257">
        <f>(Table6[[#This Row],[Paired WTG Generation for loss calculation]]/24)*Table6[[#This Row],[Breakdown Time]]</f>
        <v>262.9000000000043</v>
      </c>
      <c r="AB461" s="102"/>
      <c r="AC461" s="35"/>
      <c r="AD461" s="35"/>
    </row>
    <row r="462" spans="1:30">
      <c r="A462" s="102">
        <f t="shared" ref="A462:A525" si="8">A461+1</f>
        <v>461</v>
      </c>
      <c r="B462" s="257">
        <f>YEAR(Table6[[#This Row],[Date]])+IF(MONTH(Table6[[#This Row],[Date]])&gt;=4,1,0)</f>
        <v>2026</v>
      </c>
      <c r="C462" s="102">
        <f>YEAR(Table6[[#This Row],[Date]])</f>
        <v>2025</v>
      </c>
      <c r="D462" s="102" t="s">
        <v>265</v>
      </c>
      <c r="E462" s="258">
        <f>Table6[[#This Row],[Date]]-DAY(Table6[[#This Row],[Date]])+1</f>
        <v>45748</v>
      </c>
      <c r="F462" s="259">
        <v>45776</v>
      </c>
      <c r="G462" s="35" t="s">
        <v>133</v>
      </c>
      <c r="H462" s="35" t="str">
        <f>IFERROR(_xlfn.XLOOKUP(Table6[[#This Row],[Affected WTG]],'Basic Data'!$A:$A,'Basic Data'!$B:$B),"")</f>
        <v>TQGXIIPL</v>
      </c>
      <c r="I462" s="35" t="str">
        <f>IFERROR(_xlfn.XLOOKUP(Table6[[#This Row],[Affected WTG]],'Basic Data'!$A:$A,'Basic Data'!$C:$C),"")</f>
        <v>GEDA</v>
      </c>
      <c r="J462" s="260">
        <f>IFERROR(_xlfn.XLOOKUP(Table6[[#This Row],[Affected WTG]],'Basic Data'!$A:$A,'Basic Data'!$E:$E),"")</f>
        <v>3.846153846153845E-2</v>
      </c>
      <c r="K462" s="102">
        <v>1700</v>
      </c>
      <c r="L462" s="35" t="str">
        <f>IFERROR(_xlfn.XLOOKUP(Table6[[#This Row],[Error Code]],'Basic Data'!$AA:$AA,'Basic Data'!$AB:$AB),"Incorrect Error Code")</f>
        <v>High temp. gear bearing 1</v>
      </c>
      <c r="M462" s="35" t="s">
        <v>266</v>
      </c>
      <c r="N462" s="264"/>
      <c r="O462" s="265">
        <v>0.73124999999999996</v>
      </c>
      <c r="P462" s="265">
        <v>0.73124999999999996</v>
      </c>
      <c r="Q462" s="266">
        <v>0.74722222222222223</v>
      </c>
      <c r="R462" s="261">
        <f>IF(Table6[[#This Row],[Work Start TimeStamp]]="","",(Table6[[#This Row],[Work Start TimeStamp]]-Table6[[#This Row],[Fault Start TimeStamp]])*24)</f>
        <v>0</v>
      </c>
      <c r="S462" s="261">
        <f>(Table6[[#This Row],[Fault Clearance time]]-Table6[[#This Row],[Work Start TimeStamp]])*24</f>
        <v>0.38333333333333464</v>
      </c>
      <c r="T462" s="261">
        <f>(Table6[[#This Row],[Fault Clearance time]]-Table6[[#This Row],[Fault Start TimeStamp]])*24</f>
        <v>0.38333333333333464</v>
      </c>
      <c r="U462" s="35" t="s">
        <v>313</v>
      </c>
      <c r="V462" s="102" t="s">
        <v>268</v>
      </c>
      <c r="W462" s="267">
        <f>IFERROR(Table6[[#This Row],[Breakdown Time]]*Table6[[#This Row],[Plant Equivalent Weightage]],"")</f>
        <v>1.4743589743589788E-2</v>
      </c>
      <c r="X462" s="262" t="s">
        <v>269</v>
      </c>
      <c r="Y462" s="263" t="s">
        <v>121</v>
      </c>
      <c r="Z462" s="102">
        <v>47322</v>
      </c>
      <c r="AA462" s="257">
        <f>(Table6[[#This Row],[Paired WTG Generation for loss calculation]]/24)*Table6[[#This Row],[Breakdown Time]]</f>
        <v>755.83750000000259</v>
      </c>
      <c r="AB462" s="102"/>
      <c r="AC462" s="35"/>
      <c r="AD462" s="35"/>
    </row>
    <row r="463" spans="1:30">
      <c r="A463" s="102">
        <f t="shared" si="8"/>
        <v>462</v>
      </c>
      <c r="B463" s="257">
        <f>YEAR(Table6[[#This Row],[Date]])+IF(MONTH(Table6[[#This Row],[Date]])&gt;=4,1,0)</f>
        <v>2026</v>
      </c>
      <c r="C463" s="102">
        <f>YEAR(Table6[[#This Row],[Date]])</f>
        <v>2025</v>
      </c>
      <c r="D463" s="102" t="s">
        <v>265</v>
      </c>
      <c r="E463" s="258">
        <f>Table6[[#This Row],[Date]]-DAY(Table6[[#This Row],[Date]])+1</f>
        <v>45748</v>
      </c>
      <c r="F463" s="259">
        <v>45776</v>
      </c>
      <c r="G463" s="35" t="s">
        <v>135</v>
      </c>
      <c r="H463" s="35" t="str">
        <f>IFERROR(_xlfn.XLOOKUP(Table6[[#This Row],[Affected WTG]],'Basic Data'!$A:$A,'Basic Data'!$B:$B),"")</f>
        <v>TQGXIIPL</v>
      </c>
      <c r="I463" s="35" t="str">
        <f>IFERROR(_xlfn.XLOOKUP(Table6[[#This Row],[Affected WTG]],'Basic Data'!$A:$A,'Basic Data'!$C:$C),"")</f>
        <v>GEDA</v>
      </c>
      <c r="J463" s="260">
        <f>IFERROR(_xlfn.XLOOKUP(Table6[[#This Row],[Affected WTG]],'Basic Data'!$A:$A,'Basic Data'!$E:$E),"")</f>
        <v>3.846153846153845E-2</v>
      </c>
      <c r="K463" s="102">
        <v>6130</v>
      </c>
      <c r="L463" s="35" t="str">
        <f>IFERROR(_xlfn.XLOOKUP(Table6[[#This Row],[Error Code]],'Basic Data'!$AA:$AA,'Basic Data'!$AB:$AB),"Incorrect Error Code")</f>
        <v>Yaw speed high</v>
      </c>
      <c r="M463" s="35" t="s">
        <v>278</v>
      </c>
      <c r="N463" s="264"/>
      <c r="O463" s="265">
        <v>0.61388888888888893</v>
      </c>
      <c r="P463" s="265">
        <v>0.61388888888888893</v>
      </c>
      <c r="Q463" s="266">
        <v>0.61805555555555558</v>
      </c>
      <c r="R463" s="261">
        <f>IF(Table6[[#This Row],[Work Start TimeStamp]]="","",(Table6[[#This Row],[Work Start TimeStamp]]-Table6[[#This Row],[Fault Start TimeStamp]])*24)</f>
        <v>0</v>
      </c>
      <c r="S463" s="261">
        <f>(Table6[[#This Row],[Fault Clearance time]]-Table6[[#This Row],[Work Start TimeStamp]])*24</f>
        <v>9.9999999999999645E-2</v>
      </c>
      <c r="T463" s="261">
        <f>(Table6[[#This Row],[Fault Clearance time]]-Table6[[#This Row],[Fault Start TimeStamp]])*24</f>
        <v>9.9999999999999645E-2</v>
      </c>
      <c r="U463" s="35" t="s">
        <v>277</v>
      </c>
      <c r="V463" s="102" t="s">
        <v>268</v>
      </c>
      <c r="W463" s="267">
        <f>IFERROR(Table6[[#This Row],[Breakdown Time]]*Table6[[#This Row],[Plant Equivalent Weightage]],"")</f>
        <v>3.8461538461538312E-3</v>
      </c>
      <c r="X463" s="262" t="s">
        <v>269</v>
      </c>
      <c r="Y463" s="263" t="s">
        <v>120</v>
      </c>
      <c r="Z463" s="102">
        <v>30203</v>
      </c>
      <c r="AA463" s="257">
        <f>(Table6[[#This Row],[Paired WTG Generation for loss calculation]]/24)*Table6[[#This Row],[Breakdown Time]]</f>
        <v>125.84583333333288</v>
      </c>
      <c r="AB463" s="102"/>
      <c r="AC463" s="35"/>
      <c r="AD463" s="35"/>
    </row>
    <row r="464" spans="1:30">
      <c r="A464" s="102">
        <f t="shared" si="8"/>
        <v>463</v>
      </c>
      <c r="B464" s="257">
        <f>YEAR(Table6[[#This Row],[Date]])+IF(MONTH(Table6[[#This Row],[Date]])&gt;=4,1,0)</f>
        <v>2026</v>
      </c>
      <c r="C464" s="102">
        <f>YEAR(Table6[[#This Row],[Date]])</f>
        <v>2025</v>
      </c>
      <c r="D464" s="102" t="s">
        <v>265</v>
      </c>
      <c r="E464" s="258">
        <f>Table6[[#This Row],[Date]]-DAY(Table6[[#This Row],[Date]])+1</f>
        <v>45748</v>
      </c>
      <c r="F464" s="259">
        <v>45776</v>
      </c>
      <c r="G464" s="35" t="s">
        <v>136</v>
      </c>
      <c r="H464" s="35" t="str">
        <f>IFERROR(_xlfn.XLOOKUP(Table6[[#This Row],[Affected WTG]],'Basic Data'!$A:$A,'Basic Data'!$B:$B),"")</f>
        <v>TQGXIIPL</v>
      </c>
      <c r="I464" s="35" t="str">
        <f>IFERROR(_xlfn.XLOOKUP(Table6[[#This Row],[Affected WTG]],'Basic Data'!$A:$A,'Basic Data'!$C:$C),"")</f>
        <v>GEDA</v>
      </c>
      <c r="J464" s="260">
        <f>IFERROR(_xlfn.XLOOKUP(Table6[[#This Row],[Affected WTG]],'Basic Data'!$A:$A,'Basic Data'!$E:$E),"")</f>
        <v>3.846153846153845E-2</v>
      </c>
      <c r="K464" s="102">
        <v>1700</v>
      </c>
      <c r="L464" s="35" t="str">
        <f>IFERROR(_xlfn.XLOOKUP(Table6[[#This Row],[Error Code]],'Basic Data'!$AA:$AA,'Basic Data'!$AB:$AB),"Incorrect Error Code")</f>
        <v>High temp. gear bearing 1</v>
      </c>
      <c r="M464" s="35" t="s">
        <v>266</v>
      </c>
      <c r="N464" s="264"/>
      <c r="O464" s="265">
        <v>0.83958333333333335</v>
      </c>
      <c r="P464" s="265">
        <v>0.83958333333333335</v>
      </c>
      <c r="Q464" s="266">
        <v>0.85624999999999996</v>
      </c>
      <c r="R464" s="261">
        <f>IF(Table6[[#This Row],[Work Start TimeStamp]]="","",(Table6[[#This Row],[Work Start TimeStamp]]-Table6[[#This Row],[Fault Start TimeStamp]])*24)</f>
        <v>0</v>
      </c>
      <c r="S464" s="261">
        <f>(Table6[[#This Row],[Fault Clearance time]]-Table6[[#This Row],[Work Start TimeStamp]])*24</f>
        <v>0.39999999999999858</v>
      </c>
      <c r="T464" s="261">
        <f>(Table6[[#This Row],[Fault Clearance time]]-Table6[[#This Row],[Fault Start TimeStamp]])*24</f>
        <v>0.39999999999999858</v>
      </c>
      <c r="U464" s="35" t="s">
        <v>313</v>
      </c>
      <c r="V464" s="102" t="s">
        <v>268</v>
      </c>
      <c r="W464" s="267">
        <f>IFERROR(Table6[[#This Row],[Breakdown Time]]*Table6[[#This Row],[Plant Equivalent Weightage]],"")</f>
        <v>1.5384615384615325E-2</v>
      </c>
      <c r="X464" s="262" t="s">
        <v>269</v>
      </c>
      <c r="Y464" s="263" t="s">
        <v>120</v>
      </c>
      <c r="Z464" s="102">
        <v>30203</v>
      </c>
      <c r="AA464" s="257">
        <f>(Table6[[#This Row],[Paired WTG Generation for loss calculation]]/24)*Table6[[#This Row],[Breakdown Time]]</f>
        <v>503.38333333333151</v>
      </c>
      <c r="AB464" s="102"/>
      <c r="AC464" s="35"/>
      <c r="AD464" s="35"/>
    </row>
    <row r="465" spans="1:30">
      <c r="A465" s="102">
        <f t="shared" si="8"/>
        <v>464</v>
      </c>
      <c r="B465" s="257">
        <f>YEAR(Table6[[#This Row],[Date]])+IF(MONTH(Table6[[#This Row],[Date]])&gt;=4,1,0)</f>
        <v>2026</v>
      </c>
      <c r="C465" s="102">
        <f>YEAR(Table6[[#This Row],[Date]])</f>
        <v>2025</v>
      </c>
      <c r="D465" s="102" t="s">
        <v>265</v>
      </c>
      <c r="E465" s="258">
        <f>Table6[[#This Row],[Date]]-DAY(Table6[[#This Row],[Date]])+1</f>
        <v>45748</v>
      </c>
      <c r="F465" s="259">
        <v>45776</v>
      </c>
      <c r="G465" s="35" t="s">
        <v>137</v>
      </c>
      <c r="H465" s="35" t="str">
        <f>IFERROR(_xlfn.XLOOKUP(Table6[[#This Row],[Affected WTG]],'Basic Data'!$A:$A,'Basic Data'!$B:$B),"")</f>
        <v>TQGXIIPL</v>
      </c>
      <c r="I465" s="35" t="str">
        <f>IFERROR(_xlfn.XLOOKUP(Table6[[#This Row],[Affected WTG]],'Basic Data'!$A:$A,'Basic Data'!$C:$C),"")</f>
        <v>GEDA</v>
      </c>
      <c r="J465" s="260">
        <f>IFERROR(_xlfn.XLOOKUP(Table6[[#This Row],[Affected WTG]],'Basic Data'!$A:$A,'Basic Data'!$E:$E),"")</f>
        <v>3.846153846153845E-2</v>
      </c>
      <c r="K465" s="102">
        <v>1700</v>
      </c>
      <c r="L465" s="35" t="str">
        <f>IFERROR(_xlfn.XLOOKUP(Table6[[#This Row],[Error Code]],'Basic Data'!$AA:$AA,'Basic Data'!$AB:$AB),"Incorrect Error Code")</f>
        <v>High temp. gear bearing 1</v>
      </c>
      <c r="M465" s="35" t="s">
        <v>266</v>
      </c>
      <c r="N465" s="264"/>
      <c r="O465" s="265">
        <v>0.76944444444444449</v>
      </c>
      <c r="P465" s="265">
        <v>0.76944444444444449</v>
      </c>
      <c r="Q465" s="266">
        <v>0.78611111111111109</v>
      </c>
      <c r="R465" s="261">
        <f>IF(Table6[[#This Row],[Work Start TimeStamp]]="","",(Table6[[#This Row],[Work Start TimeStamp]]-Table6[[#This Row],[Fault Start TimeStamp]])*24)</f>
        <v>0</v>
      </c>
      <c r="S465" s="261">
        <f>(Table6[[#This Row],[Fault Clearance time]]-Table6[[#This Row],[Work Start TimeStamp]])*24</f>
        <v>0.39999999999999858</v>
      </c>
      <c r="T465" s="261">
        <f>(Table6[[#This Row],[Fault Clearance time]]-Table6[[#This Row],[Fault Start TimeStamp]])*24</f>
        <v>0.39999999999999858</v>
      </c>
      <c r="U465" s="35" t="s">
        <v>313</v>
      </c>
      <c r="V465" s="102" t="s">
        <v>268</v>
      </c>
      <c r="W465" s="267">
        <f>IFERROR(Table6[[#This Row],[Breakdown Time]]*Table6[[#This Row],[Plant Equivalent Weightage]],"")</f>
        <v>1.5384615384615325E-2</v>
      </c>
      <c r="X465" s="262" t="s">
        <v>269</v>
      </c>
      <c r="Y465" s="263" t="s">
        <v>125</v>
      </c>
      <c r="Z465" s="102">
        <v>38381</v>
      </c>
      <c r="AA465" s="257">
        <f>(Table6[[#This Row],[Paired WTG Generation for loss calculation]]/24)*Table6[[#This Row],[Breakdown Time]]</f>
        <v>639.68333333333101</v>
      </c>
      <c r="AB465" s="102"/>
      <c r="AC465" s="35"/>
      <c r="AD465" s="35"/>
    </row>
    <row r="466" spans="1:30">
      <c r="A466" s="102">
        <f t="shared" si="8"/>
        <v>465</v>
      </c>
      <c r="B466" s="257">
        <f>YEAR(Table6[[#This Row],[Date]])+IF(MONTH(Table6[[#This Row],[Date]])&gt;=4,1,0)</f>
        <v>2026</v>
      </c>
      <c r="C466" s="102">
        <f>YEAR(Table6[[#This Row],[Date]])</f>
        <v>2025</v>
      </c>
      <c r="D466" s="102" t="s">
        <v>265</v>
      </c>
      <c r="E466" s="258">
        <f>Table6[[#This Row],[Date]]-DAY(Table6[[#This Row],[Date]])+1</f>
        <v>45748</v>
      </c>
      <c r="F466" s="259">
        <v>45776</v>
      </c>
      <c r="G466" s="35" t="s">
        <v>138</v>
      </c>
      <c r="H466" s="35" t="str">
        <f>IFERROR(_xlfn.XLOOKUP(Table6[[#This Row],[Affected WTG]],'Basic Data'!$A:$A,'Basic Data'!$B:$B),"")</f>
        <v>TQGXIIPL</v>
      </c>
      <c r="I466" s="35" t="str">
        <f>IFERROR(_xlfn.XLOOKUP(Table6[[#This Row],[Affected WTG]],'Basic Data'!$A:$A,'Basic Data'!$C:$C),"")</f>
        <v>GEDA</v>
      </c>
      <c r="J466" s="260">
        <f>IFERROR(_xlfn.XLOOKUP(Table6[[#This Row],[Affected WTG]],'Basic Data'!$A:$A,'Basic Data'!$E:$E),"")</f>
        <v>3.846153846153845E-2</v>
      </c>
      <c r="K466" s="102">
        <v>6056</v>
      </c>
      <c r="L466" s="35" t="str">
        <f>IFERROR(_xlfn.XLOOKUP(Table6[[#This Row],[Error Code]],'Basic Data'!$AA:$AA,'Basic Data'!$AB:$AB),"Incorrect Error Code")</f>
        <v>High yaw load</v>
      </c>
      <c r="M466" s="35" t="s">
        <v>266</v>
      </c>
      <c r="N466" s="264"/>
      <c r="O466" s="265">
        <v>0.5708333333333333</v>
      </c>
      <c r="P466" s="265">
        <v>0.5708333333333333</v>
      </c>
      <c r="Q466" s="266">
        <v>0.57291666666666663</v>
      </c>
      <c r="R466" s="261">
        <f>IF(Table6[[#This Row],[Work Start TimeStamp]]="","",(Table6[[#This Row],[Work Start TimeStamp]]-Table6[[#This Row],[Fault Start TimeStamp]])*24)</f>
        <v>0</v>
      </c>
      <c r="S466" s="261">
        <f>(Table6[[#This Row],[Fault Clearance time]]-Table6[[#This Row],[Work Start TimeStamp]])*24</f>
        <v>4.9999999999999822E-2</v>
      </c>
      <c r="T466" s="261">
        <f>(Table6[[#This Row],[Fault Clearance time]]-Table6[[#This Row],[Fault Start TimeStamp]])*24</f>
        <v>4.9999999999999822E-2</v>
      </c>
      <c r="U466" s="35" t="s">
        <v>267</v>
      </c>
      <c r="V466" s="102" t="s">
        <v>268</v>
      </c>
      <c r="W466" s="267">
        <f>IFERROR(Table6[[#This Row],[Breakdown Time]]*Table6[[#This Row],[Plant Equivalent Weightage]],"")</f>
        <v>1.9230769230769156E-3</v>
      </c>
      <c r="X466" s="262" t="s">
        <v>269</v>
      </c>
      <c r="Y466" s="263" t="s">
        <v>134</v>
      </c>
      <c r="Z466" s="102">
        <v>41925</v>
      </c>
      <c r="AA466" s="257">
        <f>(Table6[[#This Row],[Paired WTG Generation for loss calculation]]/24)*Table6[[#This Row],[Breakdown Time]]</f>
        <v>87.343749999999687</v>
      </c>
      <c r="AB466" s="102"/>
      <c r="AC466" s="35"/>
      <c r="AD466" s="35"/>
    </row>
    <row r="467" spans="1:30">
      <c r="A467" s="102">
        <f t="shared" si="8"/>
        <v>466</v>
      </c>
      <c r="B467" s="257">
        <f>YEAR(Table6[[#This Row],[Date]])+IF(MONTH(Table6[[#This Row],[Date]])&gt;=4,1,0)</f>
        <v>2026</v>
      </c>
      <c r="C467" s="102">
        <f>YEAR(Table6[[#This Row],[Date]])</f>
        <v>2025</v>
      </c>
      <c r="D467" s="102" t="s">
        <v>265</v>
      </c>
      <c r="E467" s="258">
        <f>Table6[[#This Row],[Date]]-DAY(Table6[[#This Row],[Date]])+1</f>
        <v>45748</v>
      </c>
      <c r="F467" s="259">
        <v>45776</v>
      </c>
      <c r="G467" s="35" t="s">
        <v>139</v>
      </c>
      <c r="H467" s="35" t="str">
        <f>IFERROR(_xlfn.XLOOKUP(Table6[[#This Row],[Affected WTG]],'Basic Data'!$A:$A,'Basic Data'!$B:$B),"")</f>
        <v>TQGXIIPL</v>
      </c>
      <c r="I467" s="35" t="str">
        <f>IFERROR(_xlfn.XLOOKUP(Table6[[#This Row],[Affected WTG]],'Basic Data'!$A:$A,'Basic Data'!$C:$C),"")</f>
        <v>GEDA</v>
      </c>
      <c r="J467" s="260">
        <f>IFERROR(_xlfn.XLOOKUP(Table6[[#This Row],[Affected WTG]],'Basic Data'!$A:$A,'Basic Data'!$E:$E),"")</f>
        <v>3.846153846153845E-2</v>
      </c>
      <c r="K467" s="102">
        <v>55</v>
      </c>
      <c r="L467" s="35" t="str">
        <f>IFERROR(_xlfn.XLOOKUP(Table6[[#This Row],[Error Code]],'Basic Data'!$AA:$AA,'Basic Data'!$AB:$AB),"Incorrect Error Code")</f>
        <v>WTG shut down</v>
      </c>
      <c r="M467" s="35" t="s">
        <v>300</v>
      </c>
      <c r="N467" s="264"/>
      <c r="O467" s="265">
        <v>0.75694444444444442</v>
      </c>
      <c r="P467" s="265">
        <v>0.75694444444444442</v>
      </c>
      <c r="Q467" s="266">
        <v>1</v>
      </c>
      <c r="R467" s="261">
        <f>IF(Table6[[#This Row],[Work Start TimeStamp]]="","",(Table6[[#This Row],[Work Start TimeStamp]]-Table6[[#This Row],[Fault Start TimeStamp]])*24)</f>
        <v>0</v>
      </c>
      <c r="S467" s="261">
        <f>(Table6[[#This Row],[Fault Clearance time]]-Table6[[#This Row],[Work Start TimeStamp]])*24</f>
        <v>5.8333333333333339</v>
      </c>
      <c r="T467" s="261">
        <f>(Table6[[#This Row],[Fault Clearance time]]-Table6[[#This Row],[Fault Start TimeStamp]])*24</f>
        <v>5.8333333333333339</v>
      </c>
      <c r="U467" s="35" t="s">
        <v>380</v>
      </c>
      <c r="V467" s="102" t="s">
        <v>268</v>
      </c>
      <c r="W467" s="267">
        <f>IFERROR(Table6[[#This Row],[Breakdown Time]]*Table6[[#This Row],[Plant Equivalent Weightage]],"")</f>
        <v>0.22435897435897431</v>
      </c>
      <c r="X467" s="262" t="s">
        <v>296</v>
      </c>
      <c r="Y467" s="263" t="s">
        <v>115</v>
      </c>
      <c r="Z467" s="102">
        <v>39002</v>
      </c>
      <c r="AA467" s="257">
        <f>(Table6[[#This Row],[Paired WTG Generation for loss calculation]]/24)*Table6[[#This Row],[Breakdown Time]]</f>
        <v>9479.6527777777792</v>
      </c>
      <c r="AB467" s="102"/>
      <c r="AC467" s="35"/>
      <c r="AD467" s="35"/>
    </row>
    <row r="468" spans="1:30">
      <c r="A468" s="102">
        <f t="shared" si="8"/>
        <v>467</v>
      </c>
      <c r="B468" s="257">
        <f>YEAR(Table6[[#This Row],[Date]])+IF(MONTH(Table6[[#This Row],[Date]])&gt;=4,1,0)</f>
        <v>2026</v>
      </c>
      <c r="C468" s="102">
        <f>YEAR(Table6[[#This Row],[Date]])</f>
        <v>2025</v>
      </c>
      <c r="D468" s="102" t="s">
        <v>265</v>
      </c>
      <c r="E468" s="258">
        <f>Table6[[#This Row],[Date]]-DAY(Table6[[#This Row],[Date]])+1</f>
        <v>45748</v>
      </c>
      <c r="F468" s="259">
        <v>45776</v>
      </c>
      <c r="G468" s="35" t="s">
        <v>140</v>
      </c>
      <c r="H468" s="35" t="str">
        <f>IFERROR(_xlfn.XLOOKUP(Table6[[#This Row],[Affected WTG]],'Basic Data'!$A:$A,'Basic Data'!$B:$B),"")</f>
        <v>TQGXIIPL</v>
      </c>
      <c r="I468" s="35" t="str">
        <f>IFERROR(_xlfn.XLOOKUP(Table6[[#This Row],[Affected WTG]],'Basic Data'!$A:$A,'Basic Data'!$C:$C),"")</f>
        <v>GEDA</v>
      </c>
      <c r="J468" s="260">
        <f>IFERROR(_xlfn.XLOOKUP(Table6[[#This Row],[Affected WTG]],'Basic Data'!$A:$A,'Basic Data'!$E:$E),"")</f>
        <v>3.846153846153845E-2</v>
      </c>
      <c r="K468" s="102">
        <v>5700</v>
      </c>
      <c r="L468" s="35" t="str">
        <f>IFERROR(_xlfn.XLOOKUP(Table6[[#This Row],[Error Code]],'Basic Data'!$AA:$AA,'Basic Data'!$AB:$AB),"Incorrect Error Code")</f>
        <v>Max. operation time hydraulic</v>
      </c>
      <c r="M468" s="35" t="s">
        <v>266</v>
      </c>
      <c r="N468" s="264"/>
      <c r="O468" s="265">
        <v>0.65138888888888891</v>
      </c>
      <c r="P468" s="265">
        <v>0.65138888888888891</v>
      </c>
      <c r="Q468" s="266">
        <v>0.66736111111111107</v>
      </c>
      <c r="R468" s="261">
        <f>IF(Table6[[#This Row],[Work Start TimeStamp]]="","",(Table6[[#This Row],[Work Start TimeStamp]]-Table6[[#This Row],[Fault Start TimeStamp]])*24)</f>
        <v>0</v>
      </c>
      <c r="S468" s="261">
        <f>(Table6[[#This Row],[Fault Clearance time]]-Table6[[#This Row],[Work Start TimeStamp]])*24</f>
        <v>0.38333333333333197</v>
      </c>
      <c r="T468" s="261">
        <f>(Table6[[#This Row],[Fault Clearance time]]-Table6[[#This Row],[Fault Start TimeStamp]])*24</f>
        <v>0.38333333333333197</v>
      </c>
      <c r="U468" s="35" t="s">
        <v>329</v>
      </c>
      <c r="V468" s="102" t="s">
        <v>268</v>
      </c>
      <c r="W468" s="267">
        <f>IFERROR(Table6[[#This Row],[Breakdown Time]]*Table6[[#This Row],[Plant Equivalent Weightage]],"")</f>
        <v>1.4743589743589686E-2</v>
      </c>
      <c r="X468" s="262" t="s">
        <v>269</v>
      </c>
      <c r="Y468" s="263" t="s">
        <v>115</v>
      </c>
      <c r="Z468" s="102">
        <v>39002</v>
      </c>
      <c r="AA468" s="257">
        <f>(Table6[[#This Row],[Paired WTG Generation for loss calculation]]/24)*Table6[[#This Row],[Breakdown Time]]</f>
        <v>622.9486111111089</v>
      </c>
      <c r="AB468" s="102"/>
      <c r="AC468" s="35"/>
      <c r="AD468" s="35"/>
    </row>
    <row r="469" spans="1:30">
      <c r="A469" s="102">
        <f t="shared" si="8"/>
        <v>468</v>
      </c>
      <c r="B469" s="257">
        <f>YEAR(Table6[[#This Row],[Date]])+IF(MONTH(Table6[[#This Row],[Date]])&gt;=4,1,0)</f>
        <v>2026</v>
      </c>
      <c r="C469" s="102">
        <f>YEAR(Table6[[#This Row],[Date]])</f>
        <v>2025</v>
      </c>
      <c r="D469" s="102" t="s">
        <v>265</v>
      </c>
      <c r="E469" s="258">
        <f>Table6[[#This Row],[Date]]-DAY(Table6[[#This Row],[Date]])+1</f>
        <v>45748</v>
      </c>
      <c r="F469" s="259">
        <v>45776</v>
      </c>
      <c r="G469" s="35" t="s">
        <v>140</v>
      </c>
      <c r="H469" s="35" t="str">
        <f>IFERROR(_xlfn.XLOOKUP(Table6[[#This Row],[Affected WTG]],'Basic Data'!$A:$A,'Basic Data'!$B:$B),"")</f>
        <v>TQGXIIPL</v>
      </c>
      <c r="I469" s="35" t="str">
        <f>IFERROR(_xlfn.XLOOKUP(Table6[[#This Row],[Affected WTG]],'Basic Data'!$A:$A,'Basic Data'!$C:$C),"")</f>
        <v>GEDA</v>
      </c>
      <c r="J469" s="260">
        <f>IFERROR(_xlfn.XLOOKUP(Table6[[#This Row],[Affected WTG]],'Basic Data'!$A:$A,'Basic Data'!$E:$E),"")</f>
        <v>3.846153846153845E-2</v>
      </c>
      <c r="K469" s="102">
        <v>6130</v>
      </c>
      <c r="L469" s="35" t="str">
        <f>IFERROR(_xlfn.XLOOKUP(Table6[[#This Row],[Error Code]],'Basic Data'!$AA:$AA,'Basic Data'!$AB:$AB),"Incorrect Error Code")</f>
        <v>Yaw speed high</v>
      </c>
      <c r="M469" s="35" t="s">
        <v>278</v>
      </c>
      <c r="N469" s="264"/>
      <c r="O469" s="265">
        <v>0.67500000000000004</v>
      </c>
      <c r="P469" s="265">
        <v>0.67500000000000004</v>
      </c>
      <c r="Q469" s="266">
        <v>0.6791666666666667</v>
      </c>
      <c r="R469" s="261">
        <f>IF(Table6[[#This Row],[Work Start TimeStamp]]="","",(Table6[[#This Row],[Work Start TimeStamp]]-Table6[[#This Row],[Fault Start TimeStamp]])*24)</f>
        <v>0</v>
      </c>
      <c r="S469" s="261">
        <f>(Table6[[#This Row],[Fault Clearance time]]-Table6[[#This Row],[Work Start TimeStamp]])*24</f>
        <v>9.9999999999999645E-2</v>
      </c>
      <c r="T469" s="261">
        <f>(Table6[[#This Row],[Fault Clearance time]]-Table6[[#This Row],[Fault Start TimeStamp]])*24</f>
        <v>9.9999999999999645E-2</v>
      </c>
      <c r="U469" s="35" t="s">
        <v>277</v>
      </c>
      <c r="V469" s="102" t="s">
        <v>268</v>
      </c>
      <c r="W469" s="267">
        <f>IFERROR(Table6[[#This Row],[Breakdown Time]]*Table6[[#This Row],[Plant Equivalent Weightage]],"")</f>
        <v>3.8461538461538312E-3</v>
      </c>
      <c r="X469" s="262" t="s">
        <v>269</v>
      </c>
      <c r="Y469" s="263" t="s">
        <v>115</v>
      </c>
      <c r="Z469" s="102">
        <v>39002</v>
      </c>
      <c r="AA469" s="257">
        <f>(Table6[[#This Row],[Paired WTG Generation for loss calculation]]/24)*Table6[[#This Row],[Breakdown Time]]</f>
        <v>162.50833333333276</v>
      </c>
      <c r="AB469" s="102"/>
      <c r="AC469" s="35"/>
      <c r="AD469" s="35"/>
    </row>
    <row r="470" spans="1:30">
      <c r="A470" s="102">
        <f t="shared" si="8"/>
        <v>469</v>
      </c>
      <c r="B470" s="257">
        <f>YEAR(Table6[[#This Row],[Date]])+IF(MONTH(Table6[[#This Row],[Date]])&gt;=4,1,0)</f>
        <v>2026</v>
      </c>
      <c r="C470" s="102">
        <f>YEAR(Table6[[#This Row],[Date]])</f>
        <v>2025</v>
      </c>
      <c r="D470" s="102" t="s">
        <v>265</v>
      </c>
      <c r="E470" s="258">
        <f>Table6[[#This Row],[Date]]-DAY(Table6[[#This Row],[Date]])+1</f>
        <v>45748</v>
      </c>
      <c r="F470" s="259">
        <v>45777</v>
      </c>
      <c r="G470" s="35" t="s">
        <v>115</v>
      </c>
      <c r="H470" s="35" t="str">
        <f>IFERROR(_xlfn.XLOOKUP(Table6[[#This Row],[Affected WTG]],'Basic Data'!$A:$A,'Basic Data'!$B:$B),"")</f>
        <v>TQGXIIPL</v>
      </c>
      <c r="I470" s="35" t="str">
        <f>IFERROR(_xlfn.XLOOKUP(Table6[[#This Row],[Affected WTG]],'Basic Data'!$A:$A,'Basic Data'!$C:$C),"")</f>
        <v>GEDA</v>
      </c>
      <c r="J470" s="260">
        <f>IFERROR(_xlfn.XLOOKUP(Table6[[#This Row],[Affected WTG]],'Basic Data'!$A:$A,'Basic Data'!$E:$E),"")</f>
        <v>3.846153846153845E-2</v>
      </c>
      <c r="K470" s="102">
        <v>159</v>
      </c>
      <c r="L470" s="35" t="str">
        <f>IFERROR(_xlfn.XLOOKUP(Table6[[#This Row],[Error Code]],'Basic Data'!$AA:$AA,'Basic Data'!$AB:$AB),"Incorrect Error Code")</f>
        <v>SLC SF emergency stop</v>
      </c>
      <c r="M470" s="35" t="s">
        <v>266</v>
      </c>
      <c r="N470" s="264"/>
      <c r="O470" s="265">
        <v>0</v>
      </c>
      <c r="P470" s="265">
        <v>0</v>
      </c>
      <c r="Q470" s="266">
        <v>0.1111111111111111</v>
      </c>
      <c r="R470" s="261">
        <f>IF(Table6[[#This Row],[Work Start TimeStamp]]="","",(Table6[[#This Row],[Work Start TimeStamp]]-Table6[[#This Row],[Fault Start TimeStamp]])*24)</f>
        <v>0</v>
      </c>
      <c r="S470" s="261">
        <f>(Table6[[#This Row],[Fault Clearance time]]-Table6[[#This Row],[Work Start TimeStamp]])*24</f>
        <v>2.6666666666666665</v>
      </c>
      <c r="T470" s="261">
        <f>(Table6[[#This Row],[Fault Clearance time]]-Table6[[#This Row],[Fault Start TimeStamp]])*24</f>
        <v>2.6666666666666665</v>
      </c>
      <c r="U470" s="35" t="s">
        <v>384</v>
      </c>
      <c r="V470" s="102" t="s">
        <v>268</v>
      </c>
      <c r="W470" s="267">
        <f>IFERROR(Table6[[#This Row],[Breakdown Time]]*Table6[[#This Row],[Plant Equivalent Weightage]],"")</f>
        <v>0.10256410256410253</v>
      </c>
      <c r="X470" s="262" t="s">
        <v>269</v>
      </c>
      <c r="Y470" s="263" t="s">
        <v>140</v>
      </c>
      <c r="Z470" s="102">
        <v>38333</v>
      </c>
      <c r="AA470" s="257">
        <f>(Table6[[#This Row],[Paired WTG Generation for loss calculation]]/24)*Table6[[#This Row],[Breakdown Time]]</f>
        <v>4259.2222222222217</v>
      </c>
      <c r="AB470" s="102"/>
      <c r="AC470" s="35"/>
      <c r="AD470" s="35"/>
    </row>
    <row r="471" spans="1:30">
      <c r="A471" s="102">
        <f t="shared" si="8"/>
        <v>470</v>
      </c>
      <c r="B471" s="257">
        <f>YEAR(Table6[[#This Row],[Date]])+IF(MONTH(Table6[[#This Row],[Date]])&gt;=4,1,0)</f>
        <v>2026</v>
      </c>
      <c r="C471" s="102">
        <f>YEAR(Table6[[#This Row],[Date]])</f>
        <v>2025</v>
      </c>
      <c r="D471" s="102" t="s">
        <v>265</v>
      </c>
      <c r="E471" s="258">
        <f>Table6[[#This Row],[Date]]-DAY(Table6[[#This Row],[Date]])+1</f>
        <v>45748</v>
      </c>
      <c r="F471" s="259">
        <v>45777</v>
      </c>
      <c r="G471" s="35" t="s">
        <v>115</v>
      </c>
      <c r="H471" s="35" t="str">
        <f>IFERROR(_xlfn.XLOOKUP(Table6[[#This Row],[Affected WTG]],'Basic Data'!$A:$A,'Basic Data'!$B:$B),"")</f>
        <v>TQGXIIPL</v>
      </c>
      <c r="I471" s="35" t="str">
        <f>IFERROR(_xlfn.XLOOKUP(Table6[[#This Row],[Affected WTG]],'Basic Data'!$A:$A,'Basic Data'!$C:$C),"")</f>
        <v>GEDA</v>
      </c>
      <c r="J471" s="260">
        <f>IFERROR(_xlfn.XLOOKUP(Table6[[#This Row],[Affected WTG]],'Basic Data'!$A:$A,'Basic Data'!$E:$E),"")</f>
        <v>3.846153846153845E-2</v>
      </c>
      <c r="K471" s="102">
        <v>159</v>
      </c>
      <c r="L471" s="35" t="str">
        <f>IFERROR(_xlfn.XLOOKUP(Table6[[#This Row],[Error Code]],'Basic Data'!$AA:$AA,'Basic Data'!$AB:$AB),"Incorrect Error Code")</f>
        <v>SLC SF emergency stop</v>
      </c>
      <c r="M471" s="35" t="s">
        <v>266</v>
      </c>
      <c r="N471" s="264"/>
      <c r="O471" s="265">
        <v>0.14583333333333334</v>
      </c>
      <c r="P471" s="265">
        <v>0.14583333333333334</v>
      </c>
      <c r="Q471" s="266">
        <v>0.1875</v>
      </c>
      <c r="R471" s="261">
        <f>IF(Table6[[#This Row],[Work Start TimeStamp]]="","",(Table6[[#This Row],[Work Start TimeStamp]]-Table6[[#This Row],[Fault Start TimeStamp]])*24)</f>
        <v>0</v>
      </c>
      <c r="S471" s="261">
        <f>(Table6[[#This Row],[Fault Clearance time]]-Table6[[#This Row],[Work Start TimeStamp]])*24</f>
        <v>0.99999999999999978</v>
      </c>
      <c r="T471" s="261">
        <f>(Table6[[#This Row],[Fault Clearance time]]-Table6[[#This Row],[Fault Start TimeStamp]])*24</f>
        <v>0.99999999999999978</v>
      </c>
      <c r="U471" s="35" t="s">
        <v>384</v>
      </c>
      <c r="V471" s="102" t="s">
        <v>268</v>
      </c>
      <c r="W471" s="267">
        <f>IFERROR(Table6[[#This Row],[Breakdown Time]]*Table6[[#This Row],[Plant Equivalent Weightage]],"")</f>
        <v>3.8461538461538443E-2</v>
      </c>
      <c r="X471" s="262" t="s">
        <v>269</v>
      </c>
      <c r="Y471" s="263" t="s">
        <v>140</v>
      </c>
      <c r="Z471" s="102">
        <v>38333</v>
      </c>
      <c r="AA471" s="257">
        <f>(Table6[[#This Row],[Paired WTG Generation for loss calculation]]/24)*Table6[[#This Row],[Breakdown Time]]</f>
        <v>1597.2083333333328</v>
      </c>
      <c r="AB471" s="102"/>
      <c r="AC471" s="35"/>
      <c r="AD471" s="35"/>
    </row>
    <row r="472" spans="1:30">
      <c r="A472" s="102">
        <f t="shared" si="8"/>
        <v>471</v>
      </c>
      <c r="B472" s="257">
        <f>YEAR(Table6[[#This Row],[Date]])+IF(MONTH(Table6[[#This Row],[Date]])&gt;=4,1,0)</f>
        <v>2026</v>
      </c>
      <c r="C472" s="102">
        <f>YEAR(Table6[[#This Row],[Date]])</f>
        <v>2025</v>
      </c>
      <c r="D472" s="102" t="s">
        <v>265</v>
      </c>
      <c r="E472" s="258">
        <f>Table6[[#This Row],[Date]]-DAY(Table6[[#This Row],[Date]])+1</f>
        <v>45748</v>
      </c>
      <c r="F472" s="259">
        <v>45777</v>
      </c>
      <c r="G472" s="35" t="s">
        <v>115</v>
      </c>
      <c r="H472" s="35" t="str">
        <f>IFERROR(_xlfn.XLOOKUP(Table6[[#This Row],[Affected WTG]],'Basic Data'!$A:$A,'Basic Data'!$B:$B),"")</f>
        <v>TQGXIIPL</v>
      </c>
      <c r="I472" s="35" t="str">
        <f>IFERROR(_xlfn.XLOOKUP(Table6[[#This Row],[Affected WTG]],'Basic Data'!$A:$A,'Basic Data'!$C:$C),"")</f>
        <v>GEDA</v>
      </c>
      <c r="J472" s="260">
        <f>IFERROR(_xlfn.XLOOKUP(Table6[[#This Row],[Affected WTG]],'Basic Data'!$A:$A,'Basic Data'!$E:$E),"")</f>
        <v>3.846153846153845E-2</v>
      </c>
      <c r="K472" s="102">
        <v>55</v>
      </c>
      <c r="L472" s="35" t="str">
        <f>IFERROR(_xlfn.XLOOKUP(Table6[[#This Row],[Error Code]],'Basic Data'!$AA:$AA,'Basic Data'!$AB:$AB),"Incorrect Error Code")</f>
        <v>WTG shut down</v>
      </c>
      <c r="M472" s="35" t="s">
        <v>300</v>
      </c>
      <c r="N472" s="264"/>
      <c r="O472" s="265">
        <v>0.9</v>
      </c>
      <c r="P472" s="265">
        <v>0.9</v>
      </c>
      <c r="Q472" s="266">
        <v>0.95138888888888884</v>
      </c>
      <c r="R472" s="261">
        <f>IF(Table6[[#This Row],[Work Start TimeStamp]]="","",(Table6[[#This Row],[Work Start TimeStamp]]-Table6[[#This Row],[Fault Start TimeStamp]])*24)</f>
        <v>0</v>
      </c>
      <c r="S472" s="261">
        <f>(Table6[[#This Row],[Fault Clearance time]]-Table6[[#This Row],[Work Start TimeStamp]])*24</f>
        <v>1.2333333333333316</v>
      </c>
      <c r="T472" s="261">
        <f>(Table6[[#This Row],[Fault Clearance time]]-Table6[[#This Row],[Fault Start TimeStamp]])*24</f>
        <v>1.2333333333333316</v>
      </c>
      <c r="U472" s="35" t="s">
        <v>385</v>
      </c>
      <c r="V472" s="102" t="s">
        <v>268</v>
      </c>
      <c r="W472" s="267">
        <f>IFERROR(Table6[[#This Row],[Breakdown Time]]*Table6[[#This Row],[Plant Equivalent Weightage]],"")</f>
        <v>4.7435897435897358E-2</v>
      </c>
      <c r="X472" s="262" t="s">
        <v>296</v>
      </c>
      <c r="Y472" s="263" t="s">
        <v>140</v>
      </c>
      <c r="Z472" s="102">
        <v>38333</v>
      </c>
      <c r="AA472" s="257">
        <f>(Table6[[#This Row],[Paired WTG Generation for loss calculation]]/24)*Table6[[#This Row],[Breakdown Time]]</f>
        <v>1969.8902777777751</v>
      </c>
      <c r="AB472" s="102"/>
      <c r="AC472" s="35"/>
      <c r="AD472" s="35"/>
    </row>
    <row r="473" spans="1:30">
      <c r="A473" s="102">
        <f t="shared" si="8"/>
        <v>472</v>
      </c>
      <c r="B473" s="257">
        <f>YEAR(Table6[[#This Row],[Date]])+IF(MONTH(Table6[[#This Row],[Date]])&gt;=4,1,0)</f>
        <v>2026</v>
      </c>
      <c r="C473" s="102">
        <f>YEAR(Table6[[#This Row],[Date]])</f>
        <v>2025</v>
      </c>
      <c r="D473" s="102" t="s">
        <v>265</v>
      </c>
      <c r="E473" s="258">
        <f>Table6[[#This Row],[Date]]-DAY(Table6[[#This Row],[Date]])+1</f>
        <v>45748</v>
      </c>
      <c r="F473" s="259">
        <v>45777</v>
      </c>
      <c r="G473" s="35" t="s">
        <v>116</v>
      </c>
      <c r="H473" s="35" t="str">
        <f>IFERROR(_xlfn.XLOOKUP(Table6[[#This Row],[Affected WTG]],'Basic Data'!$A:$A,'Basic Data'!$B:$B),"")</f>
        <v>TQGXIIPL</v>
      </c>
      <c r="I473" s="35" t="str">
        <f>IFERROR(_xlfn.XLOOKUP(Table6[[#This Row],[Affected WTG]],'Basic Data'!$A:$A,'Basic Data'!$C:$C),"")</f>
        <v>GEDA</v>
      </c>
      <c r="J473" s="260">
        <f>IFERROR(_xlfn.XLOOKUP(Table6[[#This Row],[Affected WTG]],'Basic Data'!$A:$A,'Basic Data'!$E:$E),"")</f>
        <v>3.846153846153845E-2</v>
      </c>
      <c r="K473" s="102">
        <v>6605</v>
      </c>
      <c r="L473" s="35" t="str">
        <f>IFERROR(_xlfn.XLOOKUP(Table6[[#This Row],[Error Code]],'Basic Data'!$AA:$AA,'Basic Data'!$AB:$AB),"Incorrect Error Code")</f>
        <v>Wind.dir. diff. level 2</v>
      </c>
      <c r="M473" s="35" t="s">
        <v>266</v>
      </c>
      <c r="N473" s="264"/>
      <c r="O473" s="265">
        <v>0.57499999999999996</v>
      </c>
      <c r="P473" s="265">
        <v>0.57499999999999996</v>
      </c>
      <c r="Q473" s="266">
        <v>0.57638888888888884</v>
      </c>
      <c r="R473" s="261">
        <f>IF(Table6[[#This Row],[Work Start TimeStamp]]="","",(Table6[[#This Row],[Work Start TimeStamp]]-Table6[[#This Row],[Fault Start TimeStamp]])*24)</f>
        <v>0</v>
      </c>
      <c r="S473" s="261">
        <f>(Table6[[#This Row],[Fault Clearance time]]-Table6[[#This Row],[Work Start TimeStamp]])*24</f>
        <v>3.3333333333333215E-2</v>
      </c>
      <c r="T473" s="261">
        <f>(Table6[[#This Row],[Fault Clearance time]]-Table6[[#This Row],[Fault Start TimeStamp]])*24</f>
        <v>3.3333333333333215E-2</v>
      </c>
      <c r="U473" s="35" t="s">
        <v>267</v>
      </c>
      <c r="V473" s="102" t="s">
        <v>268</v>
      </c>
      <c r="W473" s="267">
        <f>IFERROR(Table6[[#This Row],[Breakdown Time]]*Table6[[#This Row],[Plant Equivalent Weightage]],"")</f>
        <v>1.2820512820512771E-3</v>
      </c>
      <c r="X473" s="262" t="s">
        <v>269</v>
      </c>
      <c r="Y473" s="263" t="s">
        <v>119</v>
      </c>
      <c r="Z473" s="102">
        <v>37428</v>
      </c>
      <c r="AA473" s="257">
        <f>(Table6[[#This Row],[Paired WTG Generation for loss calculation]]/24)*Table6[[#This Row],[Breakdown Time]]</f>
        <v>51.98333333333315</v>
      </c>
      <c r="AB473" s="102"/>
      <c r="AC473" s="35"/>
      <c r="AD473" s="35"/>
    </row>
    <row r="474" spans="1:30">
      <c r="A474" s="102">
        <f t="shared" si="8"/>
        <v>473</v>
      </c>
      <c r="B474" s="257">
        <f>YEAR(Table6[[#This Row],[Date]])+IF(MONTH(Table6[[#This Row],[Date]])&gt;=4,1,0)</f>
        <v>2026</v>
      </c>
      <c r="C474" s="102">
        <f>YEAR(Table6[[#This Row],[Date]])</f>
        <v>2025</v>
      </c>
      <c r="D474" s="102" t="s">
        <v>265</v>
      </c>
      <c r="E474" s="258">
        <f>Table6[[#This Row],[Date]]-DAY(Table6[[#This Row],[Date]])+1</f>
        <v>45748</v>
      </c>
      <c r="F474" s="259">
        <v>45777</v>
      </c>
      <c r="G474" s="35" t="s">
        <v>118</v>
      </c>
      <c r="H474" s="35" t="str">
        <f>IFERROR(_xlfn.XLOOKUP(Table6[[#This Row],[Affected WTG]],'Basic Data'!$A:$A,'Basic Data'!$B:$B),"")</f>
        <v>TQGXIIPL</v>
      </c>
      <c r="I474" s="35" t="str">
        <f>IFERROR(_xlfn.XLOOKUP(Table6[[#This Row],[Affected WTG]],'Basic Data'!$A:$A,'Basic Data'!$C:$C),"")</f>
        <v>GEDA</v>
      </c>
      <c r="J474" s="260">
        <f>IFERROR(_xlfn.XLOOKUP(Table6[[#This Row],[Affected WTG]],'Basic Data'!$A:$A,'Basic Data'!$E:$E),"")</f>
        <v>3.846153846153845E-2</v>
      </c>
      <c r="K474" s="102">
        <v>6130</v>
      </c>
      <c r="L474" s="35" t="str">
        <f>IFERROR(_xlfn.XLOOKUP(Table6[[#This Row],[Error Code]],'Basic Data'!$AA:$AA,'Basic Data'!$AB:$AB),"Incorrect Error Code")</f>
        <v>Yaw speed high</v>
      </c>
      <c r="M474" s="35" t="s">
        <v>278</v>
      </c>
      <c r="N474" s="264"/>
      <c r="O474" s="265">
        <v>0.34861111111111109</v>
      </c>
      <c r="P474" s="265">
        <v>0.34861111111111109</v>
      </c>
      <c r="Q474" s="266">
        <v>0.3527777777777778</v>
      </c>
      <c r="R474" s="261">
        <f>IF(Table6[[#This Row],[Work Start TimeStamp]]="","",(Table6[[#This Row],[Work Start TimeStamp]]-Table6[[#This Row],[Fault Start TimeStamp]])*24)</f>
        <v>0</v>
      </c>
      <c r="S474" s="261">
        <f>(Table6[[#This Row],[Fault Clearance time]]-Table6[[#This Row],[Work Start TimeStamp]])*24</f>
        <v>0.10000000000000098</v>
      </c>
      <c r="T474" s="261">
        <f>(Table6[[#This Row],[Fault Clearance time]]-Table6[[#This Row],[Fault Start TimeStamp]])*24</f>
        <v>0.10000000000000098</v>
      </c>
      <c r="U474" s="35" t="s">
        <v>277</v>
      </c>
      <c r="V474" s="102" t="s">
        <v>268</v>
      </c>
      <c r="W474" s="267">
        <f>IFERROR(Table6[[#This Row],[Breakdown Time]]*Table6[[#This Row],[Plant Equivalent Weightage]],"")</f>
        <v>3.8461538461538824E-3</v>
      </c>
      <c r="X474" s="262" t="s">
        <v>269</v>
      </c>
      <c r="Y474" s="263" t="s">
        <v>121</v>
      </c>
      <c r="Z474" s="102">
        <v>43595</v>
      </c>
      <c r="AA474" s="257">
        <f>(Table6[[#This Row],[Paired WTG Generation for loss calculation]]/24)*Table6[[#This Row],[Breakdown Time]]</f>
        <v>181.6458333333351</v>
      </c>
      <c r="AB474" s="102"/>
      <c r="AC474" s="35"/>
      <c r="AD474" s="35"/>
    </row>
    <row r="475" spans="1:30">
      <c r="A475" s="102">
        <f t="shared" si="8"/>
        <v>474</v>
      </c>
      <c r="B475" s="257">
        <f>YEAR(Table6[[#This Row],[Date]])+IF(MONTH(Table6[[#This Row],[Date]])&gt;=4,1,0)</f>
        <v>2026</v>
      </c>
      <c r="C475" s="102">
        <f>YEAR(Table6[[#This Row],[Date]])</f>
        <v>2025</v>
      </c>
      <c r="D475" s="102" t="s">
        <v>265</v>
      </c>
      <c r="E475" s="258">
        <f>Table6[[#This Row],[Date]]-DAY(Table6[[#This Row],[Date]])+1</f>
        <v>45748</v>
      </c>
      <c r="F475" s="259">
        <v>45777</v>
      </c>
      <c r="G475" s="35" t="s">
        <v>118</v>
      </c>
      <c r="H475" s="35" t="str">
        <f>IFERROR(_xlfn.XLOOKUP(Table6[[#This Row],[Affected WTG]],'Basic Data'!$A:$A,'Basic Data'!$B:$B),"")</f>
        <v>TQGXIIPL</v>
      </c>
      <c r="I475" s="35" t="str">
        <f>IFERROR(_xlfn.XLOOKUP(Table6[[#This Row],[Affected WTG]],'Basic Data'!$A:$A,'Basic Data'!$C:$C),"")</f>
        <v>GEDA</v>
      </c>
      <c r="J475" s="260">
        <f>IFERROR(_xlfn.XLOOKUP(Table6[[#This Row],[Affected WTG]],'Basic Data'!$A:$A,'Basic Data'!$E:$E),"")</f>
        <v>3.846153846153845E-2</v>
      </c>
      <c r="K475" s="102">
        <v>6130</v>
      </c>
      <c r="L475" s="35" t="str">
        <f>IFERROR(_xlfn.XLOOKUP(Table6[[#This Row],[Error Code]],'Basic Data'!$AA:$AA,'Basic Data'!$AB:$AB),"Incorrect Error Code")</f>
        <v>Yaw speed high</v>
      </c>
      <c r="M475" s="35" t="s">
        <v>266</v>
      </c>
      <c r="N475" s="264"/>
      <c r="O475" s="265">
        <v>0.38124999999999998</v>
      </c>
      <c r="P475" s="265">
        <v>0.38124999999999998</v>
      </c>
      <c r="Q475" s="266">
        <v>0.38263888888888886</v>
      </c>
      <c r="R475" s="261">
        <f>IF(Table6[[#This Row],[Work Start TimeStamp]]="","",(Table6[[#This Row],[Work Start TimeStamp]]-Table6[[#This Row],[Fault Start TimeStamp]])*24)</f>
        <v>0</v>
      </c>
      <c r="S475" s="261">
        <f>(Table6[[#This Row],[Fault Clearance time]]-Table6[[#This Row],[Work Start TimeStamp]])*24</f>
        <v>3.3333333333333215E-2</v>
      </c>
      <c r="T475" s="261">
        <f>(Table6[[#This Row],[Fault Clearance time]]-Table6[[#This Row],[Fault Start TimeStamp]])*24</f>
        <v>3.3333333333333215E-2</v>
      </c>
      <c r="U475" s="35" t="s">
        <v>267</v>
      </c>
      <c r="V475" s="102" t="s">
        <v>268</v>
      </c>
      <c r="W475" s="267">
        <f>IFERROR(Table6[[#This Row],[Breakdown Time]]*Table6[[#This Row],[Plant Equivalent Weightage]],"")</f>
        <v>1.2820512820512771E-3</v>
      </c>
      <c r="X475" s="262" t="s">
        <v>269</v>
      </c>
      <c r="Y475" s="263" t="s">
        <v>121</v>
      </c>
      <c r="Z475" s="102">
        <v>43595</v>
      </c>
      <c r="AA475" s="257">
        <f>(Table6[[#This Row],[Paired WTG Generation for loss calculation]]/24)*Table6[[#This Row],[Breakdown Time]]</f>
        <v>60.548611111110894</v>
      </c>
      <c r="AB475" s="102"/>
      <c r="AC475" s="35"/>
      <c r="AD475" s="35"/>
    </row>
    <row r="476" spans="1:30">
      <c r="A476" s="102">
        <f t="shared" si="8"/>
        <v>475</v>
      </c>
      <c r="B476" s="257">
        <f>YEAR(Table6[[#This Row],[Date]])+IF(MONTH(Table6[[#This Row],[Date]])&gt;=4,1,0)</f>
        <v>2026</v>
      </c>
      <c r="C476" s="102">
        <f>YEAR(Table6[[#This Row],[Date]])</f>
        <v>2025</v>
      </c>
      <c r="D476" s="102" t="s">
        <v>265</v>
      </c>
      <c r="E476" s="258">
        <f>Table6[[#This Row],[Date]]-DAY(Table6[[#This Row],[Date]])+1</f>
        <v>45748</v>
      </c>
      <c r="F476" s="259">
        <v>45777</v>
      </c>
      <c r="G476" s="35" t="s">
        <v>118</v>
      </c>
      <c r="H476" s="35" t="str">
        <f>IFERROR(_xlfn.XLOOKUP(Table6[[#This Row],[Affected WTG]],'Basic Data'!$A:$A,'Basic Data'!$B:$B),"")</f>
        <v>TQGXIIPL</v>
      </c>
      <c r="I476" s="35" t="str">
        <f>IFERROR(_xlfn.XLOOKUP(Table6[[#This Row],[Affected WTG]],'Basic Data'!$A:$A,'Basic Data'!$C:$C),"")</f>
        <v>GEDA</v>
      </c>
      <c r="J476" s="260">
        <f>IFERROR(_xlfn.XLOOKUP(Table6[[#This Row],[Affected WTG]],'Basic Data'!$A:$A,'Basic Data'!$E:$E),"")</f>
        <v>3.846153846153845E-2</v>
      </c>
      <c r="K476" s="102">
        <v>6130</v>
      </c>
      <c r="L476" s="35" t="str">
        <f>IFERROR(_xlfn.XLOOKUP(Table6[[#This Row],[Error Code]],'Basic Data'!$AA:$AA,'Basic Data'!$AB:$AB),"Incorrect Error Code")</f>
        <v>Yaw speed high</v>
      </c>
      <c r="M476" s="35" t="s">
        <v>278</v>
      </c>
      <c r="N476" s="264"/>
      <c r="O476" s="265">
        <v>0.49722222222222223</v>
      </c>
      <c r="P476" s="265">
        <v>0.49722222222222223</v>
      </c>
      <c r="Q476" s="266">
        <v>0.50138888888888888</v>
      </c>
      <c r="R476" s="261">
        <f>IF(Table6[[#This Row],[Work Start TimeStamp]]="","",(Table6[[#This Row],[Work Start TimeStamp]]-Table6[[#This Row],[Fault Start TimeStamp]])*24)</f>
        <v>0</v>
      </c>
      <c r="S476" s="261">
        <f>(Table6[[#This Row],[Fault Clearance time]]-Table6[[#This Row],[Work Start TimeStamp]])*24</f>
        <v>9.9999999999999645E-2</v>
      </c>
      <c r="T476" s="261">
        <f>(Table6[[#This Row],[Fault Clearance time]]-Table6[[#This Row],[Fault Start TimeStamp]])*24</f>
        <v>9.9999999999999645E-2</v>
      </c>
      <c r="U476" s="35" t="s">
        <v>277</v>
      </c>
      <c r="V476" s="102" t="s">
        <v>268</v>
      </c>
      <c r="W476" s="267">
        <f>IFERROR(Table6[[#This Row],[Breakdown Time]]*Table6[[#This Row],[Plant Equivalent Weightage]],"")</f>
        <v>3.8461538461538312E-3</v>
      </c>
      <c r="X476" s="262" t="s">
        <v>269</v>
      </c>
      <c r="Y476" s="263" t="s">
        <v>121</v>
      </c>
      <c r="Z476" s="102">
        <v>43595</v>
      </c>
      <c r="AA476" s="257">
        <f>(Table6[[#This Row],[Paired WTG Generation for loss calculation]]/24)*Table6[[#This Row],[Breakdown Time]]</f>
        <v>181.64583333333269</v>
      </c>
      <c r="AB476" s="102"/>
      <c r="AC476" s="35"/>
      <c r="AD476" s="35"/>
    </row>
    <row r="477" spans="1:30">
      <c r="A477" s="102">
        <f t="shared" si="8"/>
        <v>476</v>
      </c>
      <c r="B477" s="257">
        <f>YEAR(Table6[[#This Row],[Date]])+IF(MONTH(Table6[[#This Row],[Date]])&gt;=4,1,0)</f>
        <v>2026</v>
      </c>
      <c r="C477" s="102">
        <f>YEAR(Table6[[#This Row],[Date]])</f>
        <v>2025</v>
      </c>
      <c r="D477" s="102" t="s">
        <v>265</v>
      </c>
      <c r="E477" s="258">
        <f>Table6[[#This Row],[Date]]-DAY(Table6[[#This Row],[Date]])+1</f>
        <v>45748</v>
      </c>
      <c r="F477" s="259">
        <v>45777</v>
      </c>
      <c r="G477" s="35" t="s">
        <v>118</v>
      </c>
      <c r="H477" s="35" t="str">
        <f>IFERROR(_xlfn.XLOOKUP(Table6[[#This Row],[Affected WTG]],'Basic Data'!$A:$A,'Basic Data'!$B:$B),"")</f>
        <v>TQGXIIPL</v>
      </c>
      <c r="I477" s="35" t="str">
        <f>IFERROR(_xlfn.XLOOKUP(Table6[[#This Row],[Affected WTG]],'Basic Data'!$A:$A,'Basic Data'!$C:$C),"")</f>
        <v>GEDA</v>
      </c>
      <c r="J477" s="260">
        <f>IFERROR(_xlfn.XLOOKUP(Table6[[#This Row],[Affected WTG]],'Basic Data'!$A:$A,'Basic Data'!$E:$E),"")</f>
        <v>3.846153846153845E-2</v>
      </c>
      <c r="K477" s="102">
        <v>1700</v>
      </c>
      <c r="L477" s="35" t="str">
        <f>IFERROR(_xlfn.XLOOKUP(Table6[[#This Row],[Error Code]],'Basic Data'!$AA:$AA,'Basic Data'!$AB:$AB),"Incorrect Error Code")</f>
        <v>High temp. gear bearing 1</v>
      </c>
      <c r="M477" s="35" t="s">
        <v>266</v>
      </c>
      <c r="N477" s="264"/>
      <c r="O477" s="265">
        <v>0.76249999999999996</v>
      </c>
      <c r="P477" s="265">
        <v>0.76249999999999996</v>
      </c>
      <c r="Q477" s="266">
        <v>0.78055555555555556</v>
      </c>
      <c r="R477" s="261">
        <f>IF(Table6[[#This Row],[Work Start TimeStamp]]="","",(Table6[[#This Row],[Work Start TimeStamp]]-Table6[[#This Row],[Fault Start TimeStamp]])*24)</f>
        <v>0</v>
      </c>
      <c r="S477" s="261">
        <f>(Table6[[#This Row],[Fault Clearance time]]-Table6[[#This Row],[Work Start TimeStamp]])*24</f>
        <v>0.43333333333333446</v>
      </c>
      <c r="T477" s="261">
        <f>(Table6[[#This Row],[Fault Clearance time]]-Table6[[#This Row],[Fault Start TimeStamp]])*24</f>
        <v>0.43333333333333446</v>
      </c>
      <c r="U477" s="35" t="s">
        <v>313</v>
      </c>
      <c r="V477" s="102" t="s">
        <v>268</v>
      </c>
      <c r="W477" s="267">
        <f>IFERROR(Table6[[#This Row],[Breakdown Time]]*Table6[[#This Row],[Plant Equivalent Weightage]],"")</f>
        <v>1.6666666666666705E-2</v>
      </c>
      <c r="X477" s="262" t="s">
        <v>269</v>
      </c>
      <c r="Y477" s="263" t="s">
        <v>121</v>
      </c>
      <c r="Z477" s="102">
        <v>43595</v>
      </c>
      <c r="AA477" s="257">
        <f>(Table6[[#This Row],[Paired WTG Generation for loss calculation]]/24)*Table6[[#This Row],[Breakdown Time]]</f>
        <v>787.1319444444465</v>
      </c>
      <c r="AB477" s="102"/>
      <c r="AC477" s="35"/>
      <c r="AD477" s="35"/>
    </row>
    <row r="478" spans="1:30">
      <c r="A478" s="102">
        <f t="shared" si="8"/>
        <v>477</v>
      </c>
      <c r="B478" s="257">
        <f>YEAR(Table6[[#This Row],[Date]])+IF(MONTH(Table6[[#This Row],[Date]])&gt;=4,1,0)</f>
        <v>2026</v>
      </c>
      <c r="C478" s="102">
        <f>YEAR(Table6[[#This Row],[Date]])</f>
        <v>2025</v>
      </c>
      <c r="D478" s="102" t="s">
        <v>265</v>
      </c>
      <c r="E478" s="258">
        <f>Table6[[#This Row],[Date]]-DAY(Table6[[#This Row],[Date]])+1</f>
        <v>45748</v>
      </c>
      <c r="F478" s="259">
        <v>45777</v>
      </c>
      <c r="G478" s="35" t="s">
        <v>119</v>
      </c>
      <c r="H478" s="35" t="str">
        <f>IFERROR(_xlfn.XLOOKUP(Table6[[#This Row],[Affected WTG]],'Basic Data'!$A:$A,'Basic Data'!$B:$B),"")</f>
        <v>TQGXIIPL</v>
      </c>
      <c r="I478" s="35" t="str">
        <f>IFERROR(_xlfn.XLOOKUP(Table6[[#This Row],[Affected WTG]],'Basic Data'!$A:$A,'Basic Data'!$C:$C),"")</f>
        <v>GEDA</v>
      </c>
      <c r="J478" s="260">
        <f>IFERROR(_xlfn.XLOOKUP(Table6[[#This Row],[Affected WTG]],'Basic Data'!$A:$A,'Basic Data'!$E:$E),"")</f>
        <v>3.846153846153845E-2</v>
      </c>
      <c r="K478" s="102">
        <v>55</v>
      </c>
      <c r="L478" s="35" t="str">
        <f>IFERROR(_xlfn.XLOOKUP(Table6[[#This Row],[Error Code]],'Basic Data'!$AA:$AA,'Basic Data'!$AB:$AB),"Incorrect Error Code")</f>
        <v>WTG shut down</v>
      </c>
      <c r="M478" s="35" t="s">
        <v>300</v>
      </c>
      <c r="N478" s="264"/>
      <c r="O478" s="265">
        <v>0</v>
      </c>
      <c r="P478" s="265">
        <v>0</v>
      </c>
      <c r="Q478" s="266">
        <v>3.8194444444444448E-2</v>
      </c>
      <c r="R478" s="261">
        <f>IF(Table6[[#This Row],[Work Start TimeStamp]]="","",(Table6[[#This Row],[Work Start TimeStamp]]-Table6[[#This Row],[Fault Start TimeStamp]])*24)</f>
        <v>0</v>
      </c>
      <c r="S478" s="261">
        <f>(Table6[[#This Row],[Fault Clearance time]]-Table6[[#This Row],[Work Start TimeStamp]])*24</f>
        <v>0.91666666666666674</v>
      </c>
      <c r="T478" s="261">
        <f>(Table6[[#This Row],[Fault Clearance time]]-Table6[[#This Row],[Fault Start TimeStamp]])*24</f>
        <v>0.91666666666666674</v>
      </c>
      <c r="U478" s="35" t="s">
        <v>385</v>
      </c>
      <c r="V478" s="102" t="s">
        <v>268</v>
      </c>
      <c r="W478" s="267">
        <f>IFERROR(Table6[[#This Row],[Breakdown Time]]*Table6[[#This Row],[Plant Equivalent Weightage]],"")</f>
        <v>3.5256410256410249E-2</v>
      </c>
      <c r="X478" s="262" t="s">
        <v>296</v>
      </c>
      <c r="Y478" s="263" t="s">
        <v>116</v>
      </c>
      <c r="Z478" s="102">
        <v>46976</v>
      </c>
      <c r="AA478" s="257">
        <f>(Table6[[#This Row],[Paired WTG Generation for loss calculation]]/24)*Table6[[#This Row],[Breakdown Time]]</f>
        <v>1794.2222222222224</v>
      </c>
      <c r="AB478" s="102"/>
      <c r="AC478" s="35"/>
      <c r="AD478" s="35"/>
    </row>
    <row r="479" spans="1:30">
      <c r="A479" s="102">
        <f t="shared" si="8"/>
        <v>478</v>
      </c>
      <c r="B479" s="257">
        <f>YEAR(Table6[[#This Row],[Date]])+IF(MONTH(Table6[[#This Row],[Date]])&gt;=4,1,0)</f>
        <v>2026</v>
      </c>
      <c r="C479" s="102">
        <f>YEAR(Table6[[#This Row],[Date]])</f>
        <v>2025</v>
      </c>
      <c r="D479" s="102" t="s">
        <v>265</v>
      </c>
      <c r="E479" s="258">
        <f>Table6[[#This Row],[Date]]-DAY(Table6[[#This Row],[Date]])+1</f>
        <v>45748</v>
      </c>
      <c r="F479" s="259">
        <v>45777</v>
      </c>
      <c r="G479" s="35" t="s">
        <v>119</v>
      </c>
      <c r="H479" s="35" t="str">
        <f>IFERROR(_xlfn.XLOOKUP(Table6[[#This Row],[Affected WTG]],'Basic Data'!$A:$A,'Basic Data'!$B:$B),"")</f>
        <v>TQGXIIPL</v>
      </c>
      <c r="I479" s="35" t="str">
        <f>IFERROR(_xlfn.XLOOKUP(Table6[[#This Row],[Affected WTG]],'Basic Data'!$A:$A,'Basic Data'!$C:$C),"")</f>
        <v>GEDA</v>
      </c>
      <c r="J479" s="260">
        <f>IFERROR(_xlfn.XLOOKUP(Table6[[#This Row],[Affected WTG]],'Basic Data'!$A:$A,'Basic Data'!$E:$E),"")</f>
        <v>3.846153846153845E-2</v>
      </c>
      <c r="K479" s="102">
        <v>6130</v>
      </c>
      <c r="L479" s="35" t="str">
        <f>IFERROR(_xlfn.XLOOKUP(Table6[[#This Row],[Error Code]],'Basic Data'!$AA:$AA,'Basic Data'!$AB:$AB),"Incorrect Error Code")</f>
        <v>Yaw speed high</v>
      </c>
      <c r="M479" s="35" t="s">
        <v>278</v>
      </c>
      <c r="N479" s="264"/>
      <c r="O479" s="265">
        <v>0.77986111111111112</v>
      </c>
      <c r="P479" s="265">
        <v>0.77986111111111112</v>
      </c>
      <c r="Q479" s="266">
        <v>0.78402777777777777</v>
      </c>
      <c r="R479" s="261">
        <f>IF(Table6[[#This Row],[Work Start TimeStamp]]="","",(Table6[[#This Row],[Work Start TimeStamp]]-Table6[[#This Row],[Fault Start TimeStamp]])*24)</f>
        <v>0</v>
      </c>
      <c r="S479" s="261">
        <f>(Table6[[#This Row],[Fault Clearance time]]-Table6[[#This Row],[Work Start TimeStamp]])*24</f>
        <v>9.9999999999999645E-2</v>
      </c>
      <c r="T479" s="261">
        <f>(Table6[[#This Row],[Fault Clearance time]]-Table6[[#This Row],[Fault Start TimeStamp]])*24</f>
        <v>9.9999999999999645E-2</v>
      </c>
      <c r="U479" s="35" t="s">
        <v>277</v>
      </c>
      <c r="V479" s="102" t="s">
        <v>268</v>
      </c>
      <c r="W479" s="267">
        <f>IFERROR(Table6[[#This Row],[Breakdown Time]]*Table6[[#This Row],[Plant Equivalent Weightage]],"")</f>
        <v>3.8461538461538312E-3</v>
      </c>
      <c r="X479" s="262" t="s">
        <v>269</v>
      </c>
      <c r="Y479" s="263" t="s">
        <v>116</v>
      </c>
      <c r="Z479" s="102">
        <v>46976</v>
      </c>
      <c r="AA479" s="257">
        <f>(Table6[[#This Row],[Paired WTG Generation for loss calculation]]/24)*Table6[[#This Row],[Breakdown Time]]</f>
        <v>195.73333333333264</v>
      </c>
      <c r="AB479" s="102"/>
      <c r="AC479" s="35"/>
      <c r="AD479" s="35"/>
    </row>
    <row r="480" spans="1:30">
      <c r="A480" s="102">
        <f t="shared" si="8"/>
        <v>479</v>
      </c>
      <c r="B480" s="257">
        <f>YEAR(Table6[[#This Row],[Date]])+IF(MONTH(Table6[[#This Row],[Date]])&gt;=4,1,0)</f>
        <v>2026</v>
      </c>
      <c r="C480" s="102">
        <f>YEAR(Table6[[#This Row],[Date]])</f>
        <v>2025</v>
      </c>
      <c r="D480" s="102" t="s">
        <v>265</v>
      </c>
      <c r="E480" s="258">
        <f>Table6[[#This Row],[Date]]-DAY(Table6[[#This Row],[Date]])+1</f>
        <v>45748</v>
      </c>
      <c r="F480" s="259">
        <v>45777</v>
      </c>
      <c r="G480" s="35" t="s">
        <v>119</v>
      </c>
      <c r="H480" s="35" t="str">
        <f>IFERROR(_xlfn.XLOOKUP(Table6[[#This Row],[Affected WTG]],'Basic Data'!$A:$A,'Basic Data'!$B:$B),"")</f>
        <v>TQGXIIPL</v>
      </c>
      <c r="I480" s="35" t="str">
        <f>IFERROR(_xlfn.XLOOKUP(Table6[[#This Row],[Affected WTG]],'Basic Data'!$A:$A,'Basic Data'!$C:$C),"")</f>
        <v>GEDA</v>
      </c>
      <c r="J480" s="260">
        <f>IFERROR(_xlfn.XLOOKUP(Table6[[#This Row],[Affected WTG]],'Basic Data'!$A:$A,'Basic Data'!$E:$E),"")</f>
        <v>3.846153846153845E-2</v>
      </c>
      <c r="K480" s="102">
        <v>55</v>
      </c>
      <c r="L480" s="35" t="str">
        <f>IFERROR(_xlfn.XLOOKUP(Table6[[#This Row],[Error Code]],'Basic Data'!$AA:$AA,'Basic Data'!$AB:$AB),"Incorrect Error Code")</f>
        <v>WTG shut down</v>
      </c>
      <c r="M480" s="35" t="s">
        <v>300</v>
      </c>
      <c r="N480" s="264"/>
      <c r="O480" s="265">
        <v>0.89444444444444449</v>
      </c>
      <c r="P480" s="265">
        <v>0.89444444444444449</v>
      </c>
      <c r="Q480" s="266">
        <v>0.97222222222222221</v>
      </c>
      <c r="R480" s="261">
        <f>IF(Table6[[#This Row],[Work Start TimeStamp]]="","",(Table6[[#This Row],[Work Start TimeStamp]]-Table6[[#This Row],[Fault Start TimeStamp]])*24)</f>
        <v>0</v>
      </c>
      <c r="S480" s="261">
        <f>(Table6[[#This Row],[Fault Clearance time]]-Table6[[#This Row],[Work Start TimeStamp]])*24</f>
        <v>1.8666666666666654</v>
      </c>
      <c r="T480" s="261">
        <f>(Table6[[#This Row],[Fault Clearance time]]-Table6[[#This Row],[Fault Start TimeStamp]])*24</f>
        <v>1.8666666666666654</v>
      </c>
      <c r="U480" s="35" t="s">
        <v>385</v>
      </c>
      <c r="V480" s="102" t="s">
        <v>268</v>
      </c>
      <c r="W480" s="267">
        <f>IFERROR(Table6[[#This Row],[Breakdown Time]]*Table6[[#This Row],[Plant Equivalent Weightage]],"")</f>
        <v>7.179487179487172E-2</v>
      </c>
      <c r="X480" s="262" t="s">
        <v>296</v>
      </c>
      <c r="Y480" s="263" t="s">
        <v>116</v>
      </c>
      <c r="Z480" s="102">
        <v>46976</v>
      </c>
      <c r="AA480" s="257">
        <f>(Table6[[#This Row],[Paired WTG Generation for loss calculation]]/24)*Table6[[#This Row],[Breakdown Time]]</f>
        <v>3653.6888888888861</v>
      </c>
      <c r="AB480" s="102"/>
      <c r="AC480" s="35"/>
      <c r="AD480" s="35"/>
    </row>
    <row r="481" spans="1:30">
      <c r="A481" s="102">
        <f t="shared" si="8"/>
        <v>480</v>
      </c>
      <c r="B481" s="257">
        <f>YEAR(Table6[[#This Row],[Date]])+IF(MONTH(Table6[[#This Row],[Date]])&gt;=4,1,0)</f>
        <v>2026</v>
      </c>
      <c r="C481" s="102">
        <f>YEAR(Table6[[#This Row],[Date]])</f>
        <v>2025</v>
      </c>
      <c r="D481" s="102" t="s">
        <v>265</v>
      </c>
      <c r="E481" s="258">
        <f>Table6[[#This Row],[Date]]-DAY(Table6[[#This Row],[Date]])+1</f>
        <v>45748</v>
      </c>
      <c r="F481" s="259">
        <v>45777</v>
      </c>
      <c r="G481" s="35" t="s">
        <v>120</v>
      </c>
      <c r="H481" s="35" t="str">
        <f>IFERROR(_xlfn.XLOOKUP(Table6[[#This Row],[Affected WTG]],'Basic Data'!$A:$A,'Basic Data'!$B:$B),"")</f>
        <v>TQGXIIPL</v>
      </c>
      <c r="I481" s="35" t="str">
        <f>IFERROR(_xlfn.XLOOKUP(Table6[[#This Row],[Affected WTG]],'Basic Data'!$A:$A,'Basic Data'!$C:$C),"")</f>
        <v>GEDA</v>
      </c>
      <c r="J481" s="260">
        <f>IFERROR(_xlfn.XLOOKUP(Table6[[#This Row],[Affected WTG]],'Basic Data'!$A:$A,'Basic Data'!$E:$E),"")</f>
        <v>3.846153846153845E-2</v>
      </c>
      <c r="K481" s="102">
        <v>6056</v>
      </c>
      <c r="L481" s="35" t="str">
        <f>IFERROR(_xlfn.XLOOKUP(Table6[[#This Row],[Error Code]],'Basic Data'!$AA:$AA,'Basic Data'!$AB:$AB),"Incorrect Error Code")</f>
        <v>High yaw load</v>
      </c>
      <c r="M481" s="35" t="s">
        <v>266</v>
      </c>
      <c r="N481" s="264"/>
      <c r="O481" s="265">
        <v>0.60902777777777772</v>
      </c>
      <c r="P481" s="265">
        <v>0.60902777777777772</v>
      </c>
      <c r="Q481" s="266">
        <v>0.61111111111111116</v>
      </c>
      <c r="R481" s="261">
        <f>IF(Table6[[#This Row],[Work Start TimeStamp]]="","",(Table6[[#This Row],[Work Start TimeStamp]]-Table6[[#This Row],[Fault Start TimeStamp]])*24)</f>
        <v>0</v>
      </c>
      <c r="S481" s="261">
        <f>(Table6[[#This Row],[Fault Clearance time]]-Table6[[#This Row],[Work Start TimeStamp]])*24</f>
        <v>5.0000000000002487E-2</v>
      </c>
      <c r="T481" s="261">
        <f>(Table6[[#This Row],[Fault Clearance time]]-Table6[[#This Row],[Fault Start TimeStamp]])*24</f>
        <v>5.0000000000002487E-2</v>
      </c>
      <c r="U481" s="35" t="s">
        <v>267</v>
      </c>
      <c r="V481" s="102" t="s">
        <v>268</v>
      </c>
      <c r="W481" s="267">
        <f>IFERROR(Table6[[#This Row],[Breakdown Time]]*Table6[[#This Row],[Plant Equivalent Weightage]],"")</f>
        <v>1.9230769230770182E-3</v>
      </c>
      <c r="X481" s="262" t="s">
        <v>269</v>
      </c>
      <c r="Y481" s="263" t="s">
        <v>135</v>
      </c>
      <c r="Z481" s="102">
        <v>34897</v>
      </c>
      <c r="AA481" s="257">
        <f>(Table6[[#This Row],[Paired WTG Generation for loss calculation]]/24)*Table6[[#This Row],[Breakdown Time]]</f>
        <v>72.702083333336958</v>
      </c>
      <c r="AB481" s="102"/>
      <c r="AC481" s="35"/>
      <c r="AD481" s="35"/>
    </row>
    <row r="482" spans="1:30">
      <c r="A482" s="102">
        <f t="shared" si="8"/>
        <v>481</v>
      </c>
      <c r="B482" s="257">
        <f>YEAR(Table6[[#This Row],[Date]])+IF(MONTH(Table6[[#This Row],[Date]])&gt;=4,1,0)</f>
        <v>2026</v>
      </c>
      <c r="C482" s="102">
        <f>YEAR(Table6[[#This Row],[Date]])</f>
        <v>2025</v>
      </c>
      <c r="D482" s="102" t="s">
        <v>265</v>
      </c>
      <c r="E482" s="258">
        <f>Table6[[#This Row],[Date]]-DAY(Table6[[#This Row],[Date]])+1</f>
        <v>45748</v>
      </c>
      <c r="F482" s="259">
        <v>45777</v>
      </c>
      <c r="G482" s="35" t="s">
        <v>122</v>
      </c>
      <c r="H482" s="35" t="str">
        <f>IFERROR(_xlfn.XLOOKUP(Table6[[#This Row],[Affected WTG]],'Basic Data'!$A:$A,'Basic Data'!$B:$B),"")</f>
        <v>TQGXIIPL</v>
      </c>
      <c r="I482" s="35" t="str">
        <f>IFERROR(_xlfn.XLOOKUP(Table6[[#This Row],[Affected WTG]],'Basic Data'!$A:$A,'Basic Data'!$C:$C),"")</f>
        <v>GEDA</v>
      </c>
      <c r="J482" s="260">
        <f>IFERROR(_xlfn.XLOOKUP(Table6[[#This Row],[Affected WTG]],'Basic Data'!$A:$A,'Basic Data'!$E:$E),"")</f>
        <v>3.846153846153845E-2</v>
      </c>
      <c r="K482" s="102">
        <v>55</v>
      </c>
      <c r="L482" s="35" t="str">
        <f>IFERROR(_xlfn.XLOOKUP(Table6[[#This Row],[Error Code]],'Basic Data'!$AA:$AA,'Basic Data'!$AB:$AB),"Incorrect Error Code")</f>
        <v>WTG shut down</v>
      </c>
      <c r="M482" s="35" t="s">
        <v>266</v>
      </c>
      <c r="N482" s="264"/>
      <c r="O482" s="265">
        <v>0.44444444444444442</v>
      </c>
      <c r="P482" s="265">
        <v>0.44444444444444442</v>
      </c>
      <c r="Q482" s="266">
        <v>0.47569444444444442</v>
      </c>
      <c r="R482" s="261">
        <f>IF(Table6[[#This Row],[Work Start TimeStamp]]="","",(Table6[[#This Row],[Work Start TimeStamp]]-Table6[[#This Row],[Fault Start TimeStamp]])*24)</f>
        <v>0</v>
      </c>
      <c r="S482" s="261">
        <f>(Table6[[#This Row],[Fault Clearance time]]-Table6[[#This Row],[Work Start TimeStamp]])*24</f>
        <v>0.75</v>
      </c>
      <c r="T482" s="261">
        <f>(Table6[[#This Row],[Fault Clearance time]]-Table6[[#This Row],[Fault Start TimeStamp]])*24</f>
        <v>0.75</v>
      </c>
      <c r="U482" s="35" t="s">
        <v>361</v>
      </c>
      <c r="V482" s="102" t="s">
        <v>268</v>
      </c>
      <c r="W482" s="267">
        <f>IFERROR(Table6[[#This Row],[Breakdown Time]]*Table6[[#This Row],[Plant Equivalent Weightage]],"")</f>
        <v>2.8846153846153837E-2</v>
      </c>
      <c r="X482" s="262" t="s">
        <v>296</v>
      </c>
      <c r="Y482" s="263" t="s">
        <v>140</v>
      </c>
      <c r="Z482" s="102">
        <v>38333</v>
      </c>
      <c r="AA482" s="257">
        <f>(Table6[[#This Row],[Paired WTG Generation for loss calculation]]/24)*Table6[[#This Row],[Breakdown Time]]</f>
        <v>1197.90625</v>
      </c>
      <c r="AB482" s="102"/>
      <c r="AC482" s="35"/>
      <c r="AD482" s="35"/>
    </row>
    <row r="483" spans="1:30">
      <c r="A483" s="102">
        <f t="shared" si="8"/>
        <v>482</v>
      </c>
      <c r="B483" s="257">
        <f>YEAR(Table6[[#This Row],[Date]])+IF(MONTH(Table6[[#This Row],[Date]])&gt;=4,1,0)</f>
        <v>2026</v>
      </c>
      <c r="C483" s="102">
        <f>YEAR(Table6[[#This Row],[Date]])</f>
        <v>2025</v>
      </c>
      <c r="D483" s="102" t="s">
        <v>265</v>
      </c>
      <c r="E483" s="258">
        <f>Table6[[#This Row],[Date]]-DAY(Table6[[#This Row],[Date]])+1</f>
        <v>45748</v>
      </c>
      <c r="F483" s="259">
        <v>45777</v>
      </c>
      <c r="G483" s="35" t="s">
        <v>122</v>
      </c>
      <c r="H483" s="35" t="str">
        <f>IFERROR(_xlfn.XLOOKUP(Table6[[#This Row],[Affected WTG]],'Basic Data'!$A:$A,'Basic Data'!$B:$B),"")</f>
        <v>TQGXIIPL</v>
      </c>
      <c r="I483" s="35" t="str">
        <f>IFERROR(_xlfn.XLOOKUP(Table6[[#This Row],[Affected WTG]],'Basic Data'!$A:$A,'Basic Data'!$C:$C),"")</f>
        <v>GEDA</v>
      </c>
      <c r="J483" s="260">
        <f>IFERROR(_xlfn.XLOOKUP(Table6[[#This Row],[Affected WTG]],'Basic Data'!$A:$A,'Basic Data'!$E:$E),"")</f>
        <v>3.846153846153845E-2</v>
      </c>
      <c r="K483" s="102">
        <v>6130</v>
      </c>
      <c r="L483" s="35" t="str">
        <f>IFERROR(_xlfn.XLOOKUP(Table6[[#This Row],[Error Code]],'Basic Data'!$AA:$AA,'Basic Data'!$AB:$AB),"Incorrect Error Code")</f>
        <v>Yaw speed high</v>
      </c>
      <c r="M483" s="35" t="s">
        <v>278</v>
      </c>
      <c r="N483" s="264"/>
      <c r="O483" s="265">
        <v>0.68333333333333335</v>
      </c>
      <c r="P483" s="265">
        <v>0.68333333333333335</v>
      </c>
      <c r="Q483" s="266">
        <v>0.6875</v>
      </c>
      <c r="R483" s="261">
        <f>IF(Table6[[#This Row],[Work Start TimeStamp]]="","",(Table6[[#This Row],[Work Start TimeStamp]]-Table6[[#This Row],[Fault Start TimeStamp]])*24)</f>
        <v>0</v>
      </c>
      <c r="S483" s="261">
        <f>(Table6[[#This Row],[Fault Clearance time]]-Table6[[#This Row],[Work Start TimeStamp]])*24</f>
        <v>9.9999999999999645E-2</v>
      </c>
      <c r="T483" s="261">
        <f>(Table6[[#This Row],[Fault Clearance time]]-Table6[[#This Row],[Fault Start TimeStamp]])*24</f>
        <v>9.9999999999999645E-2</v>
      </c>
      <c r="U483" s="35" t="s">
        <v>277</v>
      </c>
      <c r="V483" s="102" t="s">
        <v>268</v>
      </c>
      <c r="W483" s="267">
        <f>IFERROR(Table6[[#This Row],[Breakdown Time]]*Table6[[#This Row],[Plant Equivalent Weightage]],"")</f>
        <v>3.8461538461538312E-3</v>
      </c>
      <c r="X483" s="262" t="s">
        <v>269</v>
      </c>
      <c r="Y483" s="263" t="s">
        <v>140</v>
      </c>
      <c r="Z483" s="102">
        <v>38333</v>
      </c>
      <c r="AA483" s="257">
        <f>(Table6[[#This Row],[Paired WTG Generation for loss calculation]]/24)*Table6[[#This Row],[Breakdown Time]]</f>
        <v>159.72083333333276</v>
      </c>
      <c r="AB483" s="102"/>
      <c r="AC483" s="35"/>
      <c r="AD483" s="35"/>
    </row>
    <row r="484" spans="1:30">
      <c r="A484" s="102">
        <f t="shared" si="8"/>
        <v>483</v>
      </c>
      <c r="B484" s="257">
        <f>YEAR(Table6[[#This Row],[Date]])+IF(MONTH(Table6[[#This Row],[Date]])&gt;=4,1,0)</f>
        <v>2026</v>
      </c>
      <c r="C484" s="102">
        <f>YEAR(Table6[[#This Row],[Date]])</f>
        <v>2025</v>
      </c>
      <c r="D484" s="102" t="s">
        <v>265</v>
      </c>
      <c r="E484" s="258">
        <f>Table6[[#This Row],[Date]]-DAY(Table6[[#This Row],[Date]])+1</f>
        <v>45748</v>
      </c>
      <c r="F484" s="259">
        <v>45777</v>
      </c>
      <c r="G484" s="35" t="s">
        <v>122</v>
      </c>
      <c r="H484" s="35" t="str">
        <f>IFERROR(_xlfn.XLOOKUP(Table6[[#This Row],[Affected WTG]],'Basic Data'!$A:$A,'Basic Data'!$B:$B),"")</f>
        <v>TQGXIIPL</v>
      </c>
      <c r="I484" s="35" t="str">
        <f>IFERROR(_xlfn.XLOOKUP(Table6[[#This Row],[Affected WTG]],'Basic Data'!$A:$A,'Basic Data'!$C:$C),"")</f>
        <v>GEDA</v>
      </c>
      <c r="J484" s="260">
        <f>IFERROR(_xlfn.XLOOKUP(Table6[[#This Row],[Affected WTG]],'Basic Data'!$A:$A,'Basic Data'!$E:$E),"")</f>
        <v>3.846153846153845E-2</v>
      </c>
      <c r="K484" s="102">
        <v>55</v>
      </c>
      <c r="L484" s="35" t="str">
        <f>IFERROR(_xlfn.XLOOKUP(Table6[[#This Row],[Error Code]],'Basic Data'!$AA:$AA,'Basic Data'!$AB:$AB),"Incorrect Error Code")</f>
        <v>WTG shut down</v>
      </c>
      <c r="M484" s="35" t="s">
        <v>300</v>
      </c>
      <c r="N484" s="264"/>
      <c r="O484" s="265">
        <v>0.75694444444444442</v>
      </c>
      <c r="P484" s="265">
        <v>0.75694444444444442</v>
      </c>
      <c r="Q484" s="266">
        <v>0.84930555555555554</v>
      </c>
      <c r="R484" s="261">
        <f>IF(Table6[[#This Row],[Work Start TimeStamp]]="","",(Table6[[#This Row],[Work Start TimeStamp]]-Table6[[#This Row],[Fault Start TimeStamp]])*24)</f>
        <v>0</v>
      </c>
      <c r="S484" s="261">
        <f>(Table6[[#This Row],[Fault Clearance time]]-Table6[[#This Row],[Work Start TimeStamp]])*24</f>
        <v>2.2166666666666668</v>
      </c>
      <c r="T484" s="261">
        <f>(Table6[[#This Row],[Fault Clearance time]]-Table6[[#This Row],[Fault Start TimeStamp]])*24</f>
        <v>2.2166666666666668</v>
      </c>
      <c r="U484" s="35" t="s">
        <v>385</v>
      </c>
      <c r="V484" s="102" t="s">
        <v>268</v>
      </c>
      <c r="W484" s="267">
        <f>IFERROR(Table6[[#This Row],[Breakdown Time]]*Table6[[#This Row],[Plant Equivalent Weightage]],"")</f>
        <v>8.5256410256410231E-2</v>
      </c>
      <c r="X484" s="262" t="s">
        <v>269</v>
      </c>
      <c r="Y484" s="263" t="s">
        <v>140</v>
      </c>
      <c r="Z484" s="102">
        <v>38333</v>
      </c>
      <c r="AA484" s="257">
        <f>(Table6[[#This Row],[Paired WTG Generation for loss calculation]]/24)*Table6[[#This Row],[Breakdown Time]]</f>
        <v>3540.4784722222221</v>
      </c>
      <c r="AB484" s="102"/>
      <c r="AC484" s="35"/>
      <c r="AD484" s="35"/>
    </row>
    <row r="485" spans="1:30">
      <c r="A485" s="102">
        <f t="shared" si="8"/>
        <v>484</v>
      </c>
      <c r="B485" s="257">
        <f>YEAR(Table6[[#This Row],[Date]])+IF(MONTH(Table6[[#This Row],[Date]])&gt;=4,1,0)</f>
        <v>2026</v>
      </c>
      <c r="C485" s="102">
        <f>YEAR(Table6[[#This Row],[Date]])</f>
        <v>2025</v>
      </c>
      <c r="D485" s="102" t="s">
        <v>265</v>
      </c>
      <c r="E485" s="258">
        <f>Table6[[#This Row],[Date]]-DAY(Table6[[#This Row],[Date]])+1</f>
        <v>45748</v>
      </c>
      <c r="F485" s="259">
        <v>45777</v>
      </c>
      <c r="G485" s="35" t="s">
        <v>123</v>
      </c>
      <c r="H485" s="35" t="str">
        <f>IFERROR(_xlfn.XLOOKUP(Table6[[#This Row],[Affected WTG]],'Basic Data'!$A:$A,'Basic Data'!$B:$B),"")</f>
        <v>TQGXIIPL</v>
      </c>
      <c r="I485" s="35" t="str">
        <f>IFERROR(_xlfn.XLOOKUP(Table6[[#This Row],[Affected WTG]],'Basic Data'!$A:$A,'Basic Data'!$C:$C),"")</f>
        <v>GEDA</v>
      </c>
      <c r="J485" s="260">
        <f>IFERROR(_xlfn.XLOOKUP(Table6[[#This Row],[Affected WTG]],'Basic Data'!$A:$A,'Basic Data'!$E:$E),"")</f>
        <v>3.846153846153845E-2</v>
      </c>
      <c r="K485" s="102">
        <v>55</v>
      </c>
      <c r="L485" s="35" t="str">
        <f>IFERROR(_xlfn.XLOOKUP(Table6[[#This Row],[Error Code]],'Basic Data'!$AA:$AA,'Basic Data'!$AB:$AB),"Incorrect Error Code")</f>
        <v>WTG shut down</v>
      </c>
      <c r="M485" s="35" t="s">
        <v>266</v>
      </c>
      <c r="N485" s="264"/>
      <c r="O485" s="265">
        <v>0.69305555555555554</v>
      </c>
      <c r="P485" s="265">
        <v>0.69305555555555554</v>
      </c>
      <c r="Q485" s="266">
        <v>0.72152777777777777</v>
      </c>
      <c r="R485" s="261">
        <f>IF(Table6[[#This Row],[Work Start TimeStamp]]="","",(Table6[[#This Row],[Work Start TimeStamp]]-Table6[[#This Row],[Fault Start TimeStamp]])*24)</f>
        <v>0</v>
      </c>
      <c r="S485" s="261">
        <f>(Table6[[#This Row],[Fault Clearance time]]-Table6[[#This Row],[Work Start TimeStamp]])*24</f>
        <v>0.68333333333333357</v>
      </c>
      <c r="T485" s="261">
        <f>(Table6[[#This Row],[Fault Clearance time]]-Table6[[#This Row],[Fault Start TimeStamp]])*24</f>
        <v>0.68333333333333357</v>
      </c>
      <c r="U485" s="35" t="s">
        <v>361</v>
      </c>
      <c r="V485" s="102" t="s">
        <v>268</v>
      </c>
      <c r="W485" s="267">
        <f>IFERROR(Table6[[#This Row],[Breakdown Time]]*Table6[[#This Row],[Plant Equivalent Weightage]],"")</f>
        <v>2.6282051282051282E-2</v>
      </c>
      <c r="X485" s="262" t="s">
        <v>296</v>
      </c>
      <c r="Y485" s="263" t="s">
        <v>117</v>
      </c>
      <c r="Z485" s="102">
        <v>35656</v>
      </c>
      <c r="AA485" s="257">
        <f>(Table6[[#This Row],[Paired WTG Generation for loss calculation]]/24)*Table6[[#This Row],[Breakdown Time]]</f>
        <v>1015.205555555556</v>
      </c>
      <c r="AB485" s="102"/>
      <c r="AC485" s="35"/>
      <c r="AD485" s="35"/>
    </row>
    <row r="486" spans="1:30">
      <c r="A486" s="102">
        <f t="shared" si="8"/>
        <v>485</v>
      </c>
      <c r="B486" s="257">
        <f>YEAR(Table6[[#This Row],[Date]])+IF(MONTH(Table6[[#This Row],[Date]])&gt;=4,1,0)</f>
        <v>2026</v>
      </c>
      <c r="C486" s="102">
        <f>YEAR(Table6[[#This Row],[Date]])</f>
        <v>2025</v>
      </c>
      <c r="D486" s="102" t="s">
        <v>265</v>
      </c>
      <c r="E486" s="258">
        <f>Table6[[#This Row],[Date]]-DAY(Table6[[#This Row],[Date]])+1</f>
        <v>45748</v>
      </c>
      <c r="F486" s="259">
        <v>45777</v>
      </c>
      <c r="G486" s="35" t="s">
        <v>124</v>
      </c>
      <c r="H486" s="35" t="str">
        <f>IFERROR(_xlfn.XLOOKUP(Table6[[#This Row],[Affected WTG]],'Basic Data'!$A:$A,'Basic Data'!$B:$B),"")</f>
        <v>TQGXIIPL</v>
      </c>
      <c r="I486" s="35" t="str">
        <f>IFERROR(_xlfn.XLOOKUP(Table6[[#This Row],[Affected WTG]],'Basic Data'!$A:$A,'Basic Data'!$C:$C),"")</f>
        <v>GEDA</v>
      </c>
      <c r="J486" s="260">
        <f>IFERROR(_xlfn.XLOOKUP(Table6[[#This Row],[Affected WTG]],'Basic Data'!$A:$A,'Basic Data'!$E:$E),"")</f>
        <v>3.846153846153845E-2</v>
      </c>
      <c r="K486" s="102">
        <v>6130</v>
      </c>
      <c r="L486" s="35" t="str">
        <f>IFERROR(_xlfn.XLOOKUP(Table6[[#This Row],[Error Code]],'Basic Data'!$AA:$AA,'Basic Data'!$AB:$AB),"Incorrect Error Code")</f>
        <v>Yaw speed high</v>
      </c>
      <c r="M486" s="35" t="s">
        <v>278</v>
      </c>
      <c r="N486" s="264"/>
      <c r="O486" s="265">
        <v>0.70625000000000004</v>
      </c>
      <c r="P486" s="265">
        <v>0.70625000000000004</v>
      </c>
      <c r="Q486" s="266">
        <v>0.7104166666666667</v>
      </c>
      <c r="R486" s="261">
        <f>IF(Table6[[#This Row],[Work Start TimeStamp]]="","",(Table6[[#This Row],[Work Start TimeStamp]]-Table6[[#This Row],[Fault Start TimeStamp]])*24)</f>
        <v>0</v>
      </c>
      <c r="S486" s="261">
        <f>(Table6[[#This Row],[Fault Clearance time]]-Table6[[#This Row],[Work Start TimeStamp]])*24</f>
        <v>9.9999999999999645E-2</v>
      </c>
      <c r="T486" s="261">
        <f>(Table6[[#This Row],[Fault Clearance time]]-Table6[[#This Row],[Fault Start TimeStamp]])*24</f>
        <v>9.9999999999999645E-2</v>
      </c>
      <c r="U486" s="35" t="s">
        <v>277</v>
      </c>
      <c r="V486" s="102" t="s">
        <v>268</v>
      </c>
      <c r="W486" s="267">
        <f>IFERROR(Table6[[#This Row],[Breakdown Time]]*Table6[[#This Row],[Plant Equivalent Weightage]],"")</f>
        <v>3.8461538461538312E-3</v>
      </c>
      <c r="X486" s="262" t="s">
        <v>269</v>
      </c>
      <c r="Y486" s="263" t="s">
        <v>129</v>
      </c>
      <c r="Z486" s="102">
        <v>39028</v>
      </c>
      <c r="AA486" s="257">
        <f>(Table6[[#This Row],[Paired WTG Generation for loss calculation]]/24)*Table6[[#This Row],[Breakdown Time]]</f>
        <v>162.61666666666611</v>
      </c>
      <c r="AB486" s="102"/>
      <c r="AC486" s="35"/>
      <c r="AD486" s="35"/>
    </row>
    <row r="487" spans="1:30">
      <c r="A487" s="102">
        <f t="shared" si="8"/>
        <v>486</v>
      </c>
      <c r="B487" s="257">
        <f>YEAR(Table6[[#This Row],[Date]])+IF(MONTH(Table6[[#This Row],[Date]])&gt;=4,1,0)</f>
        <v>2026</v>
      </c>
      <c r="C487" s="102">
        <f>YEAR(Table6[[#This Row],[Date]])</f>
        <v>2025</v>
      </c>
      <c r="D487" s="102" t="s">
        <v>265</v>
      </c>
      <c r="E487" s="258">
        <f>Table6[[#This Row],[Date]]-DAY(Table6[[#This Row],[Date]])+1</f>
        <v>45748</v>
      </c>
      <c r="F487" s="259">
        <v>45777</v>
      </c>
      <c r="G487" s="35" t="s">
        <v>126</v>
      </c>
      <c r="H487" s="35" t="str">
        <f>IFERROR(_xlfn.XLOOKUP(Table6[[#This Row],[Affected WTG]],'Basic Data'!$A:$A,'Basic Data'!$B:$B),"")</f>
        <v>TQGXIIPL</v>
      </c>
      <c r="I487" s="35" t="str">
        <f>IFERROR(_xlfn.XLOOKUP(Table6[[#This Row],[Affected WTG]],'Basic Data'!$A:$A,'Basic Data'!$C:$C),"")</f>
        <v>GEDA</v>
      </c>
      <c r="J487" s="260">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266</v>
      </c>
      <c r="N487" s="264"/>
      <c r="O487" s="265">
        <v>0.45555555555555555</v>
      </c>
      <c r="P487" s="265">
        <v>0.45555555555555555</v>
      </c>
      <c r="Q487" s="266">
        <v>0.57291666666666663</v>
      </c>
      <c r="R487" s="261">
        <f>IF(Table6[[#This Row],[Work Start TimeStamp]]="","",(Table6[[#This Row],[Work Start TimeStamp]]-Table6[[#This Row],[Fault Start TimeStamp]])*24)</f>
        <v>0</v>
      </c>
      <c r="S487" s="261">
        <f>(Table6[[#This Row],[Fault Clearance time]]-Table6[[#This Row],[Work Start TimeStamp]])*24</f>
        <v>2.816666666666666</v>
      </c>
      <c r="T487" s="261">
        <f>(Table6[[#This Row],[Fault Clearance time]]-Table6[[#This Row],[Fault Start TimeStamp]])*24</f>
        <v>2.816666666666666</v>
      </c>
      <c r="U487" s="35" t="s">
        <v>386</v>
      </c>
      <c r="V487" s="102" t="s">
        <v>268</v>
      </c>
      <c r="W487" s="267">
        <f>IFERROR(Table6[[#This Row],[Breakdown Time]]*Table6[[#This Row],[Plant Equivalent Weightage]],"")</f>
        <v>0.10833333333333327</v>
      </c>
      <c r="X487" s="262" t="s">
        <v>296</v>
      </c>
      <c r="Y487" s="263" t="s">
        <v>128</v>
      </c>
      <c r="Z487" s="102">
        <v>35100</v>
      </c>
      <c r="AA487" s="257">
        <f>(Table6[[#This Row],[Paired WTG Generation for loss calculation]]/24)*Table6[[#This Row],[Breakdown Time]]</f>
        <v>4119.3749999999991</v>
      </c>
      <c r="AB487" s="102"/>
      <c r="AC487" s="35"/>
      <c r="AD487" s="35"/>
    </row>
    <row r="488" spans="1:30">
      <c r="A488" s="102">
        <f t="shared" si="8"/>
        <v>487</v>
      </c>
      <c r="B488" s="257">
        <f>YEAR(Table6[[#This Row],[Date]])+IF(MONTH(Table6[[#This Row],[Date]])&gt;=4,1,0)</f>
        <v>2026</v>
      </c>
      <c r="C488" s="102">
        <f>YEAR(Table6[[#This Row],[Date]])</f>
        <v>2025</v>
      </c>
      <c r="D488" s="102" t="s">
        <v>265</v>
      </c>
      <c r="E488" s="258">
        <f>Table6[[#This Row],[Date]]-DAY(Table6[[#This Row],[Date]])+1</f>
        <v>45748</v>
      </c>
      <c r="F488" s="259">
        <v>45777</v>
      </c>
      <c r="G488" s="35" t="s">
        <v>129</v>
      </c>
      <c r="H488" s="35" t="str">
        <f>IFERROR(_xlfn.XLOOKUP(Table6[[#This Row],[Affected WTG]],'Basic Data'!$A:$A,'Basic Data'!$B:$B),"")</f>
        <v>TQGXIIPL</v>
      </c>
      <c r="I488" s="35" t="str">
        <f>IFERROR(_xlfn.XLOOKUP(Table6[[#This Row],[Affected WTG]],'Basic Data'!$A:$A,'Basic Data'!$C:$C),"")</f>
        <v>GEDA</v>
      </c>
      <c r="J488" s="260">
        <f>IFERROR(_xlfn.XLOOKUP(Table6[[#This Row],[Affected WTG]],'Basic Data'!$A:$A,'Basic Data'!$E:$E),"")</f>
        <v>3.846153846153845E-2</v>
      </c>
      <c r="K488" s="102">
        <v>55</v>
      </c>
      <c r="L488" s="35" t="str">
        <f>IFERROR(_xlfn.XLOOKUP(Table6[[#This Row],[Error Code]],'Basic Data'!$AA:$AA,'Basic Data'!$AB:$AB),"Incorrect Error Code")</f>
        <v>WTG shut down</v>
      </c>
      <c r="M488" s="35" t="s">
        <v>266</v>
      </c>
      <c r="N488" s="264"/>
      <c r="O488" s="265">
        <v>0.6020833333333333</v>
      </c>
      <c r="P488" s="265">
        <v>0.6020833333333333</v>
      </c>
      <c r="Q488" s="266">
        <v>0.625</v>
      </c>
      <c r="R488" s="261">
        <f>IF(Table6[[#This Row],[Work Start TimeStamp]]="","",(Table6[[#This Row],[Work Start TimeStamp]]-Table6[[#This Row],[Fault Start TimeStamp]])*24)</f>
        <v>0</v>
      </c>
      <c r="S488" s="261">
        <f>(Table6[[#This Row],[Fault Clearance time]]-Table6[[#This Row],[Work Start TimeStamp]])*24</f>
        <v>0.55000000000000071</v>
      </c>
      <c r="T488" s="261">
        <f>(Table6[[#This Row],[Fault Clearance time]]-Table6[[#This Row],[Fault Start TimeStamp]])*24</f>
        <v>0.55000000000000071</v>
      </c>
      <c r="U488" s="35" t="s">
        <v>361</v>
      </c>
      <c r="V488" s="102" t="s">
        <v>268</v>
      </c>
      <c r="W488" s="267">
        <f>IFERROR(Table6[[#This Row],[Breakdown Time]]*Table6[[#This Row],[Plant Equivalent Weightage]],"")</f>
        <v>2.1153846153846176E-2</v>
      </c>
      <c r="X488" s="262" t="s">
        <v>296</v>
      </c>
      <c r="Y488" s="263" t="s">
        <v>124</v>
      </c>
      <c r="Z488" s="102">
        <v>33815</v>
      </c>
      <c r="AA488" s="257">
        <f>(Table6[[#This Row],[Paired WTG Generation for loss calculation]]/24)*Table6[[#This Row],[Breakdown Time]]</f>
        <v>774.92708333333428</v>
      </c>
      <c r="AB488" s="102"/>
      <c r="AC488" s="35"/>
      <c r="AD488" s="35"/>
    </row>
    <row r="489" spans="1:30">
      <c r="A489" s="102">
        <f t="shared" si="8"/>
        <v>488</v>
      </c>
      <c r="B489" s="257">
        <f>YEAR(Table6[[#This Row],[Date]])+IF(MONTH(Table6[[#This Row],[Date]])&gt;=4,1,0)</f>
        <v>2026</v>
      </c>
      <c r="C489" s="102">
        <f>YEAR(Table6[[#This Row],[Date]])</f>
        <v>2025</v>
      </c>
      <c r="D489" s="102" t="s">
        <v>265</v>
      </c>
      <c r="E489" s="258">
        <f>Table6[[#This Row],[Date]]-DAY(Table6[[#This Row],[Date]])+1</f>
        <v>45748</v>
      </c>
      <c r="F489" s="259">
        <v>45777</v>
      </c>
      <c r="G489" s="35" t="s">
        <v>131</v>
      </c>
      <c r="H489" s="35" t="str">
        <f>IFERROR(_xlfn.XLOOKUP(Table6[[#This Row],[Affected WTG]],'Basic Data'!$A:$A,'Basic Data'!$B:$B),"")</f>
        <v>TQGXIIPL</v>
      </c>
      <c r="I489" s="35" t="str">
        <f>IFERROR(_xlfn.XLOOKUP(Table6[[#This Row],[Affected WTG]],'Basic Data'!$A:$A,'Basic Data'!$C:$C),"")</f>
        <v>GEDA</v>
      </c>
      <c r="J489" s="260">
        <f>IFERROR(_xlfn.XLOOKUP(Table6[[#This Row],[Affected WTG]],'Basic Data'!$A:$A,'Basic Data'!$E:$E),"")</f>
        <v>3.846153846153845E-2</v>
      </c>
      <c r="K489" s="102">
        <v>6605</v>
      </c>
      <c r="L489" s="35" t="str">
        <f>IFERROR(_xlfn.XLOOKUP(Table6[[#This Row],[Error Code]],'Basic Data'!$AA:$AA,'Basic Data'!$AB:$AB),"Incorrect Error Code")</f>
        <v>Wind.dir. diff. level 2</v>
      </c>
      <c r="M489" s="35" t="s">
        <v>266</v>
      </c>
      <c r="N489" s="264"/>
      <c r="O489" s="265">
        <v>0.64930555555555558</v>
      </c>
      <c r="P489" s="265">
        <v>0.64930555555555558</v>
      </c>
      <c r="Q489" s="266">
        <v>0.65625</v>
      </c>
      <c r="R489" s="261">
        <f>IF(Table6[[#This Row],[Work Start TimeStamp]]="","",(Table6[[#This Row],[Work Start TimeStamp]]-Table6[[#This Row],[Fault Start TimeStamp]])*24)</f>
        <v>0</v>
      </c>
      <c r="S489" s="261">
        <f>(Table6[[#This Row],[Fault Clearance time]]-Table6[[#This Row],[Work Start TimeStamp]])*24</f>
        <v>0.16666666666666607</v>
      </c>
      <c r="T489" s="261">
        <f>(Table6[[#This Row],[Fault Clearance time]]-Table6[[#This Row],[Fault Start TimeStamp]])*24</f>
        <v>0.16666666666666607</v>
      </c>
      <c r="U489" s="35" t="s">
        <v>267</v>
      </c>
      <c r="V489" s="102" t="s">
        <v>268</v>
      </c>
      <c r="W489" s="267">
        <f>IFERROR(Table6[[#This Row],[Breakdown Time]]*Table6[[#This Row],[Plant Equivalent Weightage]],"")</f>
        <v>6.4102564102563857E-3</v>
      </c>
      <c r="X489" s="262" t="s">
        <v>269</v>
      </c>
      <c r="Y489" s="263" t="s">
        <v>136</v>
      </c>
      <c r="Z489" s="102">
        <v>40527</v>
      </c>
      <c r="AA489" s="257">
        <f>(Table6[[#This Row],[Paired WTG Generation for loss calculation]]/24)*Table6[[#This Row],[Breakdown Time]]</f>
        <v>281.43749999999898</v>
      </c>
      <c r="AB489" s="102"/>
      <c r="AC489" s="35"/>
      <c r="AD489" s="35"/>
    </row>
    <row r="490" spans="1:30">
      <c r="A490" s="102">
        <f t="shared" si="8"/>
        <v>489</v>
      </c>
      <c r="B490" s="257">
        <f>YEAR(Table6[[#This Row],[Date]])+IF(MONTH(Table6[[#This Row],[Date]])&gt;=4,1,0)</f>
        <v>2026</v>
      </c>
      <c r="C490" s="102">
        <f>YEAR(Table6[[#This Row],[Date]])</f>
        <v>2025</v>
      </c>
      <c r="D490" s="102" t="s">
        <v>265</v>
      </c>
      <c r="E490" s="258">
        <f>Table6[[#This Row],[Date]]-DAY(Table6[[#This Row],[Date]])+1</f>
        <v>45748</v>
      </c>
      <c r="F490" s="259">
        <v>45777</v>
      </c>
      <c r="G490" s="35" t="s">
        <v>131</v>
      </c>
      <c r="H490" s="35" t="str">
        <f>IFERROR(_xlfn.XLOOKUP(Table6[[#This Row],[Affected WTG]],'Basic Data'!$A:$A,'Basic Data'!$B:$B),"")</f>
        <v>TQGXIIPL</v>
      </c>
      <c r="I490" s="35" t="str">
        <f>IFERROR(_xlfn.XLOOKUP(Table6[[#This Row],[Affected WTG]],'Basic Data'!$A:$A,'Basic Data'!$C:$C),"")</f>
        <v>GEDA</v>
      </c>
      <c r="J490" s="260">
        <f>IFERROR(_xlfn.XLOOKUP(Table6[[#This Row],[Affected WTG]],'Basic Data'!$A:$A,'Basic Data'!$E:$E),"")</f>
        <v>3.846153846153845E-2</v>
      </c>
      <c r="K490" s="102">
        <v>6605</v>
      </c>
      <c r="L490" s="35" t="str">
        <f>IFERROR(_xlfn.XLOOKUP(Table6[[#This Row],[Error Code]],'Basic Data'!$AA:$AA,'Basic Data'!$AB:$AB),"Incorrect Error Code")</f>
        <v>Wind.dir. diff. level 2</v>
      </c>
      <c r="M490" s="35" t="s">
        <v>266</v>
      </c>
      <c r="N490" s="264"/>
      <c r="O490" s="265">
        <v>0.73333333333333328</v>
      </c>
      <c r="P490" s="265">
        <v>0.73333333333333328</v>
      </c>
      <c r="Q490" s="266">
        <v>0.73541666666666672</v>
      </c>
      <c r="R490" s="261">
        <f>IF(Table6[[#This Row],[Work Start TimeStamp]]="","",(Table6[[#This Row],[Work Start TimeStamp]]-Table6[[#This Row],[Fault Start TimeStamp]])*24)</f>
        <v>0</v>
      </c>
      <c r="S490" s="261">
        <f>(Table6[[#This Row],[Fault Clearance time]]-Table6[[#This Row],[Work Start TimeStamp]])*24</f>
        <v>5.0000000000002487E-2</v>
      </c>
      <c r="T490" s="261">
        <f>(Table6[[#This Row],[Fault Clearance time]]-Table6[[#This Row],[Fault Start TimeStamp]])*24</f>
        <v>5.0000000000002487E-2</v>
      </c>
      <c r="U490" s="35" t="s">
        <v>267</v>
      </c>
      <c r="V490" s="102" t="s">
        <v>268</v>
      </c>
      <c r="W490" s="267">
        <f>IFERROR(Table6[[#This Row],[Breakdown Time]]*Table6[[#This Row],[Plant Equivalent Weightage]],"")</f>
        <v>1.9230769230770182E-3</v>
      </c>
      <c r="X490" s="262" t="s">
        <v>269</v>
      </c>
      <c r="Y490" s="263" t="s">
        <v>136</v>
      </c>
      <c r="Z490" s="102">
        <v>40527</v>
      </c>
      <c r="AA490" s="257">
        <f>(Table6[[#This Row],[Paired WTG Generation for loss calculation]]/24)*Table6[[#This Row],[Breakdown Time]]</f>
        <v>84.431250000004198</v>
      </c>
      <c r="AB490" s="102"/>
      <c r="AC490" s="35"/>
      <c r="AD490" s="35"/>
    </row>
    <row r="491" spans="1:30">
      <c r="A491" s="102">
        <f t="shared" si="8"/>
        <v>490</v>
      </c>
      <c r="B491" s="257">
        <f>YEAR(Table6[[#This Row],[Date]])+IF(MONTH(Table6[[#This Row],[Date]])&gt;=4,1,0)</f>
        <v>2026</v>
      </c>
      <c r="C491" s="102">
        <f>YEAR(Table6[[#This Row],[Date]])</f>
        <v>2025</v>
      </c>
      <c r="D491" s="102" t="s">
        <v>265</v>
      </c>
      <c r="E491" s="258">
        <f>Table6[[#This Row],[Date]]-DAY(Table6[[#This Row],[Date]])+1</f>
        <v>45748</v>
      </c>
      <c r="F491" s="259">
        <v>45777</v>
      </c>
      <c r="G491" s="35" t="s">
        <v>132</v>
      </c>
      <c r="H491" s="35" t="str">
        <f>IFERROR(_xlfn.XLOOKUP(Table6[[#This Row],[Affected WTG]],'Basic Data'!$A:$A,'Basic Data'!$B:$B),"")</f>
        <v>TQGXIIPL</v>
      </c>
      <c r="I491" s="35" t="str">
        <f>IFERROR(_xlfn.XLOOKUP(Table6[[#This Row],[Affected WTG]],'Basic Data'!$A:$A,'Basic Data'!$C:$C),"")</f>
        <v>GEDA</v>
      </c>
      <c r="J491" s="260">
        <f>IFERROR(_xlfn.XLOOKUP(Table6[[#This Row],[Affected WTG]],'Basic Data'!$A:$A,'Basic Data'!$E:$E),"")</f>
        <v>3.846153846153845E-2</v>
      </c>
      <c r="K491" s="102">
        <v>2355</v>
      </c>
      <c r="L491" s="35" t="str">
        <f>IFERROR(_xlfn.XLOOKUP(Table6[[#This Row],[Error Code]],'Basic Data'!$AA:$AA,'Basic Data'!$AB:$AB),"Incorrect Error Code")</f>
        <v>Temp. rot.br.pad high</v>
      </c>
      <c r="M491" s="35" t="s">
        <v>266</v>
      </c>
      <c r="N491" s="264"/>
      <c r="O491" s="265">
        <v>7.2222222222222215E-2</v>
      </c>
      <c r="P491" s="265">
        <v>7.2222222222222215E-2</v>
      </c>
      <c r="Q491" s="266">
        <v>7.6388888888888895E-2</v>
      </c>
      <c r="R491" s="261">
        <f>IF(Table6[[#This Row],[Work Start TimeStamp]]="","",(Table6[[#This Row],[Work Start TimeStamp]]-Table6[[#This Row],[Fault Start TimeStamp]])*24)</f>
        <v>0</v>
      </c>
      <c r="S491" s="261">
        <f>(Table6[[#This Row],[Fault Clearance time]]-Table6[[#This Row],[Work Start TimeStamp]])*24</f>
        <v>0.10000000000000031</v>
      </c>
      <c r="T491" s="261">
        <f>(Table6[[#This Row],[Fault Clearance time]]-Table6[[#This Row],[Fault Start TimeStamp]])*24</f>
        <v>0.10000000000000031</v>
      </c>
      <c r="U491" s="35" t="s">
        <v>267</v>
      </c>
      <c r="V491" s="102" t="s">
        <v>268</v>
      </c>
      <c r="W491" s="267">
        <f>IFERROR(Table6[[#This Row],[Breakdown Time]]*Table6[[#This Row],[Plant Equivalent Weightage]],"")</f>
        <v>3.8461538461538568E-3</v>
      </c>
      <c r="X491" s="262" t="s">
        <v>269</v>
      </c>
      <c r="Y491" s="263" t="s">
        <v>120</v>
      </c>
      <c r="Z491" s="102">
        <v>40195</v>
      </c>
      <c r="AA491" s="257">
        <f>(Table6[[#This Row],[Paired WTG Generation for loss calculation]]/24)*Table6[[#This Row],[Breakdown Time]]</f>
        <v>167.4791666666672</v>
      </c>
      <c r="AB491" s="102"/>
      <c r="AC491" s="35"/>
      <c r="AD491" s="35"/>
    </row>
    <row r="492" spans="1:30">
      <c r="A492" s="102">
        <f t="shared" si="8"/>
        <v>491</v>
      </c>
      <c r="B492" s="257">
        <f>YEAR(Table6[[#This Row],[Date]])+IF(MONTH(Table6[[#This Row],[Date]])&gt;=4,1,0)</f>
        <v>2026</v>
      </c>
      <c r="C492" s="102">
        <f>YEAR(Table6[[#This Row],[Date]])</f>
        <v>2025</v>
      </c>
      <c r="D492" s="102" t="s">
        <v>265</v>
      </c>
      <c r="E492" s="258">
        <f>Table6[[#This Row],[Date]]-DAY(Table6[[#This Row],[Date]])+1</f>
        <v>45748</v>
      </c>
      <c r="F492" s="259">
        <v>45777</v>
      </c>
      <c r="G492" s="35" t="s">
        <v>132</v>
      </c>
      <c r="H492" s="35" t="str">
        <f>IFERROR(_xlfn.XLOOKUP(Table6[[#This Row],[Affected WTG]],'Basic Data'!$A:$A,'Basic Data'!$B:$B),"")</f>
        <v>TQGXIIPL</v>
      </c>
      <c r="I492" s="35" t="str">
        <f>IFERROR(_xlfn.XLOOKUP(Table6[[#This Row],[Affected WTG]],'Basic Data'!$A:$A,'Basic Data'!$C:$C),"")</f>
        <v>GEDA</v>
      </c>
      <c r="J492" s="260">
        <f>IFERROR(_xlfn.XLOOKUP(Table6[[#This Row],[Affected WTG]],'Basic Data'!$A:$A,'Basic Data'!$E:$E),"")</f>
        <v>3.846153846153845E-2</v>
      </c>
      <c r="K492" s="102">
        <v>2355</v>
      </c>
      <c r="L492" s="35" t="str">
        <f>IFERROR(_xlfn.XLOOKUP(Table6[[#This Row],[Error Code]],'Basic Data'!$AA:$AA,'Basic Data'!$AB:$AB),"Incorrect Error Code")</f>
        <v>Temp. rot.br.pad high</v>
      </c>
      <c r="M492" s="35" t="s">
        <v>266</v>
      </c>
      <c r="N492" s="264"/>
      <c r="O492" s="265">
        <v>0.94513888888888886</v>
      </c>
      <c r="P492" s="265">
        <v>0.94513888888888886</v>
      </c>
      <c r="Q492" s="266">
        <v>0.95416666666666672</v>
      </c>
      <c r="R492" s="261">
        <f>IF(Table6[[#This Row],[Work Start TimeStamp]]="","",(Table6[[#This Row],[Work Start TimeStamp]]-Table6[[#This Row],[Fault Start TimeStamp]])*24)</f>
        <v>0</v>
      </c>
      <c r="S492" s="261">
        <f>(Table6[[#This Row],[Fault Clearance time]]-Table6[[#This Row],[Work Start TimeStamp]])*24</f>
        <v>0.21666666666666856</v>
      </c>
      <c r="T492" s="261">
        <f>(Table6[[#This Row],[Fault Clearance time]]-Table6[[#This Row],[Fault Start TimeStamp]])*24</f>
        <v>0.21666666666666856</v>
      </c>
      <c r="U492" s="35" t="s">
        <v>313</v>
      </c>
      <c r="V492" s="102" t="s">
        <v>268</v>
      </c>
      <c r="W492" s="267">
        <f>IFERROR(Table6[[#This Row],[Breakdown Time]]*Table6[[#This Row],[Plant Equivalent Weightage]],"")</f>
        <v>8.3333333333334043E-3</v>
      </c>
      <c r="X492" s="262" t="s">
        <v>269</v>
      </c>
      <c r="Y492" s="263" t="s">
        <v>120</v>
      </c>
      <c r="Z492" s="102">
        <v>40195</v>
      </c>
      <c r="AA492" s="257">
        <f>(Table6[[#This Row],[Paired WTG Generation for loss calculation]]/24)*Table6[[#This Row],[Breakdown Time]]</f>
        <v>362.87152777778095</v>
      </c>
      <c r="AB492" s="102"/>
      <c r="AC492" s="35"/>
      <c r="AD492" s="35"/>
    </row>
    <row r="493" spans="1:30">
      <c r="A493" s="102">
        <f t="shared" si="8"/>
        <v>492</v>
      </c>
      <c r="B493" s="257">
        <f>YEAR(Table6[[#This Row],[Date]])+IF(MONTH(Table6[[#This Row],[Date]])&gt;=4,1,0)</f>
        <v>2026</v>
      </c>
      <c r="C493" s="102">
        <f>YEAR(Table6[[#This Row],[Date]])</f>
        <v>2025</v>
      </c>
      <c r="D493" s="102" t="s">
        <v>265</v>
      </c>
      <c r="E493" s="258">
        <f>Table6[[#This Row],[Date]]-DAY(Table6[[#This Row],[Date]])+1</f>
        <v>45748</v>
      </c>
      <c r="F493" s="259">
        <v>45777</v>
      </c>
      <c r="G493" s="35" t="s">
        <v>135</v>
      </c>
      <c r="H493" s="35" t="str">
        <f>IFERROR(_xlfn.XLOOKUP(Table6[[#This Row],[Affected WTG]],'Basic Data'!$A:$A,'Basic Data'!$B:$B),"")</f>
        <v>TQGXIIPL</v>
      </c>
      <c r="I493" s="35" t="str">
        <f>IFERROR(_xlfn.XLOOKUP(Table6[[#This Row],[Affected WTG]],'Basic Data'!$A:$A,'Basic Data'!$C:$C),"")</f>
        <v>GEDA</v>
      </c>
      <c r="J493" s="260">
        <f>IFERROR(_xlfn.XLOOKUP(Table6[[#This Row],[Affected WTG]],'Basic Data'!$A:$A,'Basic Data'!$E:$E),"")</f>
        <v>3.846153846153845E-2</v>
      </c>
      <c r="K493" s="102">
        <v>6130</v>
      </c>
      <c r="L493" s="35" t="str">
        <f>IFERROR(_xlfn.XLOOKUP(Table6[[#This Row],[Error Code]],'Basic Data'!$AA:$AA,'Basic Data'!$AB:$AB),"Incorrect Error Code")</f>
        <v>Yaw speed high</v>
      </c>
      <c r="M493" s="35" t="s">
        <v>278</v>
      </c>
      <c r="N493" s="264"/>
      <c r="O493" s="265">
        <v>0.6645833333333333</v>
      </c>
      <c r="P493" s="265">
        <v>0.6645833333333333</v>
      </c>
      <c r="Q493" s="266">
        <v>0.66874999999999996</v>
      </c>
      <c r="R493" s="261">
        <f>IF(Table6[[#This Row],[Work Start TimeStamp]]="","",(Table6[[#This Row],[Work Start TimeStamp]]-Table6[[#This Row],[Fault Start TimeStamp]])*24)</f>
        <v>0</v>
      </c>
      <c r="S493" s="261">
        <f>(Table6[[#This Row],[Fault Clearance time]]-Table6[[#This Row],[Work Start TimeStamp]])*24</f>
        <v>9.9999999999999645E-2</v>
      </c>
      <c r="T493" s="261">
        <f>(Table6[[#This Row],[Fault Clearance time]]-Table6[[#This Row],[Fault Start TimeStamp]])*24</f>
        <v>9.9999999999999645E-2</v>
      </c>
      <c r="U493" s="35" t="s">
        <v>277</v>
      </c>
      <c r="V493" s="102" t="s">
        <v>268</v>
      </c>
      <c r="W493" s="267">
        <f>IFERROR(Table6[[#This Row],[Breakdown Time]]*Table6[[#This Row],[Plant Equivalent Weightage]],"")</f>
        <v>3.8461538461538312E-3</v>
      </c>
      <c r="X493" s="262" t="s">
        <v>269</v>
      </c>
      <c r="Y493" s="263" t="s">
        <v>120</v>
      </c>
      <c r="Z493" s="102">
        <v>40195</v>
      </c>
      <c r="AA493" s="257">
        <f>(Table6[[#This Row],[Paired WTG Generation for loss calculation]]/24)*Table6[[#This Row],[Breakdown Time]]</f>
        <v>167.47916666666609</v>
      </c>
      <c r="AB493" s="102"/>
      <c r="AC493" s="35"/>
      <c r="AD493" s="35"/>
    </row>
    <row r="494" spans="1:30">
      <c r="A494" s="102">
        <f t="shared" si="8"/>
        <v>493</v>
      </c>
      <c r="B494" s="257">
        <f>YEAR(Table6[[#This Row],[Date]])+IF(MONTH(Table6[[#This Row],[Date]])&gt;=4,1,0)</f>
        <v>2026</v>
      </c>
      <c r="C494" s="102">
        <f>YEAR(Table6[[#This Row],[Date]])</f>
        <v>2025</v>
      </c>
      <c r="D494" s="102" t="s">
        <v>265</v>
      </c>
      <c r="E494" s="258">
        <f>Table6[[#This Row],[Date]]-DAY(Table6[[#This Row],[Date]])+1</f>
        <v>45748</v>
      </c>
      <c r="F494" s="259">
        <v>45777</v>
      </c>
      <c r="G494" s="35" t="s">
        <v>136</v>
      </c>
      <c r="H494" s="35" t="str">
        <f>IFERROR(_xlfn.XLOOKUP(Table6[[#This Row],[Affected WTG]],'Basic Data'!$A:$A,'Basic Data'!$B:$B),"")</f>
        <v>TQGXIIPL</v>
      </c>
      <c r="I494" s="35" t="str">
        <f>IFERROR(_xlfn.XLOOKUP(Table6[[#This Row],[Affected WTG]],'Basic Data'!$A:$A,'Basic Data'!$C:$C),"")</f>
        <v>GEDA</v>
      </c>
      <c r="J494" s="260">
        <f>IFERROR(_xlfn.XLOOKUP(Table6[[#This Row],[Affected WTG]],'Basic Data'!$A:$A,'Basic Data'!$E:$E),"")</f>
        <v>3.846153846153845E-2</v>
      </c>
      <c r="K494" s="102">
        <v>6130</v>
      </c>
      <c r="L494" s="35" t="str">
        <f>IFERROR(_xlfn.XLOOKUP(Table6[[#This Row],[Error Code]],'Basic Data'!$AA:$AA,'Basic Data'!$AB:$AB),"Incorrect Error Code")</f>
        <v>Yaw speed high</v>
      </c>
      <c r="M494" s="35" t="s">
        <v>278</v>
      </c>
      <c r="N494" s="264"/>
      <c r="O494" s="265">
        <v>0.53055555555555556</v>
      </c>
      <c r="P494" s="265">
        <v>0.53055555555555556</v>
      </c>
      <c r="Q494" s="266">
        <v>0.53472222222222221</v>
      </c>
      <c r="R494" s="261">
        <f>IF(Table6[[#This Row],[Work Start TimeStamp]]="","",(Table6[[#This Row],[Work Start TimeStamp]]-Table6[[#This Row],[Fault Start TimeStamp]])*24)</f>
        <v>0</v>
      </c>
      <c r="S494" s="261">
        <f>(Table6[[#This Row],[Fault Clearance time]]-Table6[[#This Row],[Work Start TimeStamp]])*24</f>
        <v>9.9999999999999645E-2</v>
      </c>
      <c r="T494" s="261">
        <f>(Table6[[#This Row],[Fault Clearance time]]-Table6[[#This Row],[Fault Start TimeStamp]])*24</f>
        <v>9.9999999999999645E-2</v>
      </c>
      <c r="U494" s="35" t="s">
        <v>277</v>
      </c>
      <c r="V494" s="102" t="s">
        <v>268</v>
      </c>
      <c r="W494" s="267">
        <f>IFERROR(Table6[[#This Row],[Breakdown Time]]*Table6[[#This Row],[Plant Equivalent Weightage]],"")</f>
        <v>3.8461538461538312E-3</v>
      </c>
      <c r="X494" s="262" t="s">
        <v>269</v>
      </c>
      <c r="Y494" s="263" t="s">
        <v>120</v>
      </c>
      <c r="Z494" s="102">
        <v>40195</v>
      </c>
      <c r="AA494" s="257">
        <f>(Table6[[#This Row],[Paired WTG Generation for loss calculation]]/24)*Table6[[#This Row],[Breakdown Time]]</f>
        <v>167.47916666666609</v>
      </c>
      <c r="AB494" s="102"/>
      <c r="AC494" s="35"/>
      <c r="AD494" s="35"/>
    </row>
    <row r="495" spans="1:30">
      <c r="A495" s="102">
        <f t="shared" si="8"/>
        <v>494</v>
      </c>
      <c r="B495" s="257">
        <f>YEAR(Table6[[#This Row],[Date]])+IF(MONTH(Table6[[#This Row],[Date]])&gt;=4,1,0)</f>
        <v>2026</v>
      </c>
      <c r="C495" s="102">
        <f>YEAR(Table6[[#This Row],[Date]])</f>
        <v>2025</v>
      </c>
      <c r="D495" s="102" t="s">
        <v>265</v>
      </c>
      <c r="E495" s="258">
        <f>Table6[[#This Row],[Date]]-DAY(Table6[[#This Row],[Date]])+1</f>
        <v>45748</v>
      </c>
      <c r="F495" s="259">
        <v>45777</v>
      </c>
      <c r="G495" s="35" t="s">
        <v>136</v>
      </c>
      <c r="H495" s="35" t="str">
        <f>IFERROR(_xlfn.XLOOKUP(Table6[[#This Row],[Affected WTG]],'Basic Data'!$A:$A,'Basic Data'!$B:$B),"")</f>
        <v>TQGXIIPL</v>
      </c>
      <c r="I495" s="35" t="str">
        <f>IFERROR(_xlfn.XLOOKUP(Table6[[#This Row],[Affected WTG]],'Basic Data'!$A:$A,'Basic Data'!$C:$C),"")</f>
        <v>GEDA</v>
      </c>
      <c r="J495" s="260">
        <f>IFERROR(_xlfn.XLOOKUP(Table6[[#This Row],[Affected WTG]],'Basic Data'!$A:$A,'Basic Data'!$E:$E),"")</f>
        <v>3.846153846153845E-2</v>
      </c>
      <c r="K495" s="102">
        <v>6130</v>
      </c>
      <c r="L495" s="35" t="str">
        <f>IFERROR(_xlfn.XLOOKUP(Table6[[#This Row],[Error Code]],'Basic Data'!$AA:$AA,'Basic Data'!$AB:$AB),"Incorrect Error Code")</f>
        <v>Yaw speed high</v>
      </c>
      <c r="M495" s="35" t="s">
        <v>266</v>
      </c>
      <c r="N495" s="264"/>
      <c r="O495" s="265">
        <v>0.61527777777777781</v>
      </c>
      <c r="P495" s="265">
        <v>0.61527777777777781</v>
      </c>
      <c r="Q495" s="266">
        <v>0.61736111111111114</v>
      </c>
      <c r="R495" s="261">
        <f>IF(Table6[[#This Row],[Work Start TimeStamp]]="","",(Table6[[#This Row],[Work Start TimeStamp]]-Table6[[#This Row],[Fault Start TimeStamp]])*24)</f>
        <v>0</v>
      </c>
      <c r="S495" s="261">
        <f>(Table6[[#This Row],[Fault Clearance time]]-Table6[[#This Row],[Work Start TimeStamp]])*24</f>
        <v>4.9999999999999822E-2</v>
      </c>
      <c r="T495" s="261">
        <f>(Table6[[#This Row],[Fault Clearance time]]-Table6[[#This Row],[Fault Start TimeStamp]])*24</f>
        <v>4.9999999999999822E-2</v>
      </c>
      <c r="U495" s="35" t="s">
        <v>267</v>
      </c>
      <c r="V495" s="102" t="s">
        <v>268</v>
      </c>
      <c r="W495" s="267">
        <f>IFERROR(Table6[[#This Row],[Breakdown Time]]*Table6[[#This Row],[Plant Equivalent Weightage]],"")</f>
        <v>1.9230769230769156E-3</v>
      </c>
      <c r="X495" s="262" t="s">
        <v>269</v>
      </c>
      <c r="Y495" s="263" t="s">
        <v>120</v>
      </c>
      <c r="Z495" s="102">
        <v>40195</v>
      </c>
      <c r="AA495" s="257">
        <f>(Table6[[#This Row],[Paired WTG Generation for loss calculation]]/24)*Table6[[#This Row],[Breakdown Time]]</f>
        <v>83.739583333333044</v>
      </c>
      <c r="AB495" s="102"/>
      <c r="AC495" s="35"/>
      <c r="AD495" s="35"/>
    </row>
    <row r="496" spans="1:30">
      <c r="A496" s="102">
        <f t="shared" si="8"/>
        <v>495</v>
      </c>
      <c r="B496" s="257">
        <f>YEAR(Table6[[#This Row],[Date]])+IF(MONTH(Table6[[#This Row],[Date]])&gt;=4,1,0)</f>
        <v>2026</v>
      </c>
      <c r="C496" s="102">
        <f>YEAR(Table6[[#This Row],[Date]])</f>
        <v>2025</v>
      </c>
      <c r="D496" s="102" t="s">
        <v>265</v>
      </c>
      <c r="E496" s="258">
        <f>Table6[[#This Row],[Date]]-DAY(Table6[[#This Row],[Date]])+1</f>
        <v>45748</v>
      </c>
      <c r="F496" s="259">
        <v>45777</v>
      </c>
      <c r="G496" s="35" t="s">
        <v>137</v>
      </c>
      <c r="H496" s="35" t="str">
        <f>IFERROR(_xlfn.XLOOKUP(Table6[[#This Row],[Affected WTG]],'Basic Data'!$A:$A,'Basic Data'!$B:$B),"")</f>
        <v>TQGXIIPL</v>
      </c>
      <c r="I496" s="35" t="str">
        <f>IFERROR(_xlfn.XLOOKUP(Table6[[#This Row],[Affected WTG]],'Basic Data'!$A:$A,'Basic Data'!$C:$C),"")</f>
        <v>GEDA</v>
      </c>
      <c r="J496" s="260">
        <f>IFERROR(_xlfn.XLOOKUP(Table6[[#This Row],[Affected WTG]],'Basic Data'!$A:$A,'Basic Data'!$E:$E),"")</f>
        <v>3.846153846153845E-2</v>
      </c>
      <c r="K496" s="102">
        <v>55</v>
      </c>
      <c r="L496" s="35" t="str">
        <f>IFERROR(_xlfn.XLOOKUP(Table6[[#This Row],[Error Code]],'Basic Data'!$AA:$AA,'Basic Data'!$AB:$AB),"Incorrect Error Code")</f>
        <v>WTG shut down</v>
      </c>
      <c r="M496" s="35" t="s">
        <v>266</v>
      </c>
      <c r="N496" s="264"/>
      <c r="O496" s="265">
        <v>0.65208333333333335</v>
      </c>
      <c r="P496" s="265">
        <v>0.65208333333333335</v>
      </c>
      <c r="Q496" s="266">
        <v>0.67708333333333337</v>
      </c>
      <c r="R496" s="261">
        <f>IF(Table6[[#This Row],[Work Start TimeStamp]]="","",(Table6[[#This Row],[Work Start TimeStamp]]-Table6[[#This Row],[Fault Start TimeStamp]])*24)</f>
        <v>0</v>
      </c>
      <c r="S496" s="261">
        <f>(Table6[[#This Row],[Fault Clearance time]]-Table6[[#This Row],[Work Start TimeStamp]])*24</f>
        <v>0.60000000000000053</v>
      </c>
      <c r="T496" s="261">
        <f>(Table6[[#This Row],[Fault Clearance time]]-Table6[[#This Row],[Fault Start TimeStamp]])*24</f>
        <v>0.60000000000000053</v>
      </c>
      <c r="U496" s="35" t="s">
        <v>361</v>
      </c>
      <c r="V496" s="102" t="s">
        <v>268</v>
      </c>
      <c r="W496" s="267">
        <f>IFERROR(Table6[[#This Row],[Breakdown Time]]*Table6[[#This Row],[Plant Equivalent Weightage]],"")</f>
        <v>2.3076923076923092E-2</v>
      </c>
      <c r="X496" s="262" t="s">
        <v>296</v>
      </c>
      <c r="Y496" s="263" t="s">
        <v>125</v>
      </c>
      <c r="Z496" s="102">
        <v>39981</v>
      </c>
      <c r="AA496" s="257">
        <f>(Table6[[#This Row],[Paired WTG Generation for loss calculation]]/24)*Table6[[#This Row],[Breakdown Time]]</f>
        <v>999.52500000000089</v>
      </c>
      <c r="AB496" s="102"/>
      <c r="AC496" s="35"/>
      <c r="AD496" s="35"/>
    </row>
    <row r="497" spans="1:30">
      <c r="A497" s="102">
        <f t="shared" si="8"/>
        <v>496</v>
      </c>
      <c r="B497" s="257">
        <f>YEAR(Table6[[#This Row],[Date]])+IF(MONTH(Table6[[#This Row],[Date]])&gt;=4,1,0)</f>
        <v>2026</v>
      </c>
      <c r="C497" s="102">
        <f>YEAR(Table6[[#This Row],[Date]])</f>
        <v>2025</v>
      </c>
      <c r="D497" s="102" t="s">
        <v>265</v>
      </c>
      <c r="E497" s="258">
        <f>Table6[[#This Row],[Date]]-DAY(Table6[[#This Row],[Date]])+1</f>
        <v>45748</v>
      </c>
      <c r="F497" s="259">
        <v>45777</v>
      </c>
      <c r="G497" s="35" t="s">
        <v>139</v>
      </c>
      <c r="H497" s="35" t="str">
        <f>IFERROR(_xlfn.XLOOKUP(Table6[[#This Row],[Affected WTG]],'Basic Data'!$A:$A,'Basic Data'!$B:$B),"")</f>
        <v>TQGXIIPL</v>
      </c>
      <c r="I497" s="35" t="str">
        <f>IFERROR(_xlfn.XLOOKUP(Table6[[#This Row],[Affected WTG]],'Basic Data'!$A:$A,'Basic Data'!$C:$C),"")</f>
        <v>GEDA</v>
      </c>
      <c r="J497" s="260">
        <f>IFERROR(_xlfn.XLOOKUP(Table6[[#This Row],[Affected WTG]],'Basic Data'!$A:$A,'Basic Data'!$E:$E),"")</f>
        <v>3.846153846153845E-2</v>
      </c>
      <c r="K497" s="102">
        <v>55</v>
      </c>
      <c r="L497" s="35" t="str">
        <f>IFERROR(_xlfn.XLOOKUP(Table6[[#This Row],[Error Code]],'Basic Data'!$AA:$AA,'Basic Data'!$AB:$AB),"Incorrect Error Code")</f>
        <v>WTG shut down</v>
      </c>
      <c r="M497" s="35" t="s">
        <v>300</v>
      </c>
      <c r="N497" s="264"/>
      <c r="O497" s="265">
        <v>0</v>
      </c>
      <c r="P497" s="265">
        <v>0</v>
      </c>
      <c r="Q497" s="266">
        <v>1.6666666666666666E-2</v>
      </c>
      <c r="R497" s="261">
        <f>IF(Table6[[#This Row],[Work Start TimeStamp]]="","",(Table6[[#This Row],[Work Start TimeStamp]]-Table6[[#This Row],[Fault Start TimeStamp]])*24)</f>
        <v>0</v>
      </c>
      <c r="S497" s="261">
        <f>(Table6[[#This Row],[Fault Clearance time]]-Table6[[#This Row],[Work Start TimeStamp]])*24</f>
        <v>0.4</v>
      </c>
      <c r="T497" s="261">
        <f>(Table6[[#This Row],[Fault Clearance time]]-Table6[[#This Row],[Fault Start TimeStamp]])*24</f>
        <v>0.4</v>
      </c>
      <c r="U497" s="35" t="s">
        <v>385</v>
      </c>
      <c r="V497" s="102" t="s">
        <v>268</v>
      </c>
      <c r="W497" s="267">
        <f>IFERROR(Table6[[#This Row],[Breakdown Time]]*Table6[[#This Row],[Plant Equivalent Weightage]],"")</f>
        <v>1.538461538461538E-2</v>
      </c>
      <c r="X497" s="262" t="s">
        <v>296</v>
      </c>
      <c r="Y497" s="263" t="s">
        <v>115</v>
      </c>
      <c r="Z497" s="102">
        <v>30766</v>
      </c>
      <c r="AA497" s="257">
        <f>(Table6[[#This Row],[Paired WTG Generation for loss calculation]]/24)*Table6[[#This Row],[Breakdown Time]]</f>
        <v>512.76666666666677</v>
      </c>
      <c r="AB497" s="102"/>
      <c r="AC497" s="35"/>
      <c r="AD497" s="35"/>
    </row>
    <row r="498" spans="1:30">
      <c r="A498" s="102">
        <f t="shared" si="8"/>
        <v>497</v>
      </c>
      <c r="B498" s="257">
        <f>YEAR(Table6[[#This Row],[Date]])+IF(MONTH(Table6[[#This Row],[Date]])&gt;=4,1,0)</f>
        <v>2026</v>
      </c>
      <c r="C498" s="102">
        <f>YEAR(Table6[[#This Row],[Date]])</f>
        <v>2025</v>
      </c>
      <c r="D498" s="102" t="s">
        <v>265</v>
      </c>
      <c r="E498" s="258">
        <f>Table6[[#This Row],[Date]]-DAY(Table6[[#This Row],[Date]])+1</f>
        <v>45748</v>
      </c>
      <c r="F498" s="259">
        <v>45777</v>
      </c>
      <c r="G498" s="35" t="s">
        <v>139</v>
      </c>
      <c r="H498" s="35" t="str">
        <f>IFERROR(_xlfn.XLOOKUP(Table6[[#This Row],[Affected WTG]],'Basic Data'!$A:$A,'Basic Data'!$B:$B),"")</f>
        <v>TQGXIIPL</v>
      </c>
      <c r="I498" s="35" t="str">
        <f>IFERROR(_xlfn.XLOOKUP(Table6[[#This Row],[Affected WTG]],'Basic Data'!$A:$A,'Basic Data'!$C:$C),"")</f>
        <v>GEDA</v>
      </c>
      <c r="J498" s="260">
        <f>IFERROR(_xlfn.XLOOKUP(Table6[[#This Row],[Affected WTG]],'Basic Data'!$A:$A,'Basic Data'!$E:$E),"")</f>
        <v>3.846153846153845E-2</v>
      </c>
      <c r="K498" s="102">
        <v>55</v>
      </c>
      <c r="L498" s="35" t="str">
        <f>IFERROR(_xlfn.XLOOKUP(Table6[[#This Row],[Error Code]],'Basic Data'!$AA:$AA,'Basic Data'!$AB:$AB),"Incorrect Error Code")</f>
        <v>WTG shut down</v>
      </c>
      <c r="M498" s="35" t="s">
        <v>300</v>
      </c>
      <c r="N498" s="264"/>
      <c r="O498" s="265">
        <v>0.74444444444444446</v>
      </c>
      <c r="P498" s="265">
        <v>0.74444444444444446</v>
      </c>
      <c r="Q498" s="266">
        <v>0.81319444444444444</v>
      </c>
      <c r="R498" s="261">
        <f>IF(Table6[[#This Row],[Work Start TimeStamp]]="","",(Table6[[#This Row],[Work Start TimeStamp]]-Table6[[#This Row],[Fault Start TimeStamp]])*24)</f>
        <v>0</v>
      </c>
      <c r="S498" s="261">
        <f>(Table6[[#This Row],[Fault Clearance time]]-Table6[[#This Row],[Work Start TimeStamp]])*24</f>
        <v>1.6499999999999995</v>
      </c>
      <c r="T498" s="261">
        <f>(Table6[[#This Row],[Fault Clearance time]]-Table6[[#This Row],[Fault Start TimeStamp]])*24</f>
        <v>1.6499999999999995</v>
      </c>
      <c r="U498" s="35" t="s">
        <v>385</v>
      </c>
      <c r="V498" s="102" t="s">
        <v>268</v>
      </c>
      <c r="W498" s="267">
        <f>IFERROR(Table6[[#This Row],[Breakdown Time]]*Table6[[#This Row],[Plant Equivalent Weightage]],"")</f>
        <v>6.3461538461538416E-2</v>
      </c>
      <c r="X498" s="262" t="s">
        <v>296</v>
      </c>
      <c r="Y498" s="263" t="s">
        <v>115</v>
      </c>
      <c r="Z498" s="102">
        <v>30766</v>
      </c>
      <c r="AA498" s="257">
        <f>(Table6[[#This Row],[Paired WTG Generation for loss calculation]]/24)*Table6[[#This Row],[Breakdown Time]]</f>
        <v>2115.1624999999995</v>
      </c>
      <c r="AB498" s="102"/>
      <c r="AC498" s="35"/>
      <c r="AD498" s="35"/>
    </row>
    <row r="499" spans="1:30">
      <c r="A499" s="102">
        <f t="shared" si="8"/>
        <v>498</v>
      </c>
      <c r="B499" s="257">
        <f>YEAR(Table6[[#This Row],[Date]])+IF(MONTH(Table6[[#This Row],[Date]])&gt;=4,1,0)</f>
        <v>2026</v>
      </c>
      <c r="C499" s="102">
        <f>YEAR(Table6[[#This Row],[Date]])</f>
        <v>2025</v>
      </c>
      <c r="D499" s="102" t="s">
        <v>265</v>
      </c>
      <c r="E499" s="258">
        <f>Table6[[#This Row],[Date]]-DAY(Table6[[#This Row],[Date]])+1</f>
        <v>45748</v>
      </c>
      <c r="F499" s="259">
        <v>45777</v>
      </c>
      <c r="G499" s="35" t="s">
        <v>140</v>
      </c>
      <c r="H499" s="35" t="str">
        <f>IFERROR(_xlfn.XLOOKUP(Table6[[#This Row],[Affected WTG]],'Basic Data'!$A:$A,'Basic Data'!$B:$B),"")</f>
        <v>TQGXIIPL</v>
      </c>
      <c r="I499" s="35" t="str">
        <f>IFERROR(_xlfn.XLOOKUP(Table6[[#This Row],[Affected WTG]],'Basic Data'!$A:$A,'Basic Data'!$C:$C),"")</f>
        <v>GEDA</v>
      </c>
      <c r="J499" s="260">
        <f>IFERROR(_xlfn.XLOOKUP(Table6[[#This Row],[Affected WTG]],'Basic Data'!$A:$A,'Basic Data'!$E:$E),"")</f>
        <v>3.846153846153845E-2</v>
      </c>
      <c r="K499" s="102">
        <v>55</v>
      </c>
      <c r="L499" s="35" t="str">
        <f>IFERROR(_xlfn.XLOOKUP(Table6[[#This Row],[Error Code]],'Basic Data'!$AA:$AA,'Basic Data'!$AB:$AB),"Incorrect Error Code")</f>
        <v>WTG shut down</v>
      </c>
      <c r="M499" s="35" t="s">
        <v>266</v>
      </c>
      <c r="N499" s="264"/>
      <c r="O499" s="265">
        <v>0.49791666666666667</v>
      </c>
      <c r="P499" s="265">
        <v>0.49791666666666667</v>
      </c>
      <c r="Q499" s="266">
        <v>0.51180555555555551</v>
      </c>
      <c r="R499" s="261">
        <f>IF(Table6[[#This Row],[Work Start TimeStamp]]="","",(Table6[[#This Row],[Work Start TimeStamp]]-Table6[[#This Row],[Fault Start TimeStamp]])*24)</f>
        <v>0</v>
      </c>
      <c r="S499" s="261">
        <f>(Table6[[#This Row],[Fault Clearance time]]-Table6[[#This Row],[Work Start TimeStamp]])*24</f>
        <v>0.33333333333333215</v>
      </c>
      <c r="T499" s="261">
        <f>(Table6[[#This Row],[Fault Clearance time]]-Table6[[#This Row],[Fault Start TimeStamp]])*24</f>
        <v>0.33333333333333215</v>
      </c>
      <c r="U499" s="35" t="s">
        <v>361</v>
      </c>
      <c r="V499" s="102" t="s">
        <v>268</v>
      </c>
      <c r="W499" s="267">
        <f>IFERROR(Table6[[#This Row],[Breakdown Time]]*Table6[[#This Row],[Plant Equivalent Weightage]],"")</f>
        <v>1.2820512820512771E-2</v>
      </c>
      <c r="X499" s="262" t="s">
        <v>296</v>
      </c>
      <c r="Y499" s="263" t="s">
        <v>115</v>
      </c>
      <c r="Z499" s="102">
        <v>30766</v>
      </c>
      <c r="AA499" s="257">
        <f>(Table6[[#This Row],[Paired WTG Generation for loss calculation]]/24)*Table6[[#This Row],[Breakdown Time]]</f>
        <v>427.30555555555406</v>
      </c>
      <c r="AB499" s="102"/>
      <c r="AC499" s="35"/>
      <c r="AD499" s="35"/>
    </row>
    <row r="500" spans="1:30">
      <c r="A500" s="102">
        <f t="shared" si="8"/>
        <v>499</v>
      </c>
      <c r="B500" s="257">
        <f>YEAR(Table6[[#This Row],[Date]])+IF(MONTH(Table6[[#This Row],[Date]])&gt;=4,1,0)</f>
        <v>2026</v>
      </c>
      <c r="C500" s="102">
        <f>YEAR(Table6[[#This Row],[Date]])</f>
        <v>2025</v>
      </c>
      <c r="D500" s="102" t="s">
        <v>265</v>
      </c>
      <c r="E500" s="258">
        <f>Table6[[#This Row],[Date]]-DAY(Table6[[#This Row],[Date]])+1</f>
        <v>45748</v>
      </c>
      <c r="F500" s="259">
        <v>45777</v>
      </c>
      <c r="G500" s="35" t="s">
        <v>140</v>
      </c>
      <c r="H500" s="35" t="str">
        <f>IFERROR(_xlfn.XLOOKUP(Table6[[#This Row],[Affected WTG]],'Basic Data'!$A:$A,'Basic Data'!$B:$B),"")</f>
        <v>TQGXIIPL</v>
      </c>
      <c r="I500" s="35" t="str">
        <f>IFERROR(_xlfn.XLOOKUP(Table6[[#This Row],[Affected WTG]],'Basic Data'!$A:$A,'Basic Data'!$C:$C),"")</f>
        <v>GEDA</v>
      </c>
      <c r="J500" s="260">
        <f>IFERROR(_xlfn.XLOOKUP(Table6[[#This Row],[Affected WTG]],'Basic Data'!$A:$A,'Basic Data'!$E:$E),"")</f>
        <v>3.846153846153845E-2</v>
      </c>
      <c r="K500" s="102">
        <v>6130</v>
      </c>
      <c r="L500" s="35" t="str">
        <f>IFERROR(_xlfn.XLOOKUP(Table6[[#This Row],[Error Code]],'Basic Data'!$AA:$AA,'Basic Data'!$AB:$AB),"Incorrect Error Code")</f>
        <v>Yaw speed high</v>
      </c>
      <c r="M500" s="35" t="s">
        <v>266</v>
      </c>
      <c r="N500" s="264"/>
      <c r="O500" s="265">
        <v>0.56527777777777777</v>
      </c>
      <c r="P500" s="265">
        <v>0.56527777777777777</v>
      </c>
      <c r="Q500" s="266">
        <v>0.57361111111111107</v>
      </c>
      <c r="R500" s="261">
        <f>IF(Table6[[#This Row],[Work Start TimeStamp]]="","",(Table6[[#This Row],[Work Start TimeStamp]]-Table6[[#This Row],[Fault Start TimeStamp]])*24)</f>
        <v>0</v>
      </c>
      <c r="S500" s="261">
        <f>(Table6[[#This Row],[Fault Clearance time]]-Table6[[#This Row],[Work Start TimeStamp]])*24</f>
        <v>0.19999999999999929</v>
      </c>
      <c r="T500" s="261">
        <f>(Table6[[#This Row],[Fault Clearance time]]-Table6[[#This Row],[Fault Start TimeStamp]])*24</f>
        <v>0.19999999999999929</v>
      </c>
      <c r="U500" s="35" t="s">
        <v>267</v>
      </c>
      <c r="V500" s="102" t="s">
        <v>268</v>
      </c>
      <c r="W500" s="267">
        <f>IFERROR(Table6[[#This Row],[Breakdown Time]]*Table6[[#This Row],[Plant Equivalent Weightage]],"")</f>
        <v>7.6923076923076624E-3</v>
      </c>
      <c r="X500" s="262" t="s">
        <v>269</v>
      </c>
      <c r="Y500" s="263" t="s">
        <v>115</v>
      </c>
      <c r="Z500" s="102">
        <v>30766</v>
      </c>
      <c r="AA500" s="257">
        <f>(Table6[[#This Row],[Paired WTG Generation for loss calculation]]/24)*Table6[[#This Row],[Breakdown Time]]</f>
        <v>256.38333333333242</v>
      </c>
      <c r="AB500" s="102"/>
      <c r="AC500" s="35"/>
      <c r="AD500" s="35"/>
    </row>
    <row r="501" spans="1:30">
      <c r="A501" s="102">
        <f t="shared" si="8"/>
        <v>500</v>
      </c>
      <c r="B501" s="257">
        <f>YEAR(Table6[[#This Row],[Date]])+IF(MONTH(Table6[[#This Row],[Date]])&gt;=4,1,0)</f>
        <v>2026</v>
      </c>
      <c r="C501" s="102">
        <f>YEAR(Table6[[#This Row],[Date]])</f>
        <v>2025</v>
      </c>
      <c r="D501" s="102" t="s">
        <v>265</v>
      </c>
      <c r="E501" s="258">
        <f>Table6[[#This Row],[Date]]-DAY(Table6[[#This Row],[Date]])+1</f>
        <v>45778</v>
      </c>
      <c r="F501" s="259">
        <v>45778</v>
      </c>
      <c r="G501" s="35" t="s">
        <v>118</v>
      </c>
      <c r="H501" s="35" t="str">
        <f>IFERROR(_xlfn.XLOOKUP(Table6[[#This Row],[Affected WTG]],'Basic Data'!$A:$A,'Basic Data'!$B:$B),"")</f>
        <v>TQGXIIPL</v>
      </c>
      <c r="I501" s="35" t="str">
        <f>IFERROR(_xlfn.XLOOKUP(Table6[[#This Row],[Affected WTG]],'Basic Data'!$A:$A,'Basic Data'!$C:$C),"")</f>
        <v>GEDA</v>
      </c>
      <c r="J501" s="260">
        <f>IFERROR(_xlfn.XLOOKUP(Table6[[#This Row],[Affected WTG]],'Basic Data'!$A:$A,'Basic Data'!$E:$E),"")</f>
        <v>3.846153846153845E-2</v>
      </c>
      <c r="K501" s="102">
        <v>6130</v>
      </c>
      <c r="L501" s="35" t="str">
        <f>IFERROR(_xlfn.XLOOKUP(Table6[[#This Row],[Error Code]],'Basic Data'!$AA:$AA,'Basic Data'!$AB:$AB),"Incorrect Error Code")</f>
        <v>Yaw speed high</v>
      </c>
      <c r="M501" s="35" t="s">
        <v>278</v>
      </c>
      <c r="N501" s="264"/>
      <c r="O501" s="265">
        <v>0.60833333333333328</v>
      </c>
      <c r="P501" s="265">
        <v>0.60833333333333328</v>
      </c>
      <c r="Q501" s="266">
        <v>0.61250000000000004</v>
      </c>
      <c r="R501" s="261">
        <f>IF(Table6[[#This Row],[Work Start TimeStamp]]="","",(Table6[[#This Row],[Work Start TimeStamp]]-Table6[[#This Row],[Fault Start TimeStamp]])*24)</f>
        <v>0</v>
      </c>
      <c r="S501" s="261">
        <f>(Table6[[#This Row],[Fault Clearance time]]-Table6[[#This Row],[Work Start TimeStamp]])*24</f>
        <v>0.10000000000000231</v>
      </c>
      <c r="T501" s="261">
        <f>(Table6[[#This Row],[Fault Clearance time]]-Table6[[#This Row],[Fault Start TimeStamp]])*24</f>
        <v>0.10000000000000231</v>
      </c>
      <c r="U501" s="35" t="s">
        <v>277</v>
      </c>
      <c r="V501" s="102" t="s">
        <v>268</v>
      </c>
      <c r="W501" s="267">
        <f>IFERROR(Table6[[#This Row],[Breakdown Time]]*Table6[[#This Row],[Plant Equivalent Weightage]],"")</f>
        <v>3.846153846153934E-3</v>
      </c>
      <c r="X501" s="262" t="s">
        <v>269</v>
      </c>
      <c r="Y501" s="263" t="s">
        <v>121</v>
      </c>
      <c r="Z501" s="102">
        <v>45834</v>
      </c>
      <c r="AA501" s="257">
        <f>(Table6[[#This Row],[Paired WTG Generation for loss calculation]]/24)*Table6[[#This Row],[Breakdown Time]]</f>
        <v>190.9750000000044</v>
      </c>
      <c r="AB501" s="102"/>
      <c r="AC501" s="35"/>
      <c r="AD501" s="35"/>
    </row>
    <row r="502" spans="1:30">
      <c r="A502" s="102">
        <f t="shared" si="8"/>
        <v>501</v>
      </c>
      <c r="B502" s="257">
        <f>YEAR(Table6[[#This Row],[Date]])+IF(MONTH(Table6[[#This Row],[Date]])&gt;=4,1,0)</f>
        <v>2026</v>
      </c>
      <c r="C502" s="102">
        <f>YEAR(Table6[[#This Row],[Date]])</f>
        <v>2025</v>
      </c>
      <c r="D502" s="102" t="s">
        <v>265</v>
      </c>
      <c r="E502" s="258">
        <f>Table6[[#This Row],[Date]]-DAY(Table6[[#This Row],[Date]])+1</f>
        <v>45778</v>
      </c>
      <c r="F502" s="259">
        <v>45778</v>
      </c>
      <c r="G502" s="35" t="s">
        <v>119</v>
      </c>
      <c r="H502" s="35" t="str">
        <f>IFERROR(_xlfn.XLOOKUP(Table6[[#This Row],[Affected WTG]],'Basic Data'!$A:$A,'Basic Data'!$B:$B),"")</f>
        <v>TQGXIIPL</v>
      </c>
      <c r="I502" s="35" t="str">
        <f>IFERROR(_xlfn.XLOOKUP(Table6[[#This Row],[Affected WTG]],'Basic Data'!$A:$A,'Basic Data'!$C:$C),"")</f>
        <v>GEDA</v>
      </c>
      <c r="J502" s="260">
        <f>IFERROR(_xlfn.XLOOKUP(Table6[[#This Row],[Affected WTG]],'Basic Data'!$A:$A,'Basic Data'!$E:$E),"")</f>
        <v>3.846153846153845E-2</v>
      </c>
      <c r="K502" s="102">
        <v>55</v>
      </c>
      <c r="L502" s="35" t="str">
        <f>IFERROR(_xlfn.XLOOKUP(Table6[[#This Row],[Error Code]],'Basic Data'!$AA:$AA,'Basic Data'!$AB:$AB),"Incorrect Error Code")</f>
        <v>WTG shut down</v>
      </c>
      <c r="M502" s="35" t="s">
        <v>266</v>
      </c>
      <c r="N502" s="264"/>
      <c r="O502" s="265">
        <v>0.44513888888888886</v>
      </c>
      <c r="P502" s="265">
        <v>0.44513888888888886</v>
      </c>
      <c r="Q502" s="266">
        <v>0.47569444444444442</v>
      </c>
      <c r="R502" s="261">
        <f>IF(Table6[[#This Row],[Work Start TimeStamp]]="","",(Table6[[#This Row],[Work Start TimeStamp]]-Table6[[#This Row],[Fault Start TimeStamp]])*24)</f>
        <v>0</v>
      </c>
      <c r="S502" s="261">
        <f>(Table6[[#This Row],[Fault Clearance time]]-Table6[[#This Row],[Work Start TimeStamp]])*24</f>
        <v>0.73333333333333339</v>
      </c>
      <c r="T502" s="261">
        <f>(Table6[[#This Row],[Fault Clearance time]]-Table6[[#This Row],[Fault Start TimeStamp]])*24</f>
        <v>0.73333333333333339</v>
      </c>
      <c r="U502" s="35" t="s">
        <v>361</v>
      </c>
      <c r="V502" s="102" t="s">
        <v>268</v>
      </c>
      <c r="W502" s="267">
        <f>IFERROR(Table6[[#This Row],[Breakdown Time]]*Table6[[#This Row],[Plant Equivalent Weightage]],"")</f>
        <v>2.8205128205128199E-2</v>
      </c>
      <c r="X502" s="262" t="s">
        <v>296</v>
      </c>
      <c r="Y502" s="263" t="s">
        <v>116</v>
      </c>
      <c r="Z502" s="102">
        <v>49670</v>
      </c>
      <c r="AA502" s="257">
        <f>(Table6[[#This Row],[Paired WTG Generation for loss calculation]]/24)*Table6[[#This Row],[Breakdown Time]]</f>
        <v>1517.6944444444446</v>
      </c>
      <c r="AB502" s="102"/>
      <c r="AC502" s="35"/>
      <c r="AD502" s="35"/>
    </row>
    <row r="503" spans="1:30">
      <c r="A503" s="102">
        <f t="shared" si="8"/>
        <v>502</v>
      </c>
      <c r="B503" s="257">
        <f>YEAR(Table6[[#This Row],[Date]])+IF(MONTH(Table6[[#This Row],[Date]])&gt;=4,1,0)</f>
        <v>2026</v>
      </c>
      <c r="C503" s="102">
        <f>YEAR(Table6[[#This Row],[Date]])</f>
        <v>2025</v>
      </c>
      <c r="D503" s="102" t="s">
        <v>265</v>
      </c>
      <c r="E503" s="258">
        <f>Table6[[#This Row],[Date]]-DAY(Table6[[#This Row],[Date]])+1</f>
        <v>45778</v>
      </c>
      <c r="F503" s="259">
        <v>45778</v>
      </c>
      <c r="G503" s="35" t="s">
        <v>119</v>
      </c>
      <c r="H503" s="35" t="str">
        <f>IFERROR(_xlfn.XLOOKUP(Table6[[#This Row],[Affected WTG]],'Basic Data'!$A:$A,'Basic Data'!$B:$B),"")</f>
        <v>TQGXIIPL</v>
      </c>
      <c r="I503" s="35" t="str">
        <f>IFERROR(_xlfn.XLOOKUP(Table6[[#This Row],[Affected WTG]],'Basic Data'!$A:$A,'Basic Data'!$C:$C),"")</f>
        <v>GEDA</v>
      </c>
      <c r="J503" s="260">
        <f>IFERROR(_xlfn.XLOOKUP(Table6[[#This Row],[Affected WTG]],'Basic Data'!$A:$A,'Basic Data'!$E:$E),"")</f>
        <v>3.846153846153845E-2</v>
      </c>
      <c r="K503" s="102">
        <v>6130</v>
      </c>
      <c r="L503" s="35" t="str">
        <f>IFERROR(_xlfn.XLOOKUP(Table6[[#This Row],[Error Code]],'Basic Data'!$AA:$AA,'Basic Data'!$AB:$AB),"Incorrect Error Code")</f>
        <v>Yaw speed high</v>
      </c>
      <c r="M503" s="35" t="s">
        <v>266</v>
      </c>
      <c r="N503" s="264"/>
      <c r="O503" s="265">
        <v>0.61944444444444446</v>
      </c>
      <c r="P503" s="265">
        <v>0.61944444444444446</v>
      </c>
      <c r="Q503" s="266">
        <v>0.62083333333333335</v>
      </c>
      <c r="R503" s="261">
        <f>IF(Table6[[#This Row],[Work Start TimeStamp]]="","",(Table6[[#This Row],[Work Start TimeStamp]]-Table6[[#This Row],[Fault Start TimeStamp]])*24)</f>
        <v>0</v>
      </c>
      <c r="S503" s="261">
        <f>(Table6[[#This Row],[Fault Clearance time]]-Table6[[#This Row],[Work Start TimeStamp]])*24</f>
        <v>3.3333333333333215E-2</v>
      </c>
      <c r="T503" s="261">
        <f>(Table6[[#This Row],[Fault Clearance time]]-Table6[[#This Row],[Fault Start TimeStamp]])*24</f>
        <v>3.3333333333333215E-2</v>
      </c>
      <c r="U503" s="35" t="s">
        <v>267</v>
      </c>
      <c r="V503" s="102" t="s">
        <v>268</v>
      </c>
      <c r="W503" s="267">
        <f>IFERROR(Table6[[#This Row],[Breakdown Time]]*Table6[[#This Row],[Plant Equivalent Weightage]],"")</f>
        <v>1.2820512820512771E-3</v>
      </c>
      <c r="X503" s="262" t="s">
        <v>269</v>
      </c>
      <c r="Y503" s="263" t="s">
        <v>116</v>
      </c>
      <c r="Z503" s="102">
        <v>49670</v>
      </c>
      <c r="AA503" s="257">
        <f>(Table6[[#This Row],[Paired WTG Generation for loss calculation]]/24)*Table6[[#This Row],[Breakdown Time]]</f>
        <v>68.986111111110873</v>
      </c>
      <c r="AB503" s="102"/>
      <c r="AC503" s="35"/>
      <c r="AD503" s="35"/>
    </row>
    <row r="504" spans="1:30">
      <c r="A504" s="102">
        <f t="shared" si="8"/>
        <v>503</v>
      </c>
      <c r="B504" s="257">
        <f>YEAR(Table6[[#This Row],[Date]])+IF(MONTH(Table6[[#This Row],[Date]])&gt;=4,1,0)</f>
        <v>2026</v>
      </c>
      <c r="C504" s="102">
        <f>YEAR(Table6[[#This Row],[Date]])</f>
        <v>2025</v>
      </c>
      <c r="D504" s="102" t="s">
        <v>265</v>
      </c>
      <c r="E504" s="258">
        <f>Table6[[#This Row],[Date]]-DAY(Table6[[#This Row],[Date]])+1</f>
        <v>45778</v>
      </c>
      <c r="F504" s="259">
        <v>45778</v>
      </c>
      <c r="G504" s="35" t="s">
        <v>122</v>
      </c>
      <c r="H504" s="35" t="str">
        <f>IFERROR(_xlfn.XLOOKUP(Table6[[#This Row],[Affected WTG]],'Basic Data'!$A:$A,'Basic Data'!$B:$B),"")</f>
        <v>TQGXIIPL</v>
      </c>
      <c r="I504" s="35" t="str">
        <f>IFERROR(_xlfn.XLOOKUP(Table6[[#This Row],[Affected WTG]],'Basic Data'!$A:$A,'Basic Data'!$C:$C),"")</f>
        <v>GEDA</v>
      </c>
      <c r="J504" s="260">
        <f>IFERROR(_xlfn.XLOOKUP(Table6[[#This Row],[Affected WTG]],'Basic Data'!$A:$A,'Basic Data'!$E:$E),"")</f>
        <v>3.846153846153845E-2</v>
      </c>
      <c r="K504" s="102">
        <v>6130</v>
      </c>
      <c r="L504" s="35" t="str">
        <f>IFERROR(_xlfn.XLOOKUP(Table6[[#This Row],[Error Code]],'Basic Data'!$AA:$AA,'Basic Data'!$AB:$AB),"Incorrect Error Code")</f>
        <v>Yaw speed high</v>
      </c>
      <c r="M504" s="35" t="s">
        <v>278</v>
      </c>
      <c r="N504" s="264"/>
      <c r="O504" s="265">
        <v>0.60069444444444442</v>
      </c>
      <c r="P504" s="265">
        <v>0.60069444444444442</v>
      </c>
      <c r="Q504" s="266">
        <v>0.60486111111111107</v>
      </c>
      <c r="R504" s="261">
        <f>IF(Table6[[#This Row],[Work Start TimeStamp]]="","",(Table6[[#This Row],[Work Start TimeStamp]]-Table6[[#This Row],[Fault Start TimeStamp]])*24)</f>
        <v>0</v>
      </c>
      <c r="S504" s="261">
        <f>(Table6[[#This Row],[Fault Clearance time]]-Table6[[#This Row],[Work Start TimeStamp]])*24</f>
        <v>9.9999999999999645E-2</v>
      </c>
      <c r="T504" s="261">
        <f>(Table6[[#This Row],[Fault Clearance time]]-Table6[[#This Row],[Fault Start TimeStamp]])*24</f>
        <v>9.9999999999999645E-2</v>
      </c>
      <c r="U504" s="35" t="s">
        <v>277</v>
      </c>
      <c r="V504" s="102" t="s">
        <v>268</v>
      </c>
      <c r="W504" s="267">
        <f>IFERROR(Table6[[#This Row],[Breakdown Time]]*Table6[[#This Row],[Plant Equivalent Weightage]],"")</f>
        <v>3.8461538461538312E-3</v>
      </c>
      <c r="X504" s="262" t="s">
        <v>269</v>
      </c>
      <c r="Y504" s="263" t="s">
        <v>140</v>
      </c>
      <c r="Z504" s="102">
        <v>44674</v>
      </c>
      <c r="AA504" s="257">
        <f>(Table6[[#This Row],[Paired WTG Generation for loss calculation]]/24)*Table6[[#This Row],[Breakdown Time]]</f>
        <v>186.14166666666603</v>
      </c>
      <c r="AB504" s="102"/>
      <c r="AC504" s="35"/>
      <c r="AD504" s="35"/>
    </row>
    <row r="505" spans="1:30">
      <c r="A505" s="102">
        <f t="shared" si="8"/>
        <v>504</v>
      </c>
      <c r="B505" s="257">
        <f>YEAR(Table6[[#This Row],[Date]])+IF(MONTH(Table6[[#This Row],[Date]])&gt;=4,1,0)</f>
        <v>2026</v>
      </c>
      <c r="C505" s="102">
        <f>YEAR(Table6[[#This Row],[Date]])</f>
        <v>2025</v>
      </c>
      <c r="D505" s="102" t="s">
        <v>265</v>
      </c>
      <c r="E505" s="258">
        <f>Table6[[#This Row],[Date]]-DAY(Table6[[#This Row],[Date]])+1</f>
        <v>45778</v>
      </c>
      <c r="F505" s="259">
        <v>45778</v>
      </c>
      <c r="G505" s="35" t="s">
        <v>122</v>
      </c>
      <c r="H505" s="35" t="str">
        <f>IFERROR(_xlfn.XLOOKUP(Table6[[#This Row],[Affected WTG]],'Basic Data'!$A:$A,'Basic Data'!$B:$B),"")</f>
        <v>TQGXIIPL</v>
      </c>
      <c r="I505" s="35" t="str">
        <f>IFERROR(_xlfn.XLOOKUP(Table6[[#This Row],[Affected WTG]],'Basic Data'!$A:$A,'Basic Data'!$C:$C),"")</f>
        <v>GEDA</v>
      </c>
      <c r="J505" s="260">
        <f>IFERROR(_xlfn.XLOOKUP(Table6[[#This Row],[Affected WTG]],'Basic Data'!$A:$A,'Basic Data'!$E:$E),"")</f>
        <v>3.846153846153845E-2</v>
      </c>
      <c r="K505" s="102">
        <v>6605</v>
      </c>
      <c r="L505" s="35" t="str">
        <f>IFERROR(_xlfn.XLOOKUP(Table6[[#This Row],[Error Code]],'Basic Data'!$AA:$AA,'Basic Data'!$AB:$AB),"Incorrect Error Code")</f>
        <v>Wind.dir. diff. level 2</v>
      </c>
      <c r="M505" s="35" t="s">
        <v>266</v>
      </c>
      <c r="N505" s="264"/>
      <c r="O505" s="265">
        <v>0.61111111111111116</v>
      </c>
      <c r="P505" s="265">
        <v>0.61111111111111116</v>
      </c>
      <c r="Q505" s="266">
        <v>0.61319444444444449</v>
      </c>
      <c r="R505" s="261">
        <f>IF(Table6[[#This Row],[Work Start TimeStamp]]="","",(Table6[[#This Row],[Work Start TimeStamp]]-Table6[[#This Row],[Fault Start TimeStamp]])*24)</f>
        <v>0</v>
      </c>
      <c r="S505" s="261">
        <f>(Table6[[#This Row],[Fault Clearance time]]-Table6[[#This Row],[Work Start TimeStamp]])*24</f>
        <v>4.9999999999999822E-2</v>
      </c>
      <c r="T505" s="261">
        <f>(Table6[[#This Row],[Fault Clearance time]]-Table6[[#This Row],[Fault Start TimeStamp]])*24</f>
        <v>4.9999999999999822E-2</v>
      </c>
      <c r="U505" s="35" t="s">
        <v>267</v>
      </c>
      <c r="V505" s="102" t="s">
        <v>268</v>
      </c>
      <c r="W505" s="267">
        <f>IFERROR(Table6[[#This Row],[Breakdown Time]]*Table6[[#This Row],[Plant Equivalent Weightage]],"")</f>
        <v>1.9230769230769156E-3</v>
      </c>
      <c r="X505" s="262" t="s">
        <v>269</v>
      </c>
      <c r="Y505" s="263" t="s">
        <v>140</v>
      </c>
      <c r="Z505" s="102">
        <v>44674</v>
      </c>
      <c r="AA505" s="257">
        <f>(Table6[[#This Row],[Paired WTG Generation for loss calculation]]/24)*Table6[[#This Row],[Breakdown Time]]</f>
        <v>93.070833333333013</v>
      </c>
      <c r="AB505" s="102"/>
      <c r="AC505" s="35"/>
      <c r="AD505" s="35"/>
    </row>
    <row r="506" spans="1:30">
      <c r="A506" s="102">
        <f t="shared" si="8"/>
        <v>505</v>
      </c>
      <c r="B506" s="257">
        <f>YEAR(Table6[[#This Row],[Date]])+IF(MONTH(Table6[[#This Row],[Date]])&gt;=4,1,0)</f>
        <v>2026</v>
      </c>
      <c r="C506" s="102">
        <f>YEAR(Table6[[#This Row],[Date]])</f>
        <v>2025</v>
      </c>
      <c r="D506" s="102" t="s">
        <v>265</v>
      </c>
      <c r="E506" s="258">
        <f>Table6[[#This Row],[Date]]-DAY(Table6[[#This Row],[Date]])+1</f>
        <v>45778</v>
      </c>
      <c r="F506" s="259">
        <v>45778</v>
      </c>
      <c r="G506" s="35" t="s">
        <v>126</v>
      </c>
      <c r="H506" s="35" t="str">
        <f>IFERROR(_xlfn.XLOOKUP(Table6[[#This Row],[Affected WTG]],'Basic Data'!$A:$A,'Basic Data'!$B:$B),"")</f>
        <v>TQGXIIPL</v>
      </c>
      <c r="I506" s="35" t="str">
        <f>IFERROR(_xlfn.XLOOKUP(Table6[[#This Row],[Affected WTG]],'Basic Data'!$A:$A,'Basic Data'!$C:$C),"")</f>
        <v>GEDA</v>
      </c>
      <c r="J506" s="260">
        <f>IFERROR(_xlfn.XLOOKUP(Table6[[#This Row],[Affected WTG]],'Basic Data'!$A:$A,'Basic Data'!$E:$E),"")</f>
        <v>3.846153846153845E-2</v>
      </c>
      <c r="K506" s="102">
        <v>6605</v>
      </c>
      <c r="L506" s="35" t="str">
        <f>IFERROR(_xlfn.XLOOKUP(Table6[[#This Row],[Error Code]],'Basic Data'!$AA:$AA,'Basic Data'!$AB:$AB),"Incorrect Error Code")</f>
        <v>Wind.dir. diff. level 2</v>
      </c>
      <c r="M506" s="35" t="s">
        <v>266</v>
      </c>
      <c r="N506" s="264"/>
      <c r="O506" s="265">
        <v>0.63541666666666663</v>
      </c>
      <c r="P506" s="265">
        <v>0.63541666666666663</v>
      </c>
      <c r="Q506" s="266">
        <v>0.63680555555555551</v>
      </c>
      <c r="R506" s="261">
        <f>IF(Table6[[#This Row],[Work Start TimeStamp]]="","",(Table6[[#This Row],[Work Start TimeStamp]]-Table6[[#This Row],[Fault Start TimeStamp]])*24)</f>
        <v>0</v>
      </c>
      <c r="S506" s="261">
        <f>(Table6[[#This Row],[Fault Clearance time]]-Table6[[#This Row],[Work Start TimeStamp]])*24</f>
        <v>3.3333333333333215E-2</v>
      </c>
      <c r="T506" s="261">
        <f>(Table6[[#This Row],[Fault Clearance time]]-Table6[[#This Row],[Fault Start TimeStamp]])*24</f>
        <v>3.3333333333333215E-2</v>
      </c>
      <c r="U506" s="35" t="s">
        <v>267</v>
      </c>
      <c r="V506" s="102" t="s">
        <v>268</v>
      </c>
      <c r="W506" s="267">
        <f>IFERROR(Table6[[#This Row],[Breakdown Time]]*Table6[[#This Row],[Plant Equivalent Weightage]],"")</f>
        <v>1.2820512820512771E-3</v>
      </c>
      <c r="X506" s="262" t="s">
        <v>269</v>
      </c>
      <c r="Y506" s="263" t="s">
        <v>128</v>
      </c>
      <c r="Z506" s="102">
        <v>38537</v>
      </c>
      <c r="AA506" s="257">
        <f>(Table6[[#This Row],[Paired WTG Generation for loss calculation]]/24)*Table6[[#This Row],[Breakdown Time]]</f>
        <v>53.523611111110917</v>
      </c>
      <c r="AB506" s="102"/>
      <c r="AC506" s="35"/>
      <c r="AD506" s="35"/>
    </row>
    <row r="507" spans="1:30">
      <c r="A507" s="102">
        <f t="shared" si="8"/>
        <v>506</v>
      </c>
      <c r="B507" s="257">
        <f>YEAR(Table6[[#This Row],[Date]])+IF(MONTH(Table6[[#This Row],[Date]])&gt;=4,1,0)</f>
        <v>2026</v>
      </c>
      <c r="C507" s="102">
        <f>YEAR(Table6[[#This Row],[Date]])</f>
        <v>2025</v>
      </c>
      <c r="D507" s="102" t="s">
        <v>265</v>
      </c>
      <c r="E507" s="258">
        <f>Table6[[#This Row],[Date]]-DAY(Table6[[#This Row],[Date]])+1</f>
        <v>45778</v>
      </c>
      <c r="F507" s="259">
        <v>45778</v>
      </c>
      <c r="G507" s="35" t="s">
        <v>126</v>
      </c>
      <c r="H507" s="35" t="str">
        <f>IFERROR(_xlfn.XLOOKUP(Table6[[#This Row],[Affected WTG]],'Basic Data'!$A:$A,'Basic Data'!$B:$B),"")</f>
        <v>TQGXIIPL</v>
      </c>
      <c r="I507" s="35" t="str">
        <f>IFERROR(_xlfn.XLOOKUP(Table6[[#This Row],[Affected WTG]],'Basic Data'!$A:$A,'Basic Data'!$C:$C),"")</f>
        <v>GEDA</v>
      </c>
      <c r="J507" s="260">
        <f>IFERROR(_xlfn.XLOOKUP(Table6[[#This Row],[Affected WTG]],'Basic Data'!$A:$A,'Basic Data'!$E:$E),"")</f>
        <v>3.846153846153845E-2</v>
      </c>
      <c r="K507" s="102">
        <v>1700</v>
      </c>
      <c r="L507" s="35" t="str">
        <f>IFERROR(_xlfn.XLOOKUP(Table6[[#This Row],[Error Code]],'Basic Data'!$AA:$AA,'Basic Data'!$AB:$AB),"Incorrect Error Code")</f>
        <v>High temp. gear bearing 1</v>
      </c>
      <c r="M507" s="35" t="s">
        <v>266</v>
      </c>
      <c r="N507" s="264"/>
      <c r="O507" s="265">
        <v>0.78333333333333333</v>
      </c>
      <c r="P507" s="265">
        <v>0.78333333333333333</v>
      </c>
      <c r="Q507" s="266">
        <v>0.79861111111111116</v>
      </c>
      <c r="R507" s="261">
        <f>IF(Table6[[#This Row],[Work Start TimeStamp]]="","",(Table6[[#This Row],[Work Start TimeStamp]]-Table6[[#This Row],[Fault Start TimeStamp]])*24)</f>
        <v>0</v>
      </c>
      <c r="S507" s="261">
        <f>(Table6[[#This Row],[Fault Clearance time]]-Table6[[#This Row],[Work Start TimeStamp]])*24</f>
        <v>0.36666666666666803</v>
      </c>
      <c r="T507" s="261">
        <f>(Table6[[#This Row],[Fault Clearance time]]-Table6[[#This Row],[Fault Start TimeStamp]])*24</f>
        <v>0.36666666666666803</v>
      </c>
      <c r="U507" s="35" t="s">
        <v>313</v>
      </c>
      <c r="V507" s="102" t="s">
        <v>268</v>
      </c>
      <c r="W507" s="267">
        <f>IFERROR(Table6[[#This Row],[Breakdown Time]]*Table6[[#This Row],[Plant Equivalent Weightage]],"")</f>
        <v>1.4102564102564151E-2</v>
      </c>
      <c r="X507" s="262" t="s">
        <v>269</v>
      </c>
      <c r="Y507" s="263" t="s">
        <v>128</v>
      </c>
      <c r="Z507" s="102">
        <v>38537</v>
      </c>
      <c r="AA507" s="257">
        <f>(Table6[[#This Row],[Paired WTG Generation for loss calculation]]/24)*Table6[[#This Row],[Breakdown Time]]</f>
        <v>588.75972222222435</v>
      </c>
      <c r="AB507" s="102"/>
      <c r="AC507" s="35"/>
      <c r="AD507" s="35"/>
    </row>
    <row r="508" spans="1:30">
      <c r="A508" s="102">
        <f t="shared" si="8"/>
        <v>507</v>
      </c>
      <c r="B508" s="257">
        <f>YEAR(Table6[[#This Row],[Date]])+IF(MONTH(Table6[[#This Row],[Date]])&gt;=4,1,0)</f>
        <v>2026</v>
      </c>
      <c r="C508" s="102">
        <f>YEAR(Table6[[#This Row],[Date]])</f>
        <v>2025</v>
      </c>
      <c r="D508" s="102" t="s">
        <v>265</v>
      </c>
      <c r="E508" s="258">
        <f>Table6[[#This Row],[Date]]-DAY(Table6[[#This Row],[Date]])+1</f>
        <v>45778</v>
      </c>
      <c r="F508" s="259">
        <v>45778</v>
      </c>
      <c r="G508" s="35" t="s">
        <v>131</v>
      </c>
      <c r="H508" s="35" t="str">
        <f>IFERROR(_xlfn.XLOOKUP(Table6[[#This Row],[Affected WTG]],'Basic Data'!$A:$A,'Basic Data'!$B:$B),"")</f>
        <v>TQGXIIPL</v>
      </c>
      <c r="I508" s="35" t="str">
        <f>IFERROR(_xlfn.XLOOKUP(Table6[[#This Row],[Affected WTG]],'Basic Data'!$A:$A,'Basic Data'!$C:$C),"")</f>
        <v>GEDA</v>
      </c>
      <c r="J508" s="260">
        <f>IFERROR(_xlfn.XLOOKUP(Table6[[#This Row],[Affected WTG]],'Basic Data'!$A:$A,'Basic Data'!$E:$E),"")</f>
        <v>3.846153846153845E-2</v>
      </c>
      <c r="K508" s="102">
        <v>55</v>
      </c>
      <c r="L508" s="35" t="str">
        <f>IFERROR(_xlfn.XLOOKUP(Table6[[#This Row],[Error Code]],'Basic Data'!$AA:$AA,'Basic Data'!$AB:$AB),"Incorrect Error Code")</f>
        <v>WTG shut down</v>
      </c>
      <c r="M508" s="35" t="s">
        <v>266</v>
      </c>
      <c r="N508" s="264"/>
      <c r="O508" s="265">
        <v>0.42430555555555555</v>
      </c>
      <c r="P508" s="265">
        <v>0.42430555555555555</v>
      </c>
      <c r="Q508" s="266">
        <v>0.57291666666666663</v>
      </c>
      <c r="R508" s="261">
        <f>IF(Table6[[#This Row],[Work Start TimeStamp]]="","",(Table6[[#This Row],[Work Start TimeStamp]]-Table6[[#This Row],[Fault Start TimeStamp]])*24)</f>
        <v>0</v>
      </c>
      <c r="S508" s="261">
        <f>(Table6[[#This Row],[Fault Clearance time]]-Table6[[#This Row],[Work Start TimeStamp]])*24</f>
        <v>3.566666666666666</v>
      </c>
      <c r="T508" s="261">
        <f>(Table6[[#This Row],[Fault Clearance time]]-Table6[[#This Row],[Fault Start TimeStamp]])*24</f>
        <v>3.566666666666666</v>
      </c>
      <c r="U508" s="35" t="s">
        <v>387</v>
      </c>
      <c r="V508" s="102" t="s">
        <v>268</v>
      </c>
      <c r="W508" s="267">
        <f>IFERROR(Table6[[#This Row],[Breakdown Time]]*Table6[[#This Row],[Plant Equivalent Weightage]],"")</f>
        <v>0.13717948717948711</v>
      </c>
      <c r="X508" s="262" t="s">
        <v>296</v>
      </c>
      <c r="Y508" s="263" t="s">
        <v>136</v>
      </c>
      <c r="Z508" s="102">
        <v>47524</v>
      </c>
      <c r="AA508" s="257">
        <f>(Table6[[#This Row],[Paired WTG Generation for loss calculation]]/24)*Table6[[#This Row],[Breakdown Time]]</f>
        <v>7062.5944444444431</v>
      </c>
      <c r="AB508" s="102"/>
      <c r="AC508" s="35"/>
      <c r="AD508" s="35"/>
    </row>
    <row r="509" spans="1:30">
      <c r="A509" s="102">
        <f t="shared" si="8"/>
        <v>508</v>
      </c>
      <c r="B509" s="257">
        <f>YEAR(Table6[[#This Row],[Date]])+IF(MONTH(Table6[[#This Row],[Date]])&gt;=4,1,0)</f>
        <v>2026</v>
      </c>
      <c r="C509" s="102">
        <f>YEAR(Table6[[#This Row],[Date]])</f>
        <v>2025</v>
      </c>
      <c r="D509" s="102" t="s">
        <v>265</v>
      </c>
      <c r="E509" s="258">
        <f>Table6[[#This Row],[Date]]-DAY(Table6[[#This Row],[Date]])+1</f>
        <v>45778</v>
      </c>
      <c r="F509" s="259">
        <v>45778</v>
      </c>
      <c r="G509" s="35" t="s">
        <v>132</v>
      </c>
      <c r="H509" s="35" t="str">
        <f>IFERROR(_xlfn.XLOOKUP(Table6[[#This Row],[Affected WTG]],'Basic Data'!$A:$A,'Basic Data'!$B:$B),"")</f>
        <v>TQGXIIPL</v>
      </c>
      <c r="I509" s="35" t="str">
        <f>IFERROR(_xlfn.XLOOKUP(Table6[[#This Row],[Affected WTG]],'Basic Data'!$A:$A,'Basic Data'!$C:$C),"")</f>
        <v>GEDA</v>
      </c>
      <c r="J509" s="260">
        <f>IFERROR(_xlfn.XLOOKUP(Table6[[#This Row],[Affected WTG]],'Basic Data'!$A:$A,'Basic Data'!$E:$E),"")</f>
        <v>3.846153846153845E-2</v>
      </c>
      <c r="K509" s="102">
        <v>2355</v>
      </c>
      <c r="L509" s="35" t="str">
        <f>IFERROR(_xlfn.XLOOKUP(Table6[[#This Row],[Error Code]],'Basic Data'!$AA:$AA,'Basic Data'!$AB:$AB),"Incorrect Error Code")</f>
        <v>Temp. rot.br.pad high</v>
      </c>
      <c r="M509" s="35" t="s">
        <v>266</v>
      </c>
      <c r="N509" s="264"/>
      <c r="O509" s="265">
        <v>0.14444444444444443</v>
      </c>
      <c r="P509" s="265">
        <v>0.14444444444444443</v>
      </c>
      <c r="Q509" s="266">
        <v>0.16805555555555557</v>
      </c>
      <c r="R509" s="261">
        <f>IF(Table6[[#This Row],[Work Start TimeStamp]]="","",(Table6[[#This Row],[Work Start TimeStamp]]-Table6[[#This Row],[Fault Start TimeStamp]])*24)</f>
        <v>0</v>
      </c>
      <c r="S509" s="261">
        <f>(Table6[[#This Row],[Fault Clearance time]]-Table6[[#This Row],[Work Start TimeStamp]])*24</f>
        <v>0.56666666666666732</v>
      </c>
      <c r="T509" s="261">
        <f>(Table6[[#This Row],[Fault Clearance time]]-Table6[[#This Row],[Fault Start TimeStamp]])*24</f>
        <v>0.56666666666666732</v>
      </c>
      <c r="U509" s="35" t="s">
        <v>313</v>
      </c>
      <c r="V509" s="102" t="s">
        <v>268</v>
      </c>
      <c r="W509" s="267">
        <f>IFERROR(Table6[[#This Row],[Breakdown Time]]*Table6[[#This Row],[Plant Equivalent Weightage]],"")</f>
        <v>2.1794871794871815E-2</v>
      </c>
      <c r="X509" s="262" t="s">
        <v>269</v>
      </c>
      <c r="Y509" s="263" t="s">
        <v>120</v>
      </c>
      <c r="Z509" s="102">
        <v>46547</v>
      </c>
      <c r="AA509" s="257">
        <f>(Table6[[#This Row],[Paired WTG Generation for loss calculation]]/24)*Table6[[#This Row],[Breakdown Time]]</f>
        <v>1099.0263888888901</v>
      </c>
      <c r="AB509" s="102"/>
      <c r="AC509" s="35"/>
      <c r="AD509" s="35"/>
    </row>
    <row r="510" spans="1:30">
      <c r="A510" s="102">
        <f t="shared" si="8"/>
        <v>509</v>
      </c>
      <c r="B510" s="257">
        <f>YEAR(Table6[[#This Row],[Date]])+IF(MONTH(Table6[[#This Row],[Date]])&gt;=4,1,0)</f>
        <v>2026</v>
      </c>
      <c r="C510" s="102">
        <f>YEAR(Table6[[#This Row],[Date]])</f>
        <v>2025</v>
      </c>
      <c r="D510" s="102" t="s">
        <v>265</v>
      </c>
      <c r="E510" s="258">
        <f>Table6[[#This Row],[Date]]-DAY(Table6[[#This Row],[Date]])+1</f>
        <v>45778</v>
      </c>
      <c r="F510" s="259">
        <v>45778</v>
      </c>
      <c r="G510" s="35" t="s">
        <v>133</v>
      </c>
      <c r="H510" s="35" t="str">
        <f>IFERROR(_xlfn.XLOOKUP(Table6[[#This Row],[Affected WTG]],'Basic Data'!$A:$A,'Basic Data'!$B:$B),"")</f>
        <v>TQGXIIPL</v>
      </c>
      <c r="I510" s="35" t="str">
        <f>IFERROR(_xlfn.XLOOKUP(Table6[[#This Row],[Affected WTG]],'Basic Data'!$A:$A,'Basic Data'!$C:$C),"")</f>
        <v>GEDA</v>
      </c>
      <c r="J510" s="260">
        <f>IFERROR(_xlfn.XLOOKUP(Table6[[#This Row],[Affected WTG]],'Basic Data'!$A:$A,'Basic Data'!$E:$E),"")</f>
        <v>3.846153846153845E-2</v>
      </c>
      <c r="K510" s="102">
        <v>6605</v>
      </c>
      <c r="L510" s="35" t="str">
        <f>IFERROR(_xlfn.XLOOKUP(Table6[[#This Row],[Error Code]],'Basic Data'!$AA:$AA,'Basic Data'!$AB:$AB),"Incorrect Error Code")</f>
        <v>Wind.dir. diff. level 2</v>
      </c>
      <c r="M510" s="35" t="s">
        <v>266</v>
      </c>
      <c r="N510" s="264"/>
      <c r="O510" s="265">
        <v>0.57222222222222219</v>
      </c>
      <c r="P510" s="265">
        <v>0.57222222222222219</v>
      </c>
      <c r="Q510" s="266">
        <v>0.5756944444444444</v>
      </c>
      <c r="R510" s="261">
        <f>IF(Table6[[#This Row],[Work Start TimeStamp]]="","",(Table6[[#This Row],[Work Start TimeStamp]]-Table6[[#This Row],[Fault Start TimeStamp]])*24)</f>
        <v>0</v>
      </c>
      <c r="S510" s="261">
        <f>(Table6[[#This Row],[Fault Clearance time]]-Table6[[#This Row],[Work Start TimeStamp]])*24</f>
        <v>8.3333333333333037E-2</v>
      </c>
      <c r="T510" s="261">
        <f>(Table6[[#This Row],[Fault Clearance time]]-Table6[[#This Row],[Fault Start TimeStamp]])*24</f>
        <v>8.3333333333333037E-2</v>
      </c>
      <c r="U510" s="35" t="s">
        <v>267</v>
      </c>
      <c r="V510" s="102" t="s">
        <v>268</v>
      </c>
      <c r="W510" s="267">
        <f>IFERROR(Table6[[#This Row],[Breakdown Time]]*Table6[[#This Row],[Plant Equivalent Weightage]],"")</f>
        <v>3.2051282051281929E-3</v>
      </c>
      <c r="X510" s="262" t="s">
        <v>269</v>
      </c>
      <c r="Y510" s="263" t="s">
        <v>121</v>
      </c>
      <c r="Z510" s="102">
        <v>45834</v>
      </c>
      <c r="AA510" s="257">
        <f>(Table6[[#This Row],[Paired WTG Generation for loss calculation]]/24)*Table6[[#This Row],[Breakdown Time]]</f>
        <v>159.14583333333277</v>
      </c>
      <c r="AB510" s="102"/>
      <c r="AC510" s="35"/>
      <c r="AD510" s="35"/>
    </row>
    <row r="511" spans="1:30">
      <c r="A511" s="102">
        <f t="shared" si="8"/>
        <v>510</v>
      </c>
      <c r="B511" s="257">
        <f>YEAR(Table6[[#This Row],[Date]])+IF(MONTH(Table6[[#This Row],[Date]])&gt;=4,1,0)</f>
        <v>2026</v>
      </c>
      <c r="C511" s="102">
        <f>YEAR(Table6[[#This Row],[Date]])</f>
        <v>2025</v>
      </c>
      <c r="D511" s="102" t="s">
        <v>265</v>
      </c>
      <c r="E511" s="258">
        <f>Table6[[#This Row],[Date]]-DAY(Table6[[#This Row],[Date]])+1</f>
        <v>45778</v>
      </c>
      <c r="F511" s="259">
        <v>45778</v>
      </c>
      <c r="G511" s="35" t="s">
        <v>133</v>
      </c>
      <c r="H511" s="35" t="str">
        <f>IFERROR(_xlfn.XLOOKUP(Table6[[#This Row],[Affected WTG]],'Basic Data'!$A:$A,'Basic Data'!$B:$B),"")</f>
        <v>TQGXIIPL</v>
      </c>
      <c r="I511" s="35" t="str">
        <f>IFERROR(_xlfn.XLOOKUP(Table6[[#This Row],[Affected WTG]],'Basic Data'!$A:$A,'Basic Data'!$C:$C),"")</f>
        <v>GEDA</v>
      </c>
      <c r="J511" s="260">
        <f>IFERROR(_xlfn.XLOOKUP(Table6[[#This Row],[Affected WTG]],'Basic Data'!$A:$A,'Basic Data'!$E:$E),"")</f>
        <v>3.846153846153845E-2</v>
      </c>
      <c r="K511" s="102">
        <v>1700</v>
      </c>
      <c r="L511" s="35" t="str">
        <f>IFERROR(_xlfn.XLOOKUP(Table6[[#This Row],[Error Code]],'Basic Data'!$AA:$AA,'Basic Data'!$AB:$AB),"Incorrect Error Code")</f>
        <v>High temp. gear bearing 1</v>
      </c>
      <c r="M511" s="35" t="s">
        <v>266</v>
      </c>
      <c r="N511" s="264"/>
      <c r="O511" s="265">
        <v>0.71319444444444446</v>
      </c>
      <c r="P511" s="265">
        <v>0.71319444444444446</v>
      </c>
      <c r="Q511" s="266">
        <v>0.72916666666666663</v>
      </c>
      <c r="R511" s="261">
        <f>IF(Table6[[#This Row],[Work Start TimeStamp]]="","",(Table6[[#This Row],[Work Start TimeStamp]]-Table6[[#This Row],[Fault Start TimeStamp]])*24)</f>
        <v>0</v>
      </c>
      <c r="S511" s="261">
        <f>(Table6[[#This Row],[Fault Clearance time]]-Table6[[#This Row],[Work Start TimeStamp]])*24</f>
        <v>0.38333333333333197</v>
      </c>
      <c r="T511" s="261">
        <f>(Table6[[#This Row],[Fault Clearance time]]-Table6[[#This Row],[Fault Start TimeStamp]])*24</f>
        <v>0.38333333333333197</v>
      </c>
      <c r="U511" s="35" t="s">
        <v>313</v>
      </c>
      <c r="V511" s="102" t="s">
        <v>268</v>
      </c>
      <c r="W511" s="267">
        <f>IFERROR(Table6[[#This Row],[Breakdown Time]]*Table6[[#This Row],[Plant Equivalent Weightage]],"")</f>
        <v>1.4743589743589686E-2</v>
      </c>
      <c r="X511" s="262" t="s">
        <v>269</v>
      </c>
      <c r="Y511" s="263" t="s">
        <v>121</v>
      </c>
      <c r="Z511" s="102">
        <v>45834</v>
      </c>
      <c r="AA511" s="257">
        <f>(Table6[[#This Row],[Paired WTG Generation for loss calculation]]/24)*Table6[[#This Row],[Breakdown Time]]</f>
        <v>732.07083333333071</v>
      </c>
      <c r="AB511" s="102"/>
      <c r="AC511" s="35"/>
      <c r="AD511" s="35"/>
    </row>
    <row r="512" spans="1:30">
      <c r="A512" s="102">
        <f t="shared" si="8"/>
        <v>511</v>
      </c>
      <c r="B512" s="257">
        <f>YEAR(Table6[[#This Row],[Date]])+IF(MONTH(Table6[[#This Row],[Date]])&gt;=4,1,0)</f>
        <v>2026</v>
      </c>
      <c r="C512" s="102">
        <f>YEAR(Table6[[#This Row],[Date]])</f>
        <v>2025</v>
      </c>
      <c r="D512" s="102" t="s">
        <v>265</v>
      </c>
      <c r="E512" s="258">
        <f>Table6[[#This Row],[Date]]-DAY(Table6[[#This Row],[Date]])+1</f>
        <v>45778</v>
      </c>
      <c r="F512" s="259">
        <v>45778</v>
      </c>
      <c r="G512" s="35" t="s">
        <v>133</v>
      </c>
      <c r="H512" s="35" t="str">
        <f>IFERROR(_xlfn.XLOOKUP(Table6[[#This Row],[Affected WTG]],'Basic Data'!$A:$A,'Basic Data'!$B:$B),"")</f>
        <v>TQGXIIPL</v>
      </c>
      <c r="I512" s="35" t="str">
        <f>IFERROR(_xlfn.XLOOKUP(Table6[[#This Row],[Affected WTG]],'Basic Data'!$A:$A,'Basic Data'!$C:$C),"")</f>
        <v>GEDA</v>
      </c>
      <c r="J512" s="260">
        <f>IFERROR(_xlfn.XLOOKUP(Table6[[#This Row],[Affected WTG]],'Basic Data'!$A:$A,'Basic Data'!$E:$E),"")</f>
        <v>3.846153846153845E-2</v>
      </c>
      <c r="K512" s="102">
        <v>1700</v>
      </c>
      <c r="L512" s="35" t="str">
        <f>IFERROR(_xlfn.XLOOKUP(Table6[[#This Row],[Error Code]],'Basic Data'!$AA:$AA,'Basic Data'!$AB:$AB),"Incorrect Error Code")</f>
        <v>High temp. gear bearing 1</v>
      </c>
      <c r="M512" s="35" t="s">
        <v>266</v>
      </c>
      <c r="N512" s="264"/>
      <c r="O512" s="265">
        <v>0.82430555555555551</v>
      </c>
      <c r="P512" s="265">
        <v>0.82430555555555551</v>
      </c>
      <c r="Q512" s="266">
        <v>0.84444444444444444</v>
      </c>
      <c r="R512" s="261">
        <f>IF(Table6[[#This Row],[Work Start TimeStamp]]="","",(Table6[[#This Row],[Work Start TimeStamp]]-Table6[[#This Row],[Fault Start TimeStamp]])*24)</f>
        <v>0</v>
      </c>
      <c r="S512" s="261">
        <f>(Table6[[#This Row],[Fault Clearance time]]-Table6[[#This Row],[Work Start TimeStamp]])*24</f>
        <v>0.48333333333333428</v>
      </c>
      <c r="T512" s="261">
        <f>(Table6[[#This Row],[Fault Clearance time]]-Table6[[#This Row],[Fault Start TimeStamp]])*24</f>
        <v>0.48333333333333428</v>
      </c>
      <c r="U512" s="35" t="s">
        <v>313</v>
      </c>
      <c r="V512" s="102" t="s">
        <v>268</v>
      </c>
      <c r="W512" s="267">
        <f>IFERROR(Table6[[#This Row],[Breakdown Time]]*Table6[[#This Row],[Plant Equivalent Weightage]],"")</f>
        <v>1.8589743589743621E-2</v>
      </c>
      <c r="X512" s="262" t="s">
        <v>269</v>
      </c>
      <c r="Y512" s="263" t="s">
        <v>121</v>
      </c>
      <c r="Z512" s="102">
        <v>45834</v>
      </c>
      <c r="AA512" s="257">
        <f>(Table6[[#This Row],[Paired WTG Generation for loss calculation]]/24)*Table6[[#This Row],[Breakdown Time]]</f>
        <v>923.04583333333517</v>
      </c>
      <c r="AB512" s="102"/>
      <c r="AC512" s="35"/>
      <c r="AD512" s="35"/>
    </row>
    <row r="513" spans="1:30">
      <c r="A513" s="102">
        <f t="shared" si="8"/>
        <v>512</v>
      </c>
      <c r="B513" s="257">
        <f>YEAR(Table6[[#This Row],[Date]])+IF(MONTH(Table6[[#This Row],[Date]])&gt;=4,1,0)</f>
        <v>2026</v>
      </c>
      <c r="C513" s="102">
        <f>YEAR(Table6[[#This Row],[Date]])</f>
        <v>2025</v>
      </c>
      <c r="D513" s="102" t="s">
        <v>265</v>
      </c>
      <c r="E513" s="258">
        <f>Table6[[#This Row],[Date]]-DAY(Table6[[#This Row],[Date]])+1</f>
        <v>45778</v>
      </c>
      <c r="F513" s="259">
        <v>45778</v>
      </c>
      <c r="G513" s="35" t="s">
        <v>134</v>
      </c>
      <c r="H513" s="35" t="str">
        <f>IFERROR(_xlfn.XLOOKUP(Table6[[#This Row],[Affected WTG]],'Basic Data'!$A:$A,'Basic Data'!$B:$B),"")</f>
        <v>TQGXIIPL</v>
      </c>
      <c r="I513" s="35" t="str">
        <f>IFERROR(_xlfn.XLOOKUP(Table6[[#This Row],[Affected WTG]],'Basic Data'!$A:$A,'Basic Data'!$C:$C),"")</f>
        <v>GEDA</v>
      </c>
      <c r="J513" s="260">
        <f>IFERROR(_xlfn.XLOOKUP(Table6[[#This Row],[Affected WTG]],'Basic Data'!$A:$A,'Basic Data'!$E:$E),"")</f>
        <v>3.846153846153845E-2</v>
      </c>
      <c r="K513" s="102">
        <v>6130</v>
      </c>
      <c r="L513" s="35" t="str">
        <f>IFERROR(_xlfn.XLOOKUP(Table6[[#This Row],[Error Code]],'Basic Data'!$AA:$AA,'Basic Data'!$AB:$AB),"Incorrect Error Code")</f>
        <v>Yaw speed high</v>
      </c>
      <c r="M513" s="35" t="s">
        <v>278</v>
      </c>
      <c r="N513" s="264"/>
      <c r="O513" s="265">
        <v>0.53402777777777777</v>
      </c>
      <c r="P513" s="265">
        <v>0.53402777777777777</v>
      </c>
      <c r="Q513" s="266">
        <v>0.53819444444444442</v>
      </c>
      <c r="R513" s="261">
        <f>IF(Table6[[#This Row],[Work Start TimeStamp]]="","",(Table6[[#This Row],[Work Start TimeStamp]]-Table6[[#This Row],[Fault Start TimeStamp]])*24)</f>
        <v>0</v>
      </c>
      <c r="S513" s="261">
        <f>(Table6[[#This Row],[Fault Clearance time]]-Table6[[#This Row],[Work Start TimeStamp]])*24</f>
        <v>9.9999999999999645E-2</v>
      </c>
      <c r="T513" s="261">
        <f>(Table6[[#This Row],[Fault Clearance time]]-Table6[[#This Row],[Fault Start TimeStamp]])*24</f>
        <v>9.9999999999999645E-2</v>
      </c>
      <c r="U513" s="35" t="s">
        <v>277</v>
      </c>
      <c r="V513" s="102" t="s">
        <v>268</v>
      </c>
      <c r="W513" s="267">
        <f>IFERROR(Table6[[#This Row],[Breakdown Time]]*Table6[[#This Row],[Plant Equivalent Weightage]],"")</f>
        <v>3.8461538461538312E-3</v>
      </c>
      <c r="X513" s="262" t="s">
        <v>269</v>
      </c>
      <c r="Y513" s="263" t="s">
        <v>138</v>
      </c>
      <c r="Z513" s="102">
        <v>41385</v>
      </c>
      <c r="AA513" s="257">
        <f>(Table6[[#This Row],[Paired WTG Generation for loss calculation]]/24)*Table6[[#This Row],[Breakdown Time]]</f>
        <v>172.43749999999937</v>
      </c>
      <c r="AB513" s="102"/>
      <c r="AC513" s="35"/>
      <c r="AD513" s="35"/>
    </row>
    <row r="514" spans="1:30">
      <c r="A514" s="102">
        <f t="shared" si="8"/>
        <v>513</v>
      </c>
      <c r="B514" s="257">
        <f>YEAR(Table6[[#This Row],[Date]])+IF(MONTH(Table6[[#This Row],[Date]])&gt;=4,1,0)</f>
        <v>2026</v>
      </c>
      <c r="C514" s="102">
        <f>YEAR(Table6[[#This Row],[Date]])</f>
        <v>2025</v>
      </c>
      <c r="D514" s="102" t="s">
        <v>265</v>
      </c>
      <c r="E514" s="258">
        <f>Table6[[#This Row],[Date]]-DAY(Table6[[#This Row],[Date]])+1</f>
        <v>45778</v>
      </c>
      <c r="F514" s="259">
        <v>45778</v>
      </c>
      <c r="G514" s="35" t="s">
        <v>134</v>
      </c>
      <c r="H514" s="35" t="str">
        <f>IFERROR(_xlfn.XLOOKUP(Table6[[#This Row],[Affected WTG]],'Basic Data'!$A:$A,'Basic Data'!$B:$B),"")</f>
        <v>TQGXIIPL</v>
      </c>
      <c r="I514" s="35" t="str">
        <f>IFERROR(_xlfn.XLOOKUP(Table6[[#This Row],[Affected WTG]],'Basic Data'!$A:$A,'Basic Data'!$C:$C),"")</f>
        <v>GEDA</v>
      </c>
      <c r="J514" s="260">
        <f>IFERROR(_xlfn.XLOOKUP(Table6[[#This Row],[Affected WTG]],'Basic Data'!$A:$A,'Basic Data'!$E:$E),"")</f>
        <v>3.846153846153845E-2</v>
      </c>
      <c r="K514" s="102">
        <v>6130</v>
      </c>
      <c r="L514" s="35" t="str">
        <f>IFERROR(_xlfn.XLOOKUP(Table6[[#This Row],[Error Code]],'Basic Data'!$AA:$AA,'Basic Data'!$AB:$AB),"Incorrect Error Code")</f>
        <v>Yaw speed high</v>
      </c>
      <c r="M514" s="35" t="s">
        <v>266</v>
      </c>
      <c r="N514" s="264"/>
      <c r="O514" s="265">
        <v>0.58888888888888891</v>
      </c>
      <c r="P514" s="265">
        <v>0.58888888888888891</v>
      </c>
      <c r="Q514" s="266">
        <v>0.59791666666666665</v>
      </c>
      <c r="R514" s="261">
        <f>IF(Table6[[#This Row],[Work Start TimeStamp]]="","",(Table6[[#This Row],[Work Start TimeStamp]]-Table6[[#This Row],[Fault Start TimeStamp]])*24)</f>
        <v>0</v>
      </c>
      <c r="S514" s="261">
        <f>(Table6[[#This Row],[Fault Clearance time]]-Table6[[#This Row],[Work Start TimeStamp]])*24</f>
        <v>0.2166666666666659</v>
      </c>
      <c r="T514" s="261">
        <f>(Table6[[#This Row],[Fault Clearance time]]-Table6[[#This Row],[Fault Start TimeStamp]])*24</f>
        <v>0.2166666666666659</v>
      </c>
      <c r="U514" s="35" t="s">
        <v>267</v>
      </c>
      <c r="V514" s="102" t="s">
        <v>268</v>
      </c>
      <c r="W514" s="267">
        <f>IFERROR(Table6[[#This Row],[Breakdown Time]]*Table6[[#This Row],[Plant Equivalent Weightage]],"")</f>
        <v>8.333333333333302E-3</v>
      </c>
      <c r="X514" s="262" t="s">
        <v>269</v>
      </c>
      <c r="Y514" s="263" t="s">
        <v>138</v>
      </c>
      <c r="Z514" s="102">
        <v>41385</v>
      </c>
      <c r="AA514" s="257">
        <f>(Table6[[#This Row],[Paired WTG Generation for loss calculation]]/24)*Table6[[#This Row],[Breakdown Time]]</f>
        <v>373.61458333333201</v>
      </c>
      <c r="AB514" s="102"/>
      <c r="AC514" s="35"/>
      <c r="AD514" s="35"/>
    </row>
    <row r="515" spans="1:30">
      <c r="A515" s="102">
        <f t="shared" si="8"/>
        <v>514</v>
      </c>
      <c r="B515" s="257">
        <f>YEAR(Table6[[#This Row],[Date]])+IF(MONTH(Table6[[#This Row],[Date]])&gt;=4,1,0)</f>
        <v>2026</v>
      </c>
      <c r="C515" s="102">
        <f>YEAR(Table6[[#This Row],[Date]])</f>
        <v>2025</v>
      </c>
      <c r="D515" s="102" t="s">
        <v>265</v>
      </c>
      <c r="E515" s="258">
        <f>Table6[[#This Row],[Date]]-DAY(Table6[[#This Row],[Date]])+1</f>
        <v>45778</v>
      </c>
      <c r="F515" s="259">
        <v>45778</v>
      </c>
      <c r="G515" s="35" t="s">
        <v>135</v>
      </c>
      <c r="H515" s="35" t="str">
        <f>IFERROR(_xlfn.XLOOKUP(Table6[[#This Row],[Affected WTG]],'Basic Data'!$A:$A,'Basic Data'!$B:$B),"")</f>
        <v>TQGXIIPL</v>
      </c>
      <c r="I515" s="35" t="str">
        <f>IFERROR(_xlfn.XLOOKUP(Table6[[#This Row],[Affected WTG]],'Basic Data'!$A:$A,'Basic Data'!$C:$C),"")</f>
        <v>GEDA</v>
      </c>
      <c r="J515" s="260">
        <f>IFERROR(_xlfn.XLOOKUP(Table6[[#This Row],[Affected WTG]],'Basic Data'!$A:$A,'Basic Data'!$E:$E),"")</f>
        <v>3.846153846153845E-2</v>
      </c>
      <c r="K515" s="102">
        <v>6130</v>
      </c>
      <c r="L515" s="35" t="str">
        <f>IFERROR(_xlfn.XLOOKUP(Table6[[#This Row],[Error Code]],'Basic Data'!$AA:$AA,'Basic Data'!$AB:$AB),"Incorrect Error Code")</f>
        <v>Yaw speed high</v>
      </c>
      <c r="M515" s="35" t="s">
        <v>278</v>
      </c>
      <c r="N515" s="264"/>
      <c r="O515" s="265">
        <v>0.31319444444444444</v>
      </c>
      <c r="P515" s="265">
        <v>0.31319444444444444</v>
      </c>
      <c r="Q515" s="266">
        <v>0.31736111111111109</v>
      </c>
      <c r="R515" s="261">
        <f>IF(Table6[[#This Row],[Work Start TimeStamp]]="","",(Table6[[#This Row],[Work Start TimeStamp]]-Table6[[#This Row],[Fault Start TimeStamp]])*24)</f>
        <v>0</v>
      </c>
      <c r="S515" s="261">
        <f>(Table6[[#This Row],[Fault Clearance time]]-Table6[[#This Row],[Work Start TimeStamp]])*24</f>
        <v>9.9999999999999645E-2</v>
      </c>
      <c r="T515" s="261">
        <f>(Table6[[#This Row],[Fault Clearance time]]-Table6[[#This Row],[Fault Start TimeStamp]])*24</f>
        <v>9.9999999999999645E-2</v>
      </c>
      <c r="U515" s="35" t="s">
        <v>277</v>
      </c>
      <c r="V515" s="102" t="s">
        <v>268</v>
      </c>
      <c r="W515" s="267">
        <f>IFERROR(Table6[[#This Row],[Breakdown Time]]*Table6[[#This Row],[Plant Equivalent Weightage]],"")</f>
        <v>3.8461538461538312E-3</v>
      </c>
      <c r="X515" s="262" t="s">
        <v>269</v>
      </c>
      <c r="Y515" s="263" t="s">
        <v>120</v>
      </c>
      <c r="Z515" s="102">
        <v>46547</v>
      </c>
      <c r="AA515" s="257">
        <f>(Table6[[#This Row],[Paired WTG Generation for loss calculation]]/24)*Table6[[#This Row],[Breakdown Time]]</f>
        <v>193.94583333333264</v>
      </c>
      <c r="AB515" s="102"/>
      <c r="AC515" s="35"/>
      <c r="AD515" s="35"/>
    </row>
    <row r="516" spans="1:30">
      <c r="A516" s="102">
        <f t="shared" si="8"/>
        <v>515</v>
      </c>
      <c r="B516" s="257">
        <f>YEAR(Table6[[#This Row],[Date]])+IF(MONTH(Table6[[#This Row],[Date]])&gt;=4,1,0)</f>
        <v>2026</v>
      </c>
      <c r="C516" s="102">
        <f>YEAR(Table6[[#This Row],[Date]])</f>
        <v>2025</v>
      </c>
      <c r="D516" s="102" t="s">
        <v>265</v>
      </c>
      <c r="E516" s="258">
        <f>Table6[[#This Row],[Date]]-DAY(Table6[[#This Row],[Date]])+1</f>
        <v>45778</v>
      </c>
      <c r="F516" s="259">
        <v>45778</v>
      </c>
      <c r="G516" s="35" t="s">
        <v>137</v>
      </c>
      <c r="H516" s="35" t="str">
        <f>IFERROR(_xlfn.XLOOKUP(Table6[[#This Row],[Affected WTG]],'Basic Data'!$A:$A,'Basic Data'!$B:$B),"")</f>
        <v>TQGXIIPL</v>
      </c>
      <c r="I516" s="35" t="str">
        <f>IFERROR(_xlfn.XLOOKUP(Table6[[#This Row],[Affected WTG]],'Basic Data'!$A:$A,'Basic Data'!$C:$C),"")</f>
        <v>GEDA</v>
      </c>
      <c r="J516" s="260">
        <f>IFERROR(_xlfn.XLOOKUP(Table6[[#This Row],[Affected WTG]],'Basic Data'!$A:$A,'Basic Data'!$E:$E),"")</f>
        <v>3.846153846153845E-2</v>
      </c>
      <c r="K516" s="102">
        <v>6130</v>
      </c>
      <c r="L516" s="35" t="str">
        <f>IFERROR(_xlfn.XLOOKUP(Table6[[#This Row],[Error Code]],'Basic Data'!$AA:$AA,'Basic Data'!$AB:$AB),"Incorrect Error Code")</f>
        <v>Yaw speed high</v>
      </c>
      <c r="M516" s="35" t="s">
        <v>278</v>
      </c>
      <c r="N516" s="264"/>
      <c r="O516" s="265">
        <v>0.44236111111111109</v>
      </c>
      <c r="P516" s="265">
        <v>0.44236111111111109</v>
      </c>
      <c r="Q516" s="266">
        <v>0.4465277777777778</v>
      </c>
      <c r="R516" s="261">
        <f>IF(Table6[[#This Row],[Work Start TimeStamp]]="","",(Table6[[#This Row],[Work Start TimeStamp]]-Table6[[#This Row],[Fault Start TimeStamp]])*24)</f>
        <v>0</v>
      </c>
      <c r="S516" s="261">
        <f>(Table6[[#This Row],[Fault Clearance time]]-Table6[[#This Row],[Work Start TimeStamp]])*24</f>
        <v>0.10000000000000098</v>
      </c>
      <c r="T516" s="261">
        <f>(Table6[[#This Row],[Fault Clearance time]]-Table6[[#This Row],[Fault Start TimeStamp]])*24</f>
        <v>0.10000000000000098</v>
      </c>
      <c r="U516" s="35" t="s">
        <v>277</v>
      </c>
      <c r="V516" s="102" t="s">
        <v>268</v>
      </c>
      <c r="W516" s="267">
        <f>IFERROR(Table6[[#This Row],[Breakdown Time]]*Table6[[#This Row],[Plant Equivalent Weightage]],"")</f>
        <v>3.8461538461538824E-3</v>
      </c>
      <c r="X516" s="262" t="s">
        <v>269</v>
      </c>
      <c r="Y516" s="263" t="s">
        <v>125</v>
      </c>
      <c r="Z516" s="102">
        <v>40516</v>
      </c>
      <c r="AA516" s="257">
        <f>(Table6[[#This Row],[Paired WTG Generation for loss calculation]]/24)*Table6[[#This Row],[Breakdown Time]]</f>
        <v>168.81666666666831</v>
      </c>
      <c r="AB516" s="102"/>
      <c r="AC516" s="35"/>
      <c r="AD516" s="35"/>
    </row>
    <row r="517" spans="1:30">
      <c r="A517" s="102">
        <f t="shared" si="8"/>
        <v>516</v>
      </c>
      <c r="B517" s="257">
        <f>YEAR(Table6[[#This Row],[Date]])+IF(MONTH(Table6[[#This Row],[Date]])&gt;=4,1,0)</f>
        <v>2026</v>
      </c>
      <c r="C517" s="102">
        <f>YEAR(Table6[[#This Row],[Date]])</f>
        <v>2025</v>
      </c>
      <c r="D517" s="102" t="s">
        <v>265</v>
      </c>
      <c r="E517" s="258">
        <f>Table6[[#This Row],[Date]]-DAY(Table6[[#This Row],[Date]])+1</f>
        <v>45778</v>
      </c>
      <c r="F517" s="259">
        <v>45778</v>
      </c>
      <c r="G517" s="35" t="s">
        <v>138</v>
      </c>
      <c r="H517" s="35" t="str">
        <f>IFERROR(_xlfn.XLOOKUP(Table6[[#This Row],[Affected WTG]],'Basic Data'!$A:$A,'Basic Data'!$B:$B),"")</f>
        <v>TQGXIIPL</v>
      </c>
      <c r="I517" s="35" t="str">
        <f>IFERROR(_xlfn.XLOOKUP(Table6[[#This Row],[Affected WTG]],'Basic Data'!$A:$A,'Basic Data'!$C:$C),"")</f>
        <v>GEDA</v>
      </c>
      <c r="J517" s="260">
        <f>IFERROR(_xlfn.XLOOKUP(Table6[[#This Row],[Affected WTG]],'Basic Data'!$A:$A,'Basic Data'!$E:$E),"")</f>
        <v>3.846153846153845E-2</v>
      </c>
      <c r="K517" s="102">
        <v>55</v>
      </c>
      <c r="L517" s="35" t="str">
        <f>IFERROR(_xlfn.XLOOKUP(Table6[[#This Row],[Error Code]],'Basic Data'!$AA:$AA,'Basic Data'!$AB:$AB),"Incorrect Error Code")</f>
        <v>WTG shut down</v>
      </c>
      <c r="M517" s="35" t="s">
        <v>266</v>
      </c>
      <c r="N517" s="264"/>
      <c r="O517" s="265">
        <v>0.64722222222222225</v>
      </c>
      <c r="P517" s="265">
        <v>0.64722222222222225</v>
      </c>
      <c r="Q517" s="266">
        <v>0.68611111111111112</v>
      </c>
      <c r="R517" s="261">
        <f>IF(Table6[[#This Row],[Work Start TimeStamp]]="","",(Table6[[#This Row],[Work Start TimeStamp]]-Table6[[#This Row],[Fault Start TimeStamp]])*24)</f>
        <v>0</v>
      </c>
      <c r="S517" s="261">
        <f>(Table6[[#This Row],[Fault Clearance time]]-Table6[[#This Row],[Work Start TimeStamp]])*24</f>
        <v>0.93333333333333268</v>
      </c>
      <c r="T517" s="261">
        <f>(Table6[[#This Row],[Fault Clearance time]]-Table6[[#This Row],[Fault Start TimeStamp]])*24</f>
        <v>0.93333333333333268</v>
      </c>
      <c r="U517" s="35" t="s">
        <v>361</v>
      </c>
      <c r="V517" s="102" t="s">
        <v>268</v>
      </c>
      <c r="W517" s="267">
        <f>IFERROR(Table6[[#This Row],[Breakdown Time]]*Table6[[#This Row],[Plant Equivalent Weightage]],"")</f>
        <v>3.589743589743586E-2</v>
      </c>
      <c r="X517" s="262" t="s">
        <v>296</v>
      </c>
      <c r="Y517" s="263" t="s">
        <v>134</v>
      </c>
      <c r="Z517" s="102">
        <v>43931</v>
      </c>
      <c r="AA517" s="257">
        <f>(Table6[[#This Row],[Paired WTG Generation for loss calculation]]/24)*Table6[[#This Row],[Breakdown Time]]</f>
        <v>1708.4277777777766</v>
      </c>
      <c r="AB517" s="102"/>
      <c r="AC517" s="35"/>
      <c r="AD517" s="35"/>
    </row>
    <row r="518" spans="1:30">
      <c r="A518" s="102">
        <f t="shared" si="8"/>
        <v>517</v>
      </c>
      <c r="B518" s="257">
        <f>YEAR(Table6[[#This Row],[Date]])+IF(MONTH(Table6[[#This Row],[Date]])&gt;=4,1,0)</f>
        <v>2026</v>
      </c>
      <c r="C518" s="102">
        <f>YEAR(Table6[[#This Row],[Date]])</f>
        <v>2025</v>
      </c>
      <c r="D518" s="102" t="s">
        <v>265</v>
      </c>
      <c r="E518" s="258">
        <f>Table6[[#This Row],[Date]]-DAY(Table6[[#This Row],[Date]])+1</f>
        <v>45778</v>
      </c>
      <c r="F518" s="259">
        <v>45779</v>
      </c>
      <c r="G518" s="35" t="s">
        <v>118</v>
      </c>
      <c r="H518" s="35" t="str">
        <f>IFERROR(_xlfn.XLOOKUP(Table6[[#This Row],[Affected WTG]],'Basic Data'!$A:$A,'Basic Data'!$B:$B),"")</f>
        <v>TQGXIIPL</v>
      </c>
      <c r="I518" s="35" t="str">
        <f>IFERROR(_xlfn.XLOOKUP(Table6[[#This Row],[Affected WTG]],'Basic Data'!$A:$A,'Basic Data'!$C:$C),"")</f>
        <v>GEDA</v>
      </c>
      <c r="J518" s="260">
        <f>IFERROR(_xlfn.XLOOKUP(Table6[[#This Row],[Affected WTG]],'Basic Data'!$A:$A,'Basic Data'!$E:$E),"")</f>
        <v>3.846153846153845E-2</v>
      </c>
      <c r="K518" s="102">
        <v>6130</v>
      </c>
      <c r="L518" s="35" t="str">
        <f>IFERROR(_xlfn.XLOOKUP(Table6[[#This Row],[Error Code]],'Basic Data'!$AA:$AA,'Basic Data'!$AB:$AB),"Incorrect Error Code")</f>
        <v>Yaw speed high</v>
      </c>
      <c r="M518" s="35" t="s">
        <v>278</v>
      </c>
      <c r="N518" s="264"/>
      <c r="O518" s="265">
        <v>0.68055555555555558</v>
      </c>
      <c r="P518" s="265">
        <v>0.68055555555555558</v>
      </c>
      <c r="Q518" s="266">
        <v>0.68472222222222223</v>
      </c>
      <c r="R518" s="261">
        <f>IF(Table6[[#This Row],[Work Start TimeStamp]]="","",(Table6[[#This Row],[Work Start TimeStamp]]-Table6[[#This Row],[Fault Start TimeStamp]])*24)</f>
        <v>0</v>
      </c>
      <c r="S518" s="261">
        <f>(Table6[[#This Row],[Fault Clearance time]]-Table6[[#This Row],[Work Start TimeStamp]])*24</f>
        <v>9.9999999999999645E-2</v>
      </c>
      <c r="T518" s="261">
        <f>(Table6[[#This Row],[Fault Clearance time]]-Table6[[#This Row],[Fault Start TimeStamp]])*24</f>
        <v>9.9999999999999645E-2</v>
      </c>
      <c r="U518" s="35" t="s">
        <v>277</v>
      </c>
      <c r="V518" s="102" t="s">
        <v>268</v>
      </c>
      <c r="W518" s="267">
        <f>IFERROR(Table6[[#This Row],[Breakdown Time]]*Table6[[#This Row],[Plant Equivalent Weightage]],"")</f>
        <v>3.8461538461538312E-3</v>
      </c>
      <c r="X518" s="262" t="s">
        <v>269</v>
      </c>
      <c r="Y518" s="263" t="s">
        <v>121</v>
      </c>
      <c r="Z518" s="102">
        <v>26581</v>
      </c>
      <c r="AA518" s="257">
        <f>(Table6[[#This Row],[Paired WTG Generation for loss calculation]]/24)*Table6[[#This Row],[Breakdown Time]]</f>
        <v>110.75416666666628</v>
      </c>
      <c r="AB518" s="102"/>
      <c r="AC518" s="35"/>
      <c r="AD518" s="35"/>
    </row>
    <row r="519" spans="1:30">
      <c r="A519" s="102">
        <f t="shared" si="8"/>
        <v>518</v>
      </c>
      <c r="B519" s="257">
        <f>YEAR(Table6[[#This Row],[Date]])+IF(MONTH(Table6[[#This Row],[Date]])&gt;=4,1,0)</f>
        <v>2026</v>
      </c>
      <c r="C519" s="102">
        <f>YEAR(Table6[[#This Row],[Date]])</f>
        <v>2025</v>
      </c>
      <c r="D519" s="102" t="s">
        <v>265</v>
      </c>
      <c r="E519" s="258">
        <f>Table6[[#This Row],[Date]]-DAY(Table6[[#This Row],[Date]])+1</f>
        <v>45778</v>
      </c>
      <c r="F519" s="259">
        <v>45779</v>
      </c>
      <c r="G519" s="35" t="s">
        <v>122</v>
      </c>
      <c r="H519" s="35" t="str">
        <f>IFERROR(_xlfn.XLOOKUP(Table6[[#This Row],[Affected WTG]],'Basic Data'!$A:$A,'Basic Data'!$B:$B),"")</f>
        <v>TQGXIIPL</v>
      </c>
      <c r="I519" s="35" t="str">
        <f>IFERROR(_xlfn.XLOOKUP(Table6[[#This Row],[Affected WTG]],'Basic Data'!$A:$A,'Basic Data'!$C:$C),"")</f>
        <v>GEDA</v>
      </c>
      <c r="J519" s="260">
        <f>IFERROR(_xlfn.XLOOKUP(Table6[[#This Row],[Affected WTG]],'Basic Data'!$A:$A,'Basic Data'!$E:$E),"")</f>
        <v>3.846153846153845E-2</v>
      </c>
      <c r="K519" s="102">
        <v>58</v>
      </c>
      <c r="L519" s="35" t="str">
        <f>IFERROR(_xlfn.XLOOKUP(Table6[[#This Row],[Error Code]],'Basic Data'!$AA:$AA,'Basic Data'!$AB:$AB),"Incorrect Error Code")</f>
        <v>Wind dir.dev. level 2</v>
      </c>
      <c r="M519" s="35" t="s">
        <v>266</v>
      </c>
      <c r="N519" s="264"/>
      <c r="O519" s="265">
        <v>0.58680555555555558</v>
      </c>
      <c r="P519" s="265">
        <v>0.58680555555555558</v>
      </c>
      <c r="Q519" s="266">
        <v>0.58888888888888891</v>
      </c>
      <c r="R519" s="261">
        <f>IF(Table6[[#This Row],[Work Start TimeStamp]]="","",(Table6[[#This Row],[Work Start TimeStamp]]-Table6[[#This Row],[Fault Start TimeStamp]])*24)</f>
        <v>0</v>
      </c>
      <c r="S519" s="261">
        <f>(Table6[[#This Row],[Fault Clearance time]]-Table6[[#This Row],[Work Start TimeStamp]])*24</f>
        <v>4.9999999999999822E-2</v>
      </c>
      <c r="T519" s="261">
        <f>(Table6[[#This Row],[Fault Clearance time]]-Table6[[#This Row],[Fault Start TimeStamp]])*24</f>
        <v>4.9999999999999822E-2</v>
      </c>
      <c r="U519" s="35" t="s">
        <v>267</v>
      </c>
      <c r="V519" s="102" t="s">
        <v>268</v>
      </c>
      <c r="W519" s="267">
        <f>IFERROR(Table6[[#This Row],[Breakdown Time]]*Table6[[#This Row],[Plant Equivalent Weightage]],"")</f>
        <v>1.9230769230769156E-3</v>
      </c>
      <c r="X519" s="262" t="s">
        <v>269</v>
      </c>
      <c r="Y519" s="263" t="s">
        <v>140</v>
      </c>
      <c r="Z519" s="102">
        <v>25628</v>
      </c>
      <c r="AA519" s="257">
        <f>(Table6[[#This Row],[Paired WTG Generation for loss calculation]]/24)*Table6[[#This Row],[Breakdown Time]]</f>
        <v>53.391666666666474</v>
      </c>
      <c r="AB519" s="102"/>
      <c r="AC519" s="35"/>
      <c r="AD519" s="35"/>
    </row>
    <row r="520" spans="1:30">
      <c r="A520" s="102">
        <f t="shared" si="8"/>
        <v>519</v>
      </c>
      <c r="B520" s="257">
        <f>YEAR(Table6[[#This Row],[Date]])+IF(MONTH(Table6[[#This Row],[Date]])&gt;=4,1,0)</f>
        <v>2026</v>
      </c>
      <c r="C520" s="102">
        <f>YEAR(Table6[[#This Row],[Date]])</f>
        <v>2025</v>
      </c>
      <c r="D520" s="102" t="s">
        <v>265</v>
      </c>
      <c r="E520" s="258">
        <f>Table6[[#This Row],[Date]]-DAY(Table6[[#This Row],[Date]])+1</f>
        <v>45778</v>
      </c>
      <c r="F520" s="259">
        <v>45779</v>
      </c>
      <c r="G520" s="35" t="s">
        <v>122</v>
      </c>
      <c r="H520" s="35" t="str">
        <f>IFERROR(_xlfn.XLOOKUP(Table6[[#This Row],[Affected WTG]],'Basic Data'!$A:$A,'Basic Data'!$B:$B),"")</f>
        <v>TQGXIIPL</v>
      </c>
      <c r="I520" s="35" t="str">
        <f>IFERROR(_xlfn.XLOOKUP(Table6[[#This Row],[Affected WTG]],'Basic Data'!$A:$A,'Basic Data'!$C:$C),"")</f>
        <v>GEDA</v>
      </c>
      <c r="J520" s="260">
        <f>IFERROR(_xlfn.XLOOKUP(Table6[[#This Row],[Affected WTG]],'Basic Data'!$A:$A,'Basic Data'!$E:$E),"")</f>
        <v>3.846153846153845E-2</v>
      </c>
      <c r="K520" s="102">
        <v>6130</v>
      </c>
      <c r="L520" s="35" t="str">
        <f>IFERROR(_xlfn.XLOOKUP(Table6[[#This Row],[Error Code]],'Basic Data'!$AA:$AA,'Basic Data'!$AB:$AB),"Incorrect Error Code")</f>
        <v>Yaw speed high</v>
      </c>
      <c r="M520" s="35" t="s">
        <v>278</v>
      </c>
      <c r="N520" s="264"/>
      <c r="O520" s="265">
        <v>0.56319444444444444</v>
      </c>
      <c r="P520" s="265">
        <v>0.56319444444444444</v>
      </c>
      <c r="Q520" s="266">
        <v>0.56736111111111109</v>
      </c>
      <c r="R520" s="261">
        <f>IF(Table6[[#This Row],[Work Start TimeStamp]]="","",(Table6[[#This Row],[Work Start TimeStamp]]-Table6[[#This Row],[Fault Start TimeStamp]])*24)</f>
        <v>0</v>
      </c>
      <c r="S520" s="261">
        <f>(Table6[[#This Row],[Fault Clearance time]]-Table6[[#This Row],[Work Start TimeStamp]])*24</f>
        <v>9.9999999999999645E-2</v>
      </c>
      <c r="T520" s="261">
        <f>(Table6[[#This Row],[Fault Clearance time]]-Table6[[#This Row],[Fault Start TimeStamp]])*24</f>
        <v>9.9999999999999645E-2</v>
      </c>
      <c r="U520" s="35" t="s">
        <v>277</v>
      </c>
      <c r="V520" s="102" t="s">
        <v>268</v>
      </c>
      <c r="W520" s="267">
        <f>IFERROR(Table6[[#This Row],[Breakdown Time]]*Table6[[#This Row],[Plant Equivalent Weightage]],"")</f>
        <v>3.8461538461538312E-3</v>
      </c>
      <c r="X520" s="262" t="s">
        <v>269</v>
      </c>
      <c r="Y520" s="263" t="s">
        <v>140</v>
      </c>
      <c r="Z520" s="102">
        <v>25628</v>
      </c>
      <c r="AA520" s="257">
        <f>(Table6[[#This Row],[Paired WTG Generation for loss calculation]]/24)*Table6[[#This Row],[Breakdown Time]]</f>
        <v>106.78333333333295</v>
      </c>
      <c r="AB520" s="102"/>
      <c r="AC520" s="35"/>
      <c r="AD520" s="35"/>
    </row>
    <row r="521" spans="1:30">
      <c r="A521" s="102">
        <f t="shared" si="8"/>
        <v>520</v>
      </c>
      <c r="B521" s="257">
        <f>YEAR(Table6[[#This Row],[Date]])+IF(MONTH(Table6[[#This Row],[Date]])&gt;=4,1,0)</f>
        <v>2026</v>
      </c>
      <c r="C521" s="102">
        <f>YEAR(Table6[[#This Row],[Date]])</f>
        <v>2025</v>
      </c>
      <c r="D521" s="102" t="s">
        <v>265</v>
      </c>
      <c r="E521" s="258">
        <f>Table6[[#This Row],[Date]]-DAY(Table6[[#This Row],[Date]])+1</f>
        <v>45778</v>
      </c>
      <c r="F521" s="259">
        <v>45779</v>
      </c>
      <c r="G521" s="35" t="s">
        <v>122</v>
      </c>
      <c r="H521" s="35" t="str">
        <f>IFERROR(_xlfn.XLOOKUP(Table6[[#This Row],[Affected WTG]],'Basic Data'!$A:$A,'Basic Data'!$B:$B),"")</f>
        <v>TQGXIIPL</v>
      </c>
      <c r="I521" s="35" t="str">
        <f>IFERROR(_xlfn.XLOOKUP(Table6[[#This Row],[Affected WTG]],'Basic Data'!$A:$A,'Basic Data'!$C:$C),"")</f>
        <v>GEDA</v>
      </c>
      <c r="J521" s="260">
        <f>IFERROR(_xlfn.XLOOKUP(Table6[[#This Row],[Affected WTG]],'Basic Data'!$A:$A,'Basic Data'!$E:$E),"")</f>
        <v>3.846153846153845E-2</v>
      </c>
      <c r="K521" s="102">
        <v>175</v>
      </c>
      <c r="L521" s="35" t="str">
        <f>IFERROR(_xlfn.XLOOKUP(Table6[[#This Row],[Error Code]],'Basic Data'!$AA:$AA,'Basic Data'!$AB:$AB),"Incorrect Error Code")</f>
        <v>SLC error</v>
      </c>
      <c r="M521" s="35" t="s">
        <v>266</v>
      </c>
      <c r="N521" s="264"/>
      <c r="O521" s="265">
        <v>0.61250000000000004</v>
      </c>
      <c r="P521" s="265">
        <v>0.61250000000000004</v>
      </c>
      <c r="Q521" s="266">
        <v>0.62777777777777777</v>
      </c>
      <c r="R521" s="261">
        <f>IF(Table6[[#This Row],[Work Start TimeStamp]]="","",(Table6[[#This Row],[Work Start TimeStamp]]-Table6[[#This Row],[Fault Start TimeStamp]])*24)</f>
        <v>0</v>
      </c>
      <c r="S521" s="261">
        <f>(Table6[[#This Row],[Fault Clearance time]]-Table6[[#This Row],[Work Start TimeStamp]])*24</f>
        <v>0.36666666666666536</v>
      </c>
      <c r="T521" s="261">
        <f>(Table6[[#This Row],[Fault Clearance time]]-Table6[[#This Row],[Fault Start TimeStamp]])*24</f>
        <v>0.36666666666666536</v>
      </c>
      <c r="U521" s="35" t="s">
        <v>388</v>
      </c>
      <c r="V521" s="102" t="s">
        <v>268</v>
      </c>
      <c r="W521" s="267">
        <f>IFERROR(Table6[[#This Row],[Breakdown Time]]*Table6[[#This Row],[Plant Equivalent Weightage]],"")</f>
        <v>1.4102564102564049E-2</v>
      </c>
      <c r="X521" s="262" t="s">
        <v>269</v>
      </c>
      <c r="Y521" s="263" t="s">
        <v>140</v>
      </c>
      <c r="Z521" s="102">
        <v>25628</v>
      </c>
      <c r="AA521" s="257">
        <f>(Table6[[#This Row],[Paired WTG Generation for loss calculation]]/24)*Table6[[#This Row],[Breakdown Time]]</f>
        <v>391.53888888888747</v>
      </c>
      <c r="AB521" s="102"/>
      <c r="AC521" s="35"/>
      <c r="AD521" s="35"/>
    </row>
    <row r="522" spans="1:30">
      <c r="A522" s="102">
        <f t="shared" si="8"/>
        <v>521</v>
      </c>
      <c r="B522" s="257">
        <f>YEAR(Table6[[#This Row],[Date]])+IF(MONTH(Table6[[#This Row],[Date]])&gt;=4,1,0)</f>
        <v>2026</v>
      </c>
      <c r="C522" s="102">
        <f>YEAR(Table6[[#This Row],[Date]])</f>
        <v>2025</v>
      </c>
      <c r="D522" s="102" t="s">
        <v>265</v>
      </c>
      <c r="E522" s="258">
        <f>Table6[[#This Row],[Date]]-DAY(Table6[[#This Row],[Date]])+1</f>
        <v>45778</v>
      </c>
      <c r="F522" s="259">
        <v>45779</v>
      </c>
      <c r="G522" s="35" t="s">
        <v>125</v>
      </c>
      <c r="H522" s="35" t="str">
        <f>IFERROR(_xlfn.XLOOKUP(Table6[[#This Row],[Affected WTG]],'Basic Data'!$A:$A,'Basic Data'!$B:$B),"")</f>
        <v>TQGXIIPL</v>
      </c>
      <c r="I522" s="35" t="str">
        <f>IFERROR(_xlfn.XLOOKUP(Table6[[#This Row],[Affected WTG]],'Basic Data'!$A:$A,'Basic Data'!$C:$C),"")</f>
        <v>GEDA</v>
      </c>
      <c r="J522" s="260">
        <f>IFERROR(_xlfn.XLOOKUP(Table6[[#This Row],[Affected WTG]],'Basic Data'!$A:$A,'Basic Data'!$E:$E),"")</f>
        <v>3.846153846153845E-2</v>
      </c>
      <c r="K522" s="102">
        <v>6130</v>
      </c>
      <c r="L522" s="35" t="str">
        <f>IFERROR(_xlfn.XLOOKUP(Table6[[#This Row],[Error Code]],'Basic Data'!$AA:$AA,'Basic Data'!$AB:$AB),"Incorrect Error Code")</f>
        <v>Yaw speed high</v>
      </c>
      <c r="M522" s="35" t="s">
        <v>278</v>
      </c>
      <c r="N522" s="264"/>
      <c r="O522" s="265">
        <v>0.52361111111111114</v>
      </c>
      <c r="P522" s="265">
        <v>0.52361111111111114</v>
      </c>
      <c r="Q522" s="266">
        <v>0.52777777777777779</v>
      </c>
      <c r="R522" s="261">
        <f>IF(Table6[[#This Row],[Work Start TimeStamp]]="","",(Table6[[#This Row],[Work Start TimeStamp]]-Table6[[#This Row],[Fault Start TimeStamp]])*24)</f>
        <v>0</v>
      </c>
      <c r="S522" s="261">
        <f>(Table6[[#This Row],[Fault Clearance time]]-Table6[[#This Row],[Work Start TimeStamp]])*24</f>
        <v>9.9999999999999645E-2</v>
      </c>
      <c r="T522" s="261">
        <f>(Table6[[#This Row],[Fault Clearance time]]-Table6[[#This Row],[Fault Start TimeStamp]])*24</f>
        <v>9.9999999999999645E-2</v>
      </c>
      <c r="U522" s="35" t="s">
        <v>277</v>
      </c>
      <c r="V522" s="102" t="s">
        <v>268</v>
      </c>
      <c r="W522" s="267">
        <f>IFERROR(Table6[[#This Row],[Breakdown Time]]*Table6[[#This Row],[Plant Equivalent Weightage]],"")</f>
        <v>3.8461538461538312E-3</v>
      </c>
      <c r="X522" s="262" t="s">
        <v>269</v>
      </c>
      <c r="Y522" s="263" t="s">
        <v>126</v>
      </c>
      <c r="Z522" s="102">
        <v>25954</v>
      </c>
      <c r="AA522" s="257">
        <f>(Table6[[#This Row],[Paired WTG Generation for loss calculation]]/24)*Table6[[#This Row],[Breakdown Time]]</f>
        <v>108.1416666666663</v>
      </c>
      <c r="AB522" s="102"/>
      <c r="AC522" s="35"/>
      <c r="AD522" s="35"/>
    </row>
    <row r="523" spans="1:30">
      <c r="A523" s="102">
        <f t="shared" si="8"/>
        <v>522</v>
      </c>
      <c r="B523" s="257">
        <f>YEAR(Table6[[#This Row],[Date]])+IF(MONTH(Table6[[#This Row],[Date]])&gt;=4,1,0)</f>
        <v>2026</v>
      </c>
      <c r="C523" s="102">
        <f>YEAR(Table6[[#This Row],[Date]])</f>
        <v>2025</v>
      </c>
      <c r="D523" s="102" t="s">
        <v>265</v>
      </c>
      <c r="E523" s="258">
        <f>Table6[[#This Row],[Date]]-DAY(Table6[[#This Row],[Date]])+1</f>
        <v>45778</v>
      </c>
      <c r="F523" s="259">
        <v>45779</v>
      </c>
      <c r="G523" s="35" t="s">
        <v>127</v>
      </c>
      <c r="H523" s="35" t="str">
        <f>IFERROR(_xlfn.XLOOKUP(Table6[[#This Row],[Affected WTG]],'Basic Data'!$A:$A,'Basic Data'!$B:$B),"")</f>
        <v>TQGXIIPL</v>
      </c>
      <c r="I523" s="35" t="str">
        <f>IFERROR(_xlfn.XLOOKUP(Table6[[#This Row],[Affected WTG]],'Basic Data'!$A:$A,'Basic Data'!$C:$C),"")</f>
        <v>GEDA</v>
      </c>
      <c r="J523" s="260">
        <f>IFERROR(_xlfn.XLOOKUP(Table6[[#This Row],[Affected WTG]],'Basic Data'!$A:$A,'Basic Data'!$E:$E),"")</f>
        <v>3.846153846153845E-2</v>
      </c>
      <c r="K523" s="102">
        <v>6056</v>
      </c>
      <c r="L523" s="35" t="str">
        <f>IFERROR(_xlfn.XLOOKUP(Table6[[#This Row],[Error Code]],'Basic Data'!$AA:$AA,'Basic Data'!$AB:$AB),"Incorrect Error Code")</f>
        <v>High yaw load</v>
      </c>
      <c r="M523" s="35" t="s">
        <v>266</v>
      </c>
      <c r="N523" s="264"/>
      <c r="O523" s="265">
        <v>0.66111111111111109</v>
      </c>
      <c r="P523" s="265">
        <v>0.66111111111111109</v>
      </c>
      <c r="Q523" s="266">
        <v>0.66319444444444442</v>
      </c>
      <c r="R523" s="261">
        <f>IF(Table6[[#This Row],[Work Start TimeStamp]]="","",(Table6[[#This Row],[Work Start TimeStamp]]-Table6[[#This Row],[Fault Start TimeStamp]])*24)</f>
        <v>0</v>
      </c>
      <c r="S523" s="261">
        <f>(Table6[[#This Row],[Fault Clearance time]]-Table6[[#This Row],[Work Start TimeStamp]])*24</f>
        <v>4.9999999999999822E-2</v>
      </c>
      <c r="T523" s="261">
        <f>(Table6[[#This Row],[Fault Clearance time]]-Table6[[#This Row],[Fault Start TimeStamp]])*24</f>
        <v>4.9999999999999822E-2</v>
      </c>
      <c r="U523" s="35" t="s">
        <v>267</v>
      </c>
      <c r="V523" s="102" t="s">
        <v>268</v>
      </c>
      <c r="W523" s="267">
        <f>IFERROR(Table6[[#This Row],[Breakdown Time]]*Table6[[#This Row],[Plant Equivalent Weightage]],"")</f>
        <v>1.9230769230769156E-3</v>
      </c>
      <c r="X523" s="262" t="s">
        <v>269</v>
      </c>
      <c r="Y523" s="263" t="s">
        <v>125</v>
      </c>
      <c r="Z523" s="102">
        <v>26607</v>
      </c>
      <c r="AA523" s="257">
        <f>(Table6[[#This Row],[Paired WTG Generation for loss calculation]]/24)*Table6[[#This Row],[Breakdown Time]]</f>
        <v>55.4312499999998</v>
      </c>
      <c r="AB523" s="102"/>
      <c r="AC523" s="35"/>
      <c r="AD523" s="35"/>
    </row>
    <row r="524" spans="1:30">
      <c r="A524" s="102">
        <f t="shared" si="8"/>
        <v>523</v>
      </c>
      <c r="B524" s="257">
        <f>YEAR(Table6[[#This Row],[Date]])+IF(MONTH(Table6[[#This Row],[Date]])&gt;=4,1,0)</f>
        <v>2026</v>
      </c>
      <c r="C524" s="102">
        <f>YEAR(Table6[[#This Row],[Date]])</f>
        <v>2025</v>
      </c>
      <c r="D524" s="102" t="s">
        <v>265</v>
      </c>
      <c r="E524" s="258">
        <f>Table6[[#This Row],[Date]]-DAY(Table6[[#This Row],[Date]])+1</f>
        <v>45778</v>
      </c>
      <c r="F524" s="259">
        <v>45779</v>
      </c>
      <c r="G524" s="35" t="s">
        <v>131</v>
      </c>
      <c r="H524" s="35" t="str">
        <f>IFERROR(_xlfn.XLOOKUP(Table6[[#This Row],[Affected WTG]],'Basic Data'!$A:$A,'Basic Data'!$B:$B),"")</f>
        <v>TQGXIIPL</v>
      </c>
      <c r="I524" s="35" t="str">
        <f>IFERROR(_xlfn.XLOOKUP(Table6[[#This Row],[Affected WTG]],'Basic Data'!$A:$A,'Basic Data'!$C:$C),"")</f>
        <v>GEDA</v>
      </c>
      <c r="J524" s="260">
        <f>IFERROR(_xlfn.XLOOKUP(Table6[[#This Row],[Affected WTG]],'Basic Data'!$A:$A,'Basic Data'!$E:$E),"")</f>
        <v>3.846153846153845E-2</v>
      </c>
      <c r="K524" s="102">
        <v>55</v>
      </c>
      <c r="L524" s="35" t="str">
        <f>IFERROR(_xlfn.XLOOKUP(Table6[[#This Row],[Error Code]],'Basic Data'!$AA:$AA,'Basic Data'!$AB:$AB),"Incorrect Error Code")</f>
        <v>WTG shut down</v>
      </c>
      <c r="M524" s="35" t="s">
        <v>266</v>
      </c>
      <c r="N524" s="264"/>
      <c r="O524" s="265">
        <v>0.48472222222222222</v>
      </c>
      <c r="P524" s="265">
        <v>0.48472222222222222</v>
      </c>
      <c r="Q524" s="266">
        <v>0.4861111111111111</v>
      </c>
      <c r="R524" s="261">
        <f>IF(Table6[[#This Row],[Work Start TimeStamp]]="","",(Table6[[#This Row],[Work Start TimeStamp]]-Table6[[#This Row],[Fault Start TimeStamp]])*24)</f>
        <v>0</v>
      </c>
      <c r="S524" s="261">
        <f>(Table6[[#This Row],[Fault Clearance time]]-Table6[[#This Row],[Work Start TimeStamp]])*24</f>
        <v>3.3333333333333215E-2</v>
      </c>
      <c r="T524" s="261">
        <f>(Table6[[#This Row],[Fault Clearance time]]-Table6[[#This Row],[Fault Start TimeStamp]])*24</f>
        <v>3.3333333333333215E-2</v>
      </c>
      <c r="U524" s="35" t="s">
        <v>389</v>
      </c>
      <c r="V524" s="102" t="s">
        <v>268</v>
      </c>
      <c r="W524" s="267">
        <f>IFERROR(Table6[[#This Row],[Breakdown Time]]*Table6[[#This Row],[Plant Equivalent Weightage]],"")</f>
        <v>1.2820512820512771E-3</v>
      </c>
      <c r="X524" s="262" t="s">
        <v>269</v>
      </c>
      <c r="Y524" s="263" t="s">
        <v>136</v>
      </c>
      <c r="Z524" s="102">
        <v>28813</v>
      </c>
      <c r="AA524" s="257">
        <f>(Table6[[#This Row],[Paired WTG Generation for loss calculation]]/24)*Table6[[#This Row],[Breakdown Time]]</f>
        <v>40.018055555555414</v>
      </c>
      <c r="AB524" s="102"/>
      <c r="AC524" s="35"/>
      <c r="AD524" s="35"/>
    </row>
    <row r="525" spans="1:30">
      <c r="A525" s="102">
        <f t="shared" si="8"/>
        <v>524</v>
      </c>
      <c r="B525" s="257">
        <f>YEAR(Table6[[#This Row],[Date]])+IF(MONTH(Table6[[#This Row],[Date]])&gt;=4,1,0)</f>
        <v>2026</v>
      </c>
      <c r="C525" s="102">
        <f>YEAR(Table6[[#This Row],[Date]])</f>
        <v>2025</v>
      </c>
      <c r="D525" s="102" t="s">
        <v>265</v>
      </c>
      <c r="E525" s="258">
        <f>Table6[[#This Row],[Date]]-DAY(Table6[[#This Row],[Date]])+1</f>
        <v>45778</v>
      </c>
      <c r="F525" s="259">
        <v>45779</v>
      </c>
      <c r="G525" s="35" t="s">
        <v>132</v>
      </c>
      <c r="H525" s="35" t="str">
        <f>IFERROR(_xlfn.XLOOKUP(Table6[[#This Row],[Affected WTG]],'Basic Data'!$A:$A,'Basic Data'!$B:$B),"")</f>
        <v>TQGXIIPL</v>
      </c>
      <c r="I525" s="35" t="str">
        <f>IFERROR(_xlfn.XLOOKUP(Table6[[#This Row],[Affected WTG]],'Basic Data'!$A:$A,'Basic Data'!$C:$C),"")</f>
        <v>GEDA</v>
      </c>
      <c r="J525" s="260">
        <f>IFERROR(_xlfn.XLOOKUP(Table6[[#This Row],[Affected WTG]],'Basic Data'!$A:$A,'Basic Data'!$E:$E),"")</f>
        <v>3.846153846153845E-2</v>
      </c>
      <c r="K525" s="102">
        <v>172</v>
      </c>
      <c r="L525" s="35" t="str">
        <f>IFERROR(_xlfn.XLOOKUP(Table6[[#This Row],[Error Code]],'Basic Data'!$AA:$AA,'Basic Data'!$AB:$AB),"Incorrect Error Code")</f>
        <v>SLC MF torque protection</v>
      </c>
      <c r="M525" s="35" t="s">
        <v>266</v>
      </c>
      <c r="N525" s="264"/>
      <c r="O525" s="265">
        <v>7.1527777777777773E-2</v>
      </c>
      <c r="P525" s="265">
        <v>7.1527777777777773E-2</v>
      </c>
      <c r="Q525" s="266">
        <v>8.7499999999999994E-2</v>
      </c>
      <c r="R525" s="261">
        <f>IF(Table6[[#This Row],[Work Start TimeStamp]]="","",(Table6[[#This Row],[Work Start TimeStamp]]-Table6[[#This Row],[Fault Start TimeStamp]])*24)</f>
        <v>0</v>
      </c>
      <c r="S525" s="261">
        <f>(Table6[[#This Row],[Fault Clearance time]]-Table6[[#This Row],[Work Start TimeStamp]])*24</f>
        <v>0.3833333333333333</v>
      </c>
      <c r="T525" s="261">
        <f>(Table6[[#This Row],[Fault Clearance time]]-Table6[[#This Row],[Fault Start TimeStamp]])*24</f>
        <v>0.3833333333333333</v>
      </c>
      <c r="U525" s="35" t="s">
        <v>329</v>
      </c>
      <c r="V525" s="102" t="s">
        <v>268</v>
      </c>
      <c r="W525" s="267">
        <f>IFERROR(Table6[[#This Row],[Breakdown Time]]*Table6[[#This Row],[Plant Equivalent Weightage]],"")</f>
        <v>1.4743589743589738E-2</v>
      </c>
      <c r="X525" s="262" t="s">
        <v>269</v>
      </c>
      <c r="Y525" s="263" t="s">
        <v>120</v>
      </c>
      <c r="Z525" s="102">
        <v>29048</v>
      </c>
      <c r="AA525" s="257">
        <f>(Table6[[#This Row],[Paired WTG Generation for loss calculation]]/24)*Table6[[#This Row],[Breakdown Time]]</f>
        <v>463.96111111111105</v>
      </c>
      <c r="AB525" s="102"/>
      <c r="AC525" s="35"/>
      <c r="AD525" s="35"/>
    </row>
    <row r="526" spans="1:30">
      <c r="A526" s="102">
        <f t="shared" ref="A526:A589" si="9">A525+1</f>
        <v>525</v>
      </c>
      <c r="B526" s="257">
        <f>YEAR(Table6[[#This Row],[Date]])+IF(MONTH(Table6[[#This Row],[Date]])&gt;=4,1,0)</f>
        <v>2026</v>
      </c>
      <c r="C526" s="102">
        <f>YEAR(Table6[[#This Row],[Date]])</f>
        <v>2025</v>
      </c>
      <c r="D526" s="102" t="s">
        <v>265</v>
      </c>
      <c r="E526" s="258">
        <f>Table6[[#This Row],[Date]]-DAY(Table6[[#This Row],[Date]])+1</f>
        <v>45778</v>
      </c>
      <c r="F526" s="259">
        <v>45779</v>
      </c>
      <c r="G526" s="35" t="s">
        <v>132</v>
      </c>
      <c r="H526" s="35" t="str">
        <f>IFERROR(_xlfn.XLOOKUP(Table6[[#This Row],[Affected WTG]],'Basic Data'!$A:$A,'Basic Data'!$B:$B),"")</f>
        <v>TQGXIIPL</v>
      </c>
      <c r="I526" s="35" t="str">
        <f>IFERROR(_xlfn.XLOOKUP(Table6[[#This Row],[Affected WTG]],'Basic Data'!$A:$A,'Basic Data'!$C:$C),"")</f>
        <v>GEDA</v>
      </c>
      <c r="J526" s="260">
        <f>IFERROR(_xlfn.XLOOKUP(Table6[[#This Row],[Affected WTG]],'Basic Data'!$A:$A,'Basic Data'!$E:$E),"")</f>
        <v>3.846153846153845E-2</v>
      </c>
      <c r="K526" s="102">
        <v>55</v>
      </c>
      <c r="L526" s="35" t="str">
        <f>IFERROR(_xlfn.XLOOKUP(Table6[[#This Row],[Error Code]],'Basic Data'!$AA:$AA,'Basic Data'!$AB:$AB),"Incorrect Error Code")</f>
        <v>WTG shut down</v>
      </c>
      <c r="M526" s="35" t="s">
        <v>266</v>
      </c>
      <c r="N526" s="264"/>
      <c r="O526" s="265">
        <v>0.48749999999999999</v>
      </c>
      <c r="P526" s="265">
        <v>0.48749999999999999</v>
      </c>
      <c r="Q526" s="266">
        <v>0.48958333333333331</v>
      </c>
      <c r="R526" s="261">
        <f>IF(Table6[[#This Row],[Work Start TimeStamp]]="","",(Table6[[#This Row],[Work Start TimeStamp]]-Table6[[#This Row],[Fault Start TimeStamp]])*24)</f>
        <v>0</v>
      </c>
      <c r="S526" s="261">
        <f>(Table6[[#This Row],[Fault Clearance time]]-Table6[[#This Row],[Work Start TimeStamp]])*24</f>
        <v>4.9999999999999822E-2</v>
      </c>
      <c r="T526" s="261">
        <f>(Table6[[#This Row],[Fault Clearance time]]-Table6[[#This Row],[Fault Start TimeStamp]])*24</f>
        <v>4.9999999999999822E-2</v>
      </c>
      <c r="U526" s="35" t="s">
        <v>389</v>
      </c>
      <c r="V526" s="102" t="s">
        <v>268</v>
      </c>
      <c r="W526" s="267">
        <f>IFERROR(Table6[[#This Row],[Breakdown Time]]*Table6[[#This Row],[Plant Equivalent Weightage]],"")</f>
        <v>1.9230769230769156E-3</v>
      </c>
      <c r="X526" s="262" t="s">
        <v>296</v>
      </c>
      <c r="Y526" s="263" t="s">
        <v>120</v>
      </c>
      <c r="Z526" s="102">
        <v>29048</v>
      </c>
      <c r="AA526" s="257">
        <f>(Table6[[#This Row],[Paired WTG Generation for loss calculation]]/24)*Table6[[#This Row],[Breakdown Time]]</f>
        <v>60.516666666666445</v>
      </c>
      <c r="AB526" s="102"/>
      <c r="AC526" s="35"/>
      <c r="AD526" s="35"/>
    </row>
    <row r="527" spans="1:30">
      <c r="A527" s="102">
        <f t="shared" si="9"/>
        <v>526</v>
      </c>
      <c r="B527" s="257">
        <f>YEAR(Table6[[#This Row],[Date]])+IF(MONTH(Table6[[#This Row],[Date]])&gt;=4,1,0)</f>
        <v>2026</v>
      </c>
      <c r="C527" s="102">
        <f>YEAR(Table6[[#This Row],[Date]])</f>
        <v>2025</v>
      </c>
      <c r="D527" s="102" t="s">
        <v>265</v>
      </c>
      <c r="E527" s="258">
        <f>Table6[[#This Row],[Date]]-DAY(Table6[[#This Row],[Date]])+1</f>
        <v>45778</v>
      </c>
      <c r="F527" s="259">
        <v>45779</v>
      </c>
      <c r="G527" s="35" t="s">
        <v>135</v>
      </c>
      <c r="H527" s="35" t="str">
        <f>IFERROR(_xlfn.XLOOKUP(Table6[[#This Row],[Affected WTG]],'Basic Data'!$A:$A,'Basic Data'!$B:$B),"")</f>
        <v>TQGXIIPL</v>
      </c>
      <c r="I527" s="35" t="str">
        <f>IFERROR(_xlfn.XLOOKUP(Table6[[#This Row],[Affected WTG]],'Basic Data'!$A:$A,'Basic Data'!$C:$C),"")</f>
        <v>GEDA</v>
      </c>
      <c r="J527" s="260">
        <f>IFERROR(_xlfn.XLOOKUP(Table6[[#This Row],[Affected WTG]],'Basic Data'!$A:$A,'Basic Data'!$E:$E),"")</f>
        <v>3.846153846153845E-2</v>
      </c>
      <c r="K527" s="102">
        <v>55</v>
      </c>
      <c r="L527" s="35" t="str">
        <f>IFERROR(_xlfn.XLOOKUP(Table6[[#This Row],[Error Code]],'Basic Data'!$AA:$AA,'Basic Data'!$AB:$AB),"Incorrect Error Code")</f>
        <v>WTG shut down</v>
      </c>
      <c r="M527" s="35" t="s">
        <v>271</v>
      </c>
      <c r="N527" s="264"/>
      <c r="O527" s="265">
        <v>0.30972222222222223</v>
      </c>
      <c r="P527" s="265">
        <v>0.30972222222222223</v>
      </c>
      <c r="Q527" s="266">
        <v>0.6875</v>
      </c>
      <c r="R527" s="261">
        <f>IF(Table6[[#This Row],[Work Start TimeStamp]]="","",(Table6[[#This Row],[Work Start TimeStamp]]-Table6[[#This Row],[Fault Start TimeStamp]])*24)</f>
        <v>0</v>
      </c>
      <c r="S527" s="261">
        <f>(Table6[[#This Row],[Fault Clearance time]]-Table6[[#This Row],[Work Start TimeStamp]])*24</f>
        <v>9.0666666666666664</v>
      </c>
      <c r="T527" s="261">
        <f>(Table6[[#This Row],[Fault Clearance time]]-Table6[[#This Row],[Fault Start TimeStamp]])*24</f>
        <v>9.0666666666666664</v>
      </c>
      <c r="U527" s="35" t="s">
        <v>390</v>
      </c>
      <c r="V527" s="102" t="s">
        <v>268</v>
      </c>
      <c r="W527" s="267">
        <f>IFERROR(Table6[[#This Row],[Breakdown Time]]*Table6[[#This Row],[Plant Equivalent Weightage]],"")</f>
        <v>0.34871794871794859</v>
      </c>
      <c r="X527" s="262" t="s">
        <v>273</v>
      </c>
      <c r="Y527" s="263" t="s">
        <v>120</v>
      </c>
      <c r="Z527" s="102">
        <v>29048</v>
      </c>
      <c r="AA527" s="257">
        <f>(Table6[[#This Row],[Paired WTG Generation for loss calculation]]/24)*Table6[[#This Row],[Breakdown Time]]</f>
        <v>10973.688888888888</v>
      </c>
      <c r="AB527" s="102"/>
      <c r="AC527" s="35"/>
      <c r="AD527" s="35"/>
    </row>
    <row r="528" spans="1:30">
      <c r="A528" s="102">
        <f t="shared" si="9"/>
        <v>527</v>
      </c>
      <c r="B528" s="257">
        <f>YEAR(Table6[[#This Row],[Date]])+IF(MONTH(Table6[[#This Row],[Date]])&gt;=4,1,0)</f>
        <v>2026</v>
      </c>
      <c r="C528" s="102">
        <f>YEAR(Table6[[#This Row],[Date]])</f>
        <v>2025</v>
      </c>
      <c r="D528" s="102" t="s">
        <v>265</v>
      </c>
      <c r="E528" s="258">
        <f>Table6[[#This Row],[Date]]-DAY(Table6[[#This Row],[Date]])+1</f>
        <v>45778</v>
      </c>
      <c r="F528" s="259">
        <v>45779</v>
      </c>
      <c r="G528" s="35" t="s">
        <v>140</v>
      </c>
      <c r="H528" s="35" t="str">
        <f>IFERROR(_xlfn.XLOOKUP(Table6[[#This Row],[Affected WTG]],'Basic Data'!$A:$A,'Basic Data'!$B:$B),"")</f>
        <v>TQGXIIPL</v>
      </c>
      <c r="I528" s="35" t="str">
        <f>IFERROR(_xlfn.XLOOKUP(Table6[[#This Row],[Affected WTG]],'Basic Data'!$A:$A,'Basic Data'!$C:$C),"")</f>
        <v>GEDA</v>
      </c>
      <c r="J528" s="260">
        <f>IFERROR(_xlfn.XLOOKUP(Table6[[#This Row],[Affected WTG]],'Basic Data'!$A:$A,'Basic Data'!$E:$E),"")</f>
        <v>3.846153846153845E-2</v>
      </c>
      <c r="K528" s="102">
        <v>6130</v>
      </c>
      <c r="L528" s="35" t="str">
        <f>IFERROR(_xlfn.XLOOKUP(Table6[[#This Row],[Error Code]],'Basic Data'!$AA:$AA,'Basic Data'!$AB:$AB),"Incorrect Error Code")</f>
        <v>Yaw speed high</v>
      </c>
      <c r="M528" s="35" t="s">
        <v>266</v>
      </c>
      <c r="N528" s="264"/>
      <c r="O528" s="265">
        <v>0.625</v>
      </c>
      <c r="P528" s="265">
        <v>0.625</v>
      </c>
      <c r="Q528" s="266">
        <v>0.62916666666666665</v>
      </c>
      <c r="R528" s="261">
        <f>IF(Table6[[#This Row],[Work Start TimeStamp]]="","",(Table6[[#This Row],[Work Start TimeStamp]]-Table6[[#This Row],[Fault Start TimeStamp]])*24)</f>
        <v>0</v>
      </c>
      <c r="S528" s="261">
        <f>(Table6[[#This Row],[Fault Clearance time]]-Table6[[#This Row],[Work Start TimeStamp]])*24</f>
        <v>9.9999999999999645E-2</v>
      </c>
      <c r="T528" s="261">
        <f>(Table6[[#This Row],[Fault Clearance time]]-Table6[[#This Row],[Fault Start TimeStamp]])*24</f>
        <v>9.9999999999999645E-2</v>
      </c>
      <c r="U528" s="35" t="s">
        <v>267</v>
      </c>
      <c r="V528" s="102" t="s">
        <v>268</v>
      </c>
      <c r="W528" s="267">
        <f>IFERROR(Table6[[#This Row],[Breakdown Time]]*Table6[[#This Row],[Plant Equivalent Weightage]],"")</f>
        <v>3.8461538461538312E-3</v>
      </c>
      <c r="X528" s="262" t="s">
        <v>269</v>
      </c>
      <c r="Y528" s="263" t="s">
        <v>115</v>
      </c>
      <c r="Z528" s="102">
        <v>29702</v>
      </c>
      <c r="AA528" s="257">
        <f>(Table6[[#This Row],[Paired WTG Generation for loss calculation]]/24)*Table6[[#This Row],[Breakdown Time]]</f>
        <v>123.75833333333289</v>
      </c>
      <c r="AB528" s="102"/>
      <c r="AC528" s="35"/>
      <c r="AD528" s="35"/>
    </row>
    <row r="529" spans="1:30">
      <c r="A529" s="102">
        <f t="shared" si="9"/>
        <v>528</v>
      </c>
      <c r="B529" s="257">
        <f>YEAR(Table6[[#This Row],[Date]])+IF(MONTH(Table6[[#This Row],[Date]])&gt;=4,1,0)</f>
        <v>2026</v>
      </c>
      <c r="C529" s="102">
        <f>YEAR(Table6[[#This Row],[Date]])</f>
        <v>2025</v>
      </c>
      <c r="D529" s="102" t="s">
        <v>265</v>
      </c>
      <c r="E529" s="258">
        <f>Table6[[#This Row],[Date]]-DAY(Table6[[#This Row],[Date]])+1</f>
        <v>45778</v>
      </c>
      <c r="F529" s="259">
        <v>45779</v>
      </c>
      <c r="G529" s="35" t="s">
        <v>140</v>
      </c>
      <c r="H529" s="35" t="str">
        <f>IFERROR(_xlfn.XLOOKUP(Table6[[#This Row],[Affected WTG]],'Basic Data'!$A:$A,'Basic Data'!$B:$B),"")</f>
        <v>TQGXIIPL</v>
      </c>
      <c r="I529" s="35" t="str">
        <f>IFERROR(_xlfn.XLOOKUP(Table6[[#This Row],[Affected WTG]],'Basic Data'!$A:$A,'Basic Data'!$C:$C),"")</f>
        <v>GEDA</v>
      </c>
      <c r="J529" s="260">
        <f>IFERROR(_xlfn.XLOOKUP(Table6[[#This Row],[Affected WTG]],'Basic Data'!$A:$A,'Basic Data'!$E:$E),"")</f>
        <v>3.846153846153845E-2</v>
      </c>
      <c r="K529" s="102">
        <v>6130</v>
      </c>
      <c r="L529" s="35" t="str">
        <f>IFERROR(_xlfn.XLOOKUP(Table6[[#This Row],[Error Code]],'Basic Data'!$AA:$AA,'Basic Data'!$AB:$AB),"Incorrect Error Code")</f>
        <v>Yaw speed high</v>
      </c>
      <c r="M529" s="35" t="s">
        <v>266</v>
      </c>
      <c r="N529" s="264"/>
      <c r="O529" s="265">
        <v>0.73472222222222228</v>
      </c>
      <c r="P529" s="265">
        <v>0.73472222222222228</v>
      </c>
      <c r="Q529" s="266">
        <v>0.74444444444444446</v>
      </c>
      <c r="R529" s="261">
        <f>IF(Table6[[#This Row],[Work Start TimeStamp]]="","",(Table6[[#This Row],[Work Start TimeStamp]]-Table6[[#This Row],[Fault Start TimeStamp]])*24)</f>
        <v>0</v>
      </c>
      <c r="S529" s="261">
        <f>(Table6[[#This Row],[Fault Clearance time]]-Table6[[#This Row],[Work Start TimeStamp]])*24</f>
        <v>0.2333333333333325</v>
      </c>
      <c r="T529" s="261">
        <f>(Table6[[#This Row],[Fault Clearance time]]-Table6[[#This Row],[Fault Start TimeStamp]])*24</f>
        <v>0.2333333333333325</v>
      </c>
      <c r="U529" s="35" t="s">
        <v>267</v>
      </c>
      <c r="V529" s="102" t="s">
        <v>268</v>
      </c>
      <c r="W529" s="267">
        <f>IFERROR(Table6[[#This Row],[Breakdown Time]]*Table6[[#This Row],[Plant Equivalent Weightage]],"")</f>
        <v>8.974358974358939E-3</v>
      </c>
      <c r="X529" s="262" t="s">
        <v>269</v>
      </c>
      <c r="Y529" s="263" t="s">
        <v>115</v>
      </c>
      <c r="Z529" s="102">
        <v>29702</v>
      </c>
      <c r="AA529" s="257">
        <f>(Table6[[#This Row],[Paired WTG Generation for loss calculation]]/24)*Table6[[#This Row],[Breakdown Time]]</f>
        <v>288.76944444444342</v>
      </c>
      <c r="AB529" s="102"/>
      <c r="AC529" s="35"/>
      <c r="AD529" s="35"/>
    </row>
    <row r="530" spans="1:30">
      <c r="A530" s="102">
        <f t="shared" si="9"/>
        <v>529</v>
      </c>
      <c r="B530" s="257">
        <f>YEAR(Table6[[#This Row],[Date]])+IF(MONTH(Table6[[#This Row],[Date]])&gt;=4,1,0)</f>
        <v>2026</v>
      </c>
      <c r="C530" s="102">
        <f>YEAR(Table6[[#This Row],[Date]])</f>
        <v>2025</v>
      </c>
      <c r="D530" s="102" t="s">
        <v>265</v>
      </c>
      <c r="E530" s="258">
        <f>Table6[[#This Row],[Date]]-DAY(Table6[[#This Row],[Date]])+1</f>
        <v>45778</v>
      </c>
      <c r="F530" s="259">
        <v>45780</v>
      </c>
      <c r="G530" s="35" t="s">
        <v>115</v>
      </c>
      <c r="H530" s="35" t="str">
        <f>IFERROR(_xlfn.XLOOKUP(Table6[[#This Row],[Affected WTG]],'Basic Data'!$A:$A,'Basic Data'!$B:$B),"")</f>
        <v>TQGXIIPL</v>
      </c>
      <c r="I530" s="35" t="str">
        <f>IFERROR(_xlfn.XLOOKUP(Table6[[#This Row],[Affected WTG]],'Basic Data'!$A:$A,'Basic Data'!$C:$C),"")</f>
        <v>GEDA</v>
      </c>
      <c r="J530" s="260">
        <f>IFERROR(_xlfn.XLOOKUP(Table6[[#This Row],[Affected WTG]],'Basic Data'!$A:$A,'Basic Data'!$E:$E),"")</f>
        <v>3.846153846153845E-2</v>
      </c>
      <c r="K530" s="102">
        <v>7002</v>
      </c>
      <c r="L530" s="35" t="str">
        <f>IFERROR(_xlfn.XLOOKUP(Table6[[#This Row],[Error Code]],'Basic Data'!$AA:$AA,'Basic Data'!$AB:$AB),"Incorrect Error Code")</f>
        <v>Task runtime failure 5ms</v>
      </c>
      <c r="M530" s="35" t="s">
        <v>266</v>
      </c>
      <c r="N530" s="264"/>
      <c r="O530" s="265">
        <v>0.16666666666666666</v>
      </c>
      <c r="P530" s="265">
        <v>0.16666666666666666</v>
      </c>
      <c r="Q530" s="266">
        <v>0.17152777777777778</v>
      </c>
      <c r="R530" s="261">
        <f>IF(Table6[[#This Row],[Work Start TimeStamp]]="","",(Table6[[#This Row],[Work Start TimeStamp]]-Table6[[#This Row],[Fault Start TimeStamp]])*24)</f>
        <v>0</v>
      </c>
      <c r="S530" s="261">
        <f>(Table6[[#This Row],[Fault Clearance time]]-Table6[[#This Row],[Work Start TimeStamp]])*24</f>
        <v>0.11666666666666692</v>
      </c>
      <c r="T530" s="261">
        <f>(Table6[[#This Row],[Fault Clearance time]]-Table6[[#This Row],[Fault Start TimeStamp]])*24</f>
        <v>0.11666666666666692</v>
      </c>
      <c r="U530" s="35" t="s">
        <v>267</v>
      </c>
      <c r="V530" s="102" t="s">
        <v>268</v>
      </c>
      <c r="W530" s="267">
        <f>IFERROR(Table6[[#This Row],[Breakdown Time]]*Table6[[#This Row],[Plant Equivalent Weightage]],"")</f>
        <v>4.4871794871794955E-3</v>
      </c>
      <c r="X530" s="262" t="s">
        <v>269</v>
      </c>
      <c r="Y530" s="263" t="s">
        <v>140</v>
      </c>
      <c r="Z530" s="102">
        <v>43445</v>
      </c>
      <c r="AA530" s="257">
        <f>(Table6[[#This Row],[Paired WTG Generation for loss calculation]]/24)*Table6[[#This Row],[Breakdown Time]]</f>
        <v>211.19097222222265</v>
      </c>
      <c r="AB530" s="102"/>
      <c r="AC530" s="35"/>
      <c r="AD530" s="35"/>
    </row>
    <row r="531" spans="1:30">
      <c r="A531" s="102">
        <f t="shared" si="9"/>
        <v>530</v>
      </c>
      <c r="B531" s="257">
        <f>YEAR(Table6[[#This Row],[Date]])+IF(MONTH(Table6[[#This Row],[Date]])&gt;=4,1,0)</f>
        <v>2026</v>
      </c>
      <c r="C531" s="102">
        <f>YEAR(Table6[[#This Row],[Date]])</f>
        <v>2025</v>
      </c>
      <c r="D531" s="102" t="s">
        <v>265</v>
      </c>
      <c r="E531" s="258">
        <f>Table6[[#This Row],[Date]]-DAY(Table6[[#This Row],[Date]])+1</f>
        <v>45778</v>
      </c>
      <c r="F531" s="259">
        <v>45780</v>
      </c>
      <c r="G531" s="35" t="s">
        <v>115</v>
      </c>
      <c r="H531" s="35" t="str">
        <f>IFERROR(_xlfn.XLOOKUP(Table6[[#This Row],[Affected WTG]],'Basic Data'!$A:$A,'Basic Data'!$B:$B),"")</f>
        <v>TQGXIIPL</v>
      </c>
      <c r="I531" s="35" t="str">
        <f>IFERROR(_xlfn.XLOOKUP(Table6[[#This Row],[Affected WTG]],'Basic Data'!$A:$A,'Basic Data'!$C:$C),"")</f>
        <v>GEDA</v>
      </c>
      <c r="J531" s="260">
        <f>IFERROR(_xlfn.XLOOKUP(Table6[[#This Row],[Affected WTG]],'Basic Data'!$A:$A,'Basic Data'!$E:$E),"")</f>
        <v>3.846153846153845E-2</v>
      </c>
      <c r="K531" s="102">
        <v>55</v>
      </c>
      <c r="L531" s="35" t="str">
        <f>IFERROR(_xlfn.XLOOKUP(Table6[[#This Row],[Error Code]],'Basic Data'!$AA:$AA,'Basic Data'!$AB:$AB),"Incorrect Error Code")</f>
        <v>WTG shut down</v>
      </c>
      <c r="M531" s="35" t="s">
        <v>300</v>
      </c>
      <c r="N531" s="264"/>
      <c r="O531" s="265">
        <v>0.75069444444444444</v>
      </c>
      <c r="P531" s="265">
        <v>0.75069444444444444</v>
      </c>
      <c r="Q531" s="266">
        <v>0.91666666666666663</v>
      </c>
      <c r="R531" s="261">
        <f>IF(Table6[[#This Row],[Work Start TimeStamp]]="","",(Table6[[#This Row],[Work Start TimeStamp]]-Table6[[#This Row],[Fault Start TimeStamp]])*24)</f>
        <v>0</v>
      </c>
      <c r="S531" s="261">
        <f>(Table6[[#This Row],[Fault Clearance time]]-Table6[[#This Row],[Work Start TimeStamp]])*24</f>
        <v>3.9833333333333325</v>
      </c>
      <c r="T531" s="261">
        <f>(Table6[[#This Row],[Fault Clearance time]]-Table6[[#This Row],[Fault Start TimeStamp]])*24</f>
        <v>3.9833333333333325</v>
      </c>
      <c r="U531" s="35" t="s">
        <v>385</v>
      </c>
      <c r="V531" s="102" t="s">
        <v>268</v>
      </c>
      <c r="W531" s="267">
        <f>IFERROR(Table6[[#This Row],[Breakdown Time]]*Table6[[#This Row],[Plant Equivalent Weightage]],"")</f>
        <v>0.15320512820512813</v>
      </c>
      <c r="X531" s="262" t="s">
        <v>296</v>
      </c>
      <c r="Y531" s="263" t="s">
        <v>140</v>
      </c>
      <c r="Z531" s="102">
        <v>43445</v>
      </c>
      <c r="AA531" s="257">
        <f>(Table6[[#This Row],[Paired WTG Generation for loss calculation]]/24)*Table6[[#This Row],[Breakdown Time]]</f>
        <v>7210.6631944444425</v>
      </c>
      <c r="AB531" s="102"/>
      <c r="AC531" s="35"/>
      <c r="AD531" s="35"/>
    </row>
    <row r="532" spans="1:30">
      <c r="A532" s="102">
        <f t="shared" si="9"/>
        <v>531</v>
      </c>
      <c r="B532" s="257">
        <f>YEAR(Table6[[#This Row],[Date]])+IF(MONTH(Table6[[#This Row],[Date]])&gt;=4,1,0)</f>
        <v>2026</v>
      </c>
      <c r="C532" s="102">
        <f>YEAR(Table6[[#This Row],[Date]])</f>
        <v>2025</v>
      </c>
      <c r="D532" s="102" t="s">
        <v>265</v>
      </c>
      <c r="E532" s="258">
        <f>Table6[[#This Row],[Date]]-DAY(Table6[[#This Row],[Date]])+1</f>
        <v>45778</v>
      </c>
      <c r="F532" s="259">
        <v>45780</v>
      </c>
      <c r="G532" s="35" t="s">
        <v>116</v>
      </c>
      <c r="H532" s="35" t="str">
        <f>IFERROR(_xlfn.XLOOKUP(Table6[[#This Row],[Affected WTG]],'Basic Data'!$A:$A,'Basic Data'!$B:$B),"")</f>
        <v>TQGXIIPL</v>
      </c>
      <c r="I532" s="35" t="str">
        <f>IFERROR(_xlfn.XLOOKUP(Table6[[#This Row],[Affected WTG]],'Basic Data'!$A:$A,'Basic Data'!$C:$C),"")</f>
        <v>GEDA</v>
      </c>
      <c r="J532" s="260">
        <f>IFERROR(_xlfn.XLOOKUP(Table6[[#This Row],[Affected WTG]],'Basic Data'!$A:$A,'Basic Data'!$E:$E),"")</f>
        <v>3.846153846153845E-2</v>
      </c>
      <c r="K532" s="102">
        <v>550</v>
      </c>
      <c r="L532" s="35" t="str">
        <f>IFERROR(_xlfn.XLOOKUP(Table6[[#This Row],[Error Code]],'Basic Data'!$AA:$AA,'Basic Data'!$AB:$AB),"Incorrect Error Code")</f>
        <v>Pitch current asymmetry</v>
      </c>
      <c r="M532" s="35" t="s">
        <v>278</v>
      </c>
      <c r="N532" s="264"/>
      <c r="O532" s="265">
        <v>0.17569444444444443</v>
      </c>
      <c r="P532" s="265">
        <v>0.17569444444444443</v>
      </c>
      <c r="Q532" s="266">
        <v>0.17777777777777778</v>
      </c>
      <c r="R532" s="261">
        <f>IF(Table6[[#This Row],[Work Start TimeStamp]]="","",(Table6[[#This Row],[Work Start TimeStamp]]-Table6[[#This Row],[Fault Start TimeStamp]])*24)</f>
        <v>0</v>
      </c>
      <c r="S532" s="261">
        <f>(Table6[[#This Row],[Fault Clearance time]]-Table6[[#This Row],[Work Start TimeStamp]])*24</f>
        <v>5.0000000000000488E-2</v>
      </c>
      <c r="T532" s="261">
        <f>(Table6[[#This Row],[Fault Clearance time]]-Table6[[#This Row],[Fault Start TimeStamp]])*24</f>
        <v>5.0000000000000488E-2</v>
      </c>
      <c r="U532" s="35" t="s">
        <v>277</v>
      </c>
      <c r="V532" s="102" t="s">
        <v>268</v>
      </c>
      <c r="W532" s="267">
        <f>IFERROR(Table6[[#This Row],[Breakdown Time]]*Table6[[#This Row],[Plant Equivalent Weightage]],"")</f>
        <v>1.9230769230769412E-3</v>
      </c>
      <c r="X532" s="262" t="s">
        <v>269</v>
      </c>
      <c r="Y532" s="263" t="s">
        <v>119</v>
      </c>
      <c r="Z532" s="102">
        <v>50589</v>
      </c>
      <c r="AA532" s="257">
        <f>(Table6[[#This Row],[Paired WTG Generation for loss calculation]]/24)*Table6[[#This Row],[Breakdown Time]]</f>
        <v>105.39375000000103</v>
      </c>
      <c r="AB532" s="102"/>
      <c r="AC532" s="35"/>
      <c r="AD532" s="35"/>
    </row>
    <row r="533" spans="1:30">
      <c r="A533" s="102">
        <f t="shared" si="9"/>
        <v>532</v>
      </c>
      <c r="B533" s="257">
        <f>YEAR(Table6[[#This Row],[Date]])+IF(MONTH(Table6[[#This Row],[Date]])&gt;=4,1,0)</f>
        <v>2026</v>
      </c>
      <c r="C533" s="102">
        <f>YEAR(Table6[[#This Row],[Date]])</f>
        <v>2025</v>
      </c>
      <c r="D533" s="102" t="s">
        <v>265</v>
      </c>
      <c r="E533" s="258">
        <f>Table6[[#This Row],[Date]]-DAY(Table6[[#This Row],[Date]])+1</f>
        <v>45778</v>
      </c>
      <c r="F533" s="259">
        <v>45780</v>
      </c>
      <c r="G533" s="35" t="s">
        <v>120</v>
      </c>
      <c r="H533" s="35" t="str">
        <f>IFERROR(_xlfn.XLOOKUP(Table6[[#This Row],[Affected WTG]],'Basic Data'!$A:$A,'Basic Data'!$B:$B),"")</f>
        <v>TQGXIIPL</v>
      </c>
      <c r="I533" s="35" t="str">
        <f>IFERROR(_xlfn.XLOOKUP(Table6[[#This Row],[Affected WTG]],'Basic Data'!$A:$A,'Basic Data'!$C:$C),"")</f>
        <v>GEDA</v>
      </c>
      <c r="J533" s="260">
        <f>IFERROR(_xlfn.XLOOKUP(Table6[[#This Row],[Affected WTG]],'Basic Data'!$A:$A,'Basic Data'!$E:$E),"")</f>
        <v>3.846153846153845E-2</v>
      </c>
      <c r="K533" s="102">
        <v>175</v>
      </c>
      <c r="L533" s="35" t="str">
        <f>IFERROR(_xlfn.XLOOKUP(Table6[[#This Row],[Error Code]],'Basic Data'!$AA:$AA,'Basic Data'!$AB:$AB),"Incorrect Error Code")</f>
        <v>SLC error</v>
      </c>
      <c r="M533" s="35" t="s">
        <v>266</v>
      </c>
      <c r="N533" s="264"/>
      <c r="O533" s="265">
        <v>0.60833333333333328</v>
      </c>
      <c r="P533" s="265">
        <v>0.60833333333333328</v>
      </c>
      <c r="Q533" s="266">
        <v>0.62083333333333335</v>
      </c>
      <c r="R533" s="261">
        <f>IF(Table6[[#This Row],[Work Start TimeStamp]]="","",(Table6[[#This Row],[Work Start TimeStamp]]-Table6[[#This Row],[Fault Start TimeStamp]])*24)</f>
        <v>0</v>
      </c>
      <c r="S533" s="261">
        <f>(Table6[[#This Row],[Fault Clearance time]]-Table6[[#This Row],[Work Start TimeStamp]])*24</f>
        <v>0.3000000000000016</v>
      </c>
      <c r="T533" s="261">
        <f>(Table6[[#This Row],[Fault Clearance time]]-Table6[[#This Row],[Fault Start TimeStamp]])*24</f>
        <v>0.3000000000000016</v>
      </c>
      <c r="U533" s="35" t="s">
        <v>313</v>
      </c>
      <c r="V533" s="102" t="s">
        <v>268</v>
      </c>
      <c r="W533" s="267">
        <f>IFERROR(Table6[[#This Row],[Breakdown Time]]*Table6[[#This Row],[Plant Equivalent Weightage]],"")</f>
        <v>1.1538461538461596E-2</v>
      </c>
      <c r="X533" s="262" t="s">
        <v>269</v>
      </c>
      <c r="Y533" s="263" t="s">
        <v>135</v>
      </c>
      <c r="Z533" s="102">
        <v>47180</v>
      </c>
      <c r="AA533" s="257">
        <f>(Table6[[#This Row],[Paired WTG Generation for loss calculation]]/24)*Table6[[#This Row],[Breakdown Time]]</f>
        <v>589.75000000000307</v>
      </c>
      <c r="AB533" s="102"/>
      <c r="AC533" s="35"/>
      <c r="AD533" s="35"/>
    </row>
    <row r="534" spans="1:30">
      <c r="A534" s="102">
        <f t="shared" si="9"/>
        <v>533</v>
      </c>
      <c r="B534" s="257">
        <f>YEAR(Table6[[#This Row],[Date]])+IF(MONTH(Table6[[#This Row],[Date]])&gt;=4,1,0)</f>
        <v>2026</v>
      </c>
      <c r="C534" s="102">
        <f>YEAR(Table6[[#This Row],[Date]])</f>
        <v>2025</v>
      </c>
      <c r="D534" s="102" t="s">
        <v>265</v>
      </c>
      <c r="E534" s="258">
        <f>Table6[[#This Row],[Date]]-DAY(Table6[[#This Row],[Date]])+1</f>
        <v>45778</v>
      </c>
      <c r="F534" s="259">
        <v>45780</v>
      </c>
      <c r="G534" s="35" t="s">
        <v>120</v>
      </c>
      <c r="H534" s="35" t="str">
        <f>IFERROR(_xlfn.XLOOKUP(Table6[[#This Row],[Affected WTG]],'Basic Data'!$A:$A,'Basic Data'!$B:$B),"")</f>
        <v>TQGXIIPL</v>
      </c>
      <c r="I534" s="35" t="str">
        <f>IFERROR(_xlfn.XLOOKUP(Table6[[#This Row],[Affected WTG]],'Basic Data'!$A:$A,'Basic Data'!$C:$C),"")</f>
        <v>GEDA</v>
      </c>
      <c r="J534" s="260">
        <f>IFERROR(_xlfn.XLOOKUP(Table6[[#This Row],[Affected WTG]],'Basic Data'!$A:$A,'Basic Data'!$E:$E),"")</f>
        <v>3.846153846153845E-2</v>
      </c>
      <c r="K534" s="102">
        <v>175</v>
      </c>
      <c r="L534" s="35" t="str">
        <f>IFERROR(_xlfn.XLOOKUP(Table6[[#This Row],[Error Code]],'Basic Data'!$AA:$AA,'Basic Data'!$AB:$AB),"Incorrect Error Code")</f>
        <v>SLC error</v>
      </c>
      <c r="M534" s="35" t="s">
        <v>266</v>
      </c>
      <c r="N534" s="264"/>
      <c r="O534" s="265">
        <v>0.67638888888888893</v>
      </c>
      <c r="P534" s="265">
        <v>0.69027777777777777</v>
      </c>
      <c r="Q534" s="266">
        <v>0.71527777777777779</v>
      </c>
      <c r="R534" s="261">
        <f>IF(Table6[[#This Row],[Work Start TimeStamp]]="","",(Table6[[#This Row],[Work Start TimeStamp]]-Table6[[#This Row],[Fault Start TimeStamp]])*24)</f>
        <v>0.33333333333333215</v>
      </c>
      <c r="S534" s="261">
        <f>(Table6[[#This Row],[Fault Clearance time]]-Table6[[#This Row],[Work Start TimeStamp]])*24</f>
        <v>0.60000000000000053</v>
      </c>
      <c r="T534" s="261">
        <f>(Table6[[#This Row],[Fault Clearance time]]-Table6[[#This Row],[Fault Start TimeStamp]])*24</f>
        <v>0.93333333333333268</v>
      </c>
      <c r="U534" s="35" t="s">
        <v>391</v>
      </c>
      <c r="V534" s="102" t="s">
        <v>268</v>
      </c>
      <c r="W534" s="267">
        <f>IFERROR(Table6[[#This Row],[Breakdown Time]]*Table6[[#This Row],[Plant Equivalent Weightage]],"")</f>
        <v>3.589743589743586E-2</v>
      </c>
      <c r="X534" s="262" t="s">
        <v>296</v>
      </c>
      <c r="Y534" s="263" t="s">
        <v>135</v>
      </c>
      <c r="Z534" s="102">
        <v>47180</v>
      </c>
      <c r="AA534" s="257">
        <f>(Table6[[#This Row],[Paired WTG Generation for loss calculation]]/24)*Table6[[#This Row],[Breakdown Time]]</f>
        <v>1834.7777777777765</v>
      </c>
      <c r="AB534" s="102"/>
      <c r="AC534" s="35"/>
      <c r="AD534" s="35"/>
    </row>
    <row r="535" spans="1:30">
      <c r="A535" s="102">
        <f t="shared" si="9"/>
        <v>534</v>
      </c>
      <c r="B535" s="257">
        <f>YEAR(Table6[[#This Row],[Date]])+IF(MONTH(Table6[[#This Row],[Date]])&gt;=4,1,0)</f>
        <v>2026</v>
      </c>
      <c r="C535" s="102">
        <f>YEAR(Table6[[#This Row],[Date]])</f>
        <v>2025</v>
      </c>
      <c r="D535" s="102" t="s">
        <v>265</v>
      </c>
      <c r="E535" s="258">
        <f>Table6[[#This Row],[Date]]-DAY(Table6[[#This Row],[Date]])+1</f>
        <v>45778</v>
      </c>
      <c r="F535" s="259">
        <v>45780</v>
      </c>
      <c r="G535" s="35" t="s">
        <v>122</v>
      </c>
      <c r="H535" s="35" t="str">
        <f>IFERROR(_xlfn.XLOOKUP(Table6[[#This Row],[Affected WTG]],'Basic Data'!$A:$A,'Basic Data'!$B:$B),"")</f>
        <v>TQGXIIPL</v>
      </c>
      <c r="I535" s="35" t="str">
        <f>IFERROR(_xlfn.XLOOKUP(Table6[[#This Row],[Affected WTG]],'Basic Data'!$A:$A,'Basic Data'!$C:$C),"")</f>
        <v>GEDA</v>
      </c>
      <c r="J535" s="260">
        <f>IFERROR(_xlfn.XLOOKUP(Table6[[#This Row],[Affected WTG]],'Basic Data'!$A:$A,'Basic Data'!$E:$E),"")</f>
        <v>3.846153846153845E-2</v>
      </c>
      <c r="K535" s="102">
        <v>6605</v>
      </c>
      <c r="L535" s="35" t="str">
        <f>IFERROR(_xlfn.XLOOKUP(Table6[[#This Row],[Error Code]],'Basic Data'!$AA:$AA,'Basic Data'!$AB:$AB),"Incorrect Error Code")</f>
        <v>Wind.dir. diff. level 2</v>
      </c>
      <c r="M535" s="35" t="s">
        <v>266</v>
      </c>
      <c r="N535" s="264"/>
      <c r="O535" s="265">
        <v>0.35902777777777778</v>
      </c>
      <c r="P535" s="265">
        <v>0.35902777777777778</v>
      </c>
      <c r="Q535" s="266">
        <v>0.36249999999999999</v>
      </c>
      <c r="R535" s="261">
        <f>IF(Table6[[#This Row],[Work Start TimeStamp]]="","",(Table6[[#This Row],[Work Start TimeStamp]]-Table6[[#This Row],[Fault Start TimeStamp]])*24)</f>
        <v>0</v>
      </c>
      <c r="S535" s="261">
        <f>(Table6[[#This Row],[Fault Clearance time]]-Table6[[#This Row],[Work Start TimeStamp]])*24</f>
        <v>8.3333333333333037E-2</v>
      </c>
      <c r="T535" s="261">
        <f>(Table6[[#This Row],[Fault Clearance time]]-Table6[[#This Row],[Fault Start TimeStamp]])*24</f>
        <v>8.3333333333333037E-2</v>
      </c>
      <c r="U535" s="35" t="s">
        <v>267</v>
      </c>
      <c r="V535" s="102" t="s">
        <v>268</v>
      </c>
      <c r="W535" s="267">
        <f>IFERROR(Table6[[#This Row],[Breakdown Time]]*Table6[[#This Row],[Plant Equivalent Weightage]],"")</f>
        <v>3.2051282051281929E-3</v>
      </c>
      <c r="X535" s="262" t="s">
        <v>269</v>
      </c>
      <c r="Y535" s="263" t="s">
        <v>140</v>
      </c>
      <c r="Z535" s="102">
        <v>43445</v>
      </c>
      <c r="AA535" s="257">
        <f>(Table6[[#This Row],[Paired WTG Generation for loss calculation]]/24)*Table6[[#This Row],[Breakdown Time]]</f>
        <v>150.85069444444389</v>
      </c>
      <c r="AB535" s="102"/>
      <c r="AC535" s="35"/>
      <c r="AD535" s="35"/>
    </row>
    <row r="536" spans="1:30">
      <c r="A536" s="102">
        <f t="shared" si="9"/>
        <v>535</v>
      </c>
      <c r="B536" s="257">
        <f>YEAR(Table6[[#This Row],[Date]])+IF(MONTH(Table6[[#This Row],[Date]])&gt;=4,1,0)</f>
        <v>2026</v>
      </c>
      <c r="C536" s="102">
        <f>YEAR(Table6[[#This Row],[Date]])</f>
        <v>2025</v>
      </c>
      <c r="D536" s="102" t="s">
        <v>265</v>
      </c>
      <c r="E536" s="258">
        <f>Table6[[#This Row],[Date]]-DAY(Table6[[#This Row],[Date]])+1</f>
        <v>45778</v>
      </c>
      <c r="F536" s="259">
        <v>45780</v>
      </c>
      <c r="G536" s="35" t="s">
        <v>122</v>
      </c>
      <c r="H536" s="35" t="str">
        <f>IFERROR(_xlfn.XLOOKUP(Table6[[#This Row],[Affected WTG]],'Basic Data'!$A:$A,'Basic Data'!$B:$B),"")</f>
        <v>TQGXIIPL</v>
      </c>
      <c r="I536" s="35" t="str">
        <f>IFERROR(_xlfn.XLOOKUP(Table6[[#This Row],[Affected WTG]],'Basic Data'!$A:$A,'Basic Data'!$C:$C),"")</f>
        <v>GEDA</v>
      </c>
      <c r="J536" s="260">
        <f>IFERROR(_xlfn.XLOOKUP(Table6[[#This Row],[Affected WTG]],'Basic Data'!$A:$A,'Basic Data'!$E:$E),"")</f>
        <v>3.846153846153845E-2</v>
      </c>
      <c r="K536" s="102">
        <v>6605</v>
      </c>
      <c r="L536" s="35" t="str">
        <f>IFERROR(_xlfn.XLOOKUP(Table6[[#This Row],[Error Code]],'Basic Data'!$AA:$AA,'Basic Data'!$AB:$AB),"Incorrect Error Code")</f>
        <v>Wind.dir. diff. level 2</v>
      </c>
      <c r="M536" s="35" t="s">
        <v>266</v>
      </c>
      <c r="N536" s="264"/>
      <c r="O536" s="265">
        <v>0.67638888888888893</v>
      </c>
      <c r="P536" s="265">
        <v>0.67638888888888893</v>
      </c>
      <c r="Q536" s="266">
        <v>0.68125000000000002</v>
      </c>
      <c r="R536" s="261">
        <f>IF(Table6[[#This Row],[Work Start TimeStamp]]="","",(Table6[[#This Row],[Work Start TimeStamp]]-Table6[[#This Row],[Fault Start TimeStamp]])*24)</f>
        <v>0</v>
      </c>
      <c r="S536" s="261">
        <f>(Table6[[#This Row],[Fault Clearance time]]-Table6[[#This Row],[Work Start TimeStamp]])*24</f>
        <v>0.11666666666666625</v>
      </c>
      <c r="T536" s="261">
        <f>(Table6[[#This Row],[Fault Clearance time]]-Table6[[#This Row],[Fault Start TimeStamp]])*24</f>
        <v>0.11666666666666625</v>
      </c>
      <c r="U536" s="35" t="s">
        <v>267</v>
      </c>
      <c r="V536" s="102" t="s">
        <v>268</v>
      </c>
      <c r="W536" s="267">
        <f>IFERROR(Table6[[#This Row],[Breakdown Time]]*Table6[[#This Row],[Plant Equivalent Weightage]],"")</f>
        <v>4.4871794871794695E-3</v>
      </c>
      <c r="X536" s="262" t="s">
        <v>269</v>
      </c>
      <c r="Y536" s="263" t="s">
        <v>140</v>
      </c>
      <c r="Z536" s="102">
        <v>43445</v>
      </c>
      <c r="AA536" s="257">
        <f>(Table6[[#This Row],[Paired WTG Generation for loss calculation]]/24)*Table6[[#This Row],[Breakdown Time]]</f>
        <v>211.19097222222146</v>
      </c>
      <c r="AB536" s="102"/>
      <c r="AC536" s="35"/>
      <c r="AD536" s="35"/>
    </row>
    <row r="537" spans="1:30">
      <c r="A537" s="102">
        <f t="shared" si="9"/>
        <v>536</v>
      </c>
      <c r="B537" s="257">
        <f>YEAR(Table6[[#This Row],[Date]])+IF(MONTH(Table6[[#This Row],[Date]])&gt;=4,1,0)</f>
        <v>2026</v>
      </c>
      <c r="C537" s="102">
        <f>YEAR(Table6[[#This Row],[Date]])</f>
        <v>2025</v>
      </c>
      <c r="D537" s="102" t="s">
        <v>265</v>
      </c>
      <c r="E537" s="258">
        <f>Table6[[#This Row],[Date]]-DAY(Table6[[#This Row],[Date]])+1</f>
        <v>45778</v>
      </c>
      <c r="F537" s="259">
        <v>45780</v>
      </c>
      <c r="G537" s="35" t="s">
        <v>122</v>
      </c>
      <c r="H537" s="35" t="str">
        <f>IFERROR(_xlfn.XLOOKUP(Table6[[#This Row],[Affected WTG]],'Basic Data'!$A:$A,'Basic Data'!$B:$B),"")</f>
        <v>TQGXIIPL</v>
      </c>
      <c r="I537" s="35" t="str">
        <f>IFERROR(_xlfn.XLOOKUP(Table6[[#This Row],[Affected WTG]],'Basic Data'!$A:$A,'Basic Data'!$C:$C),"")</f>
        <v>GEDA</v>
      </c>
      <c r="J537" s="260">
        <f>IFERROR(_xlfn.XLOOKUP(Table6[[#This Row],[Affected WTG]],'Basic Data'!$A:$A,'Basic Data'!$E:$E),"")</f>
        <v>3.846153846153845E-2</v>
      </c>
      <c r="K537" s="102">
        <v>6130</v>
      </c>
      <c r="L537" s="35" t="str">
        <f>IFERROR(_xlfn.XLOOKUP(Table6[[#This Row],[Error Code]],'Basic Data'!$AA:$AA,'Basic Data'!$AB:$AB),"Incorrect Error Code")</f>
        <v>Yaw speed high</v>
      </c>
      <c r="M537" s="35" t="s">
        <v>278</v>
      </c>
      <c r="N537" s="264"/>
      <c r="O537" s="265">
        <v>0.99444444444444446</v>
      </c>
      <c r="P537" s="265">
        <v>0.99444444444444446</v>
      </c>
      <c r="Q537" s="266">
        <v>0.99791666666666667</v>
      </c>
      <c r="R537" s="261">
        <f>IF(Table6[[#This Row],[Work Start TimeStamp]]="","",(Table6[[#This Row],[Work Start TimeStamp]]-Table6[[#This Row],[Fault Start TimeStamp]])*24)</f>
        <v>0</v>
      </c>
      <c r="S537" s="261">
        <f>(Table6[[#This Row],[Fault Clearance time]]-Table6[[#This Row],[Work Start TimeStamp]])*24</f>
        <v>8.3333333333333037E-2</v>
      </c>
      <c r="T537" s="261">
        <f>(Table6[[#This Row],[Fault Clearance time]]-Table6[[#This Row],[Fault Start TimeStamp]])*24</f>
        <v>8.3333333333333037E-2</v>
      </c>
      <c r="U537" s="35" t="s">
        <v>277</v>
      </c>
      <c r="V537" s="102" t="s">
        <v>268</v>
      </c>
      <c r="W537" s="267">
        <f>IFERROR(Table6[[#This Row],[Breakdown Time]]*Table6[[#This Row],[Plant Equivalent Weightage]],"")</f>
        <v>3.2051282051281929E-3</v>
      </c>
      <c r="X537" s="262" t="s">
        <v>269</v>
      </c>
      <c r="Y537" s="263" t="s">
        <v>140</v>
      </c>
      <c r="Z537" s="102">
        <v>43445</v>
      </c>
      <c r="AA537" s="257">
        <f>(Table6[[#This Row],[Paired WTG Generation for loss calculation]]/24)*Table6[[#This Row],[Breakdown Time]]</f>
        <v>150.85069444444389</v>
      </c>
      <c r="AB537" s="102"/>
      <c r="AC537" s="35"/>
      <c r="AD537" s="35"/>
    </row>
    <row r="538" spans="1:30">
      <c r="A538" s="102">
        <f t="shared" si="9"/>
        <v>537</v>
      </c>
      <c r="B538" s="257">
        <f>YEAR(Table6[[#This Row],[Date]])+IF(MONTH(Table6[[#This Row],[Date]])&gt;=4,1,0)</f>
        <v>2026</v>
      </c>
      <c r="C538" s="102">
        <f>YEAR(Table6[[#This Row],[Date]])</f>
        <v>2025</v>
      </c>
      <c r="D538" s="102" t="s">
        <v>265</v>
      </c>
      <c r="E538" s="258">
        <f>Table6[[#This Row],[Date]]-DAY(Table6[[#This Row],[Date]])+1</f>
        <v>45778</v>
      </c>
      <c r="F538" s="259">
        <v>45780</v>
      </c>
      <c r="G538" s="35" t="s">
        <v>125</v>
      </c>
      <c r="H538" s="35" t="str">
        <f>IFERROR(_xlfn.XLOOKUP(Table6[[#This Row],[Affected WTG]],'Basic Data'!$A:$A,'Basic Data'!$B:$B),"")</f>
        <v>TQGXIIPL</v>
      </c>
      <c r="I538" s="35" t="str">
        <f>IFERROR(_xlfn.XLOOKUP(Table6[[#This Row],[Affected WTG]],'Basic Data'!$A:$A,'Basic Data'!$C:$C),"")</f>
        <v>GEDA</v>
      </c>
      <c r="J538" s="260">
        <f>IFERROR(_xlfn.XLOOKUP(Table6[[#This Row],[Affected WTG]],'Basic Data'!$A:$A,'Basic Data'!$E:$E),"")</f>
        <v>3.846153846153845E-2</v>
      </c>
      <c r="K538" s="102">
        <v>6130</v>
      </c>
      <c r="L538" s="35" t="str">
        <f>IFERROR(_xlfn.XLOOKUP(Table6[[#This Row],[Error Code]],'Basic Data'!$AA:$AA,'Basic Data'!$AB:$AB),"Incorrect Error Code")</f>
        <v>Yaw speed high</v>
      </c>
      <c r="M538" s="35" t="s">
        <v>278</v>
      </c>
      <c r="N538" s="264"/>
      <c r="O538" s="265">
        <v>0.625</v>
      </c>
      <c r="P538" s="265">
        <v>0.625</v>
      </c>
      <c r="Q538" s="266">
        <v>0.62916666666666665</v>
      </c>
      <c r="R538" s="261">
        <f>IF(Table6[[#This Row],[Work Start TimeStamp]]="","",(Table6[[#This Row],[Work Start TimeStamp]]-Table6[[#This Row],[Fault Start TimeStamp]])*24)</f>
        <v>0</v>
      </c>
      <c r="S538" s="261">
        <f>(Table6[[#This Row],[Fault Clearance time]]-Table6[[#This Row],[Work Start TimeStamp]])*24</f>
        <v>9.9999999999999645E-2</v>
      </c>
      <c r="T538" s="261">
        <f>(Table6[[#This Row],[Fault Clearance time]]-Table6[[#This Row],[Fault Start TimeStamp]])*24</f>
        <v>9.9999999999999645E-2</v>
      </c>
      <c r="U538" s="35" t="s">
        <v>277</v>
      </c>
      <c r="V538" s="102" t="s">
        <v>268</v>
      </c>
      <c r="W538" s="267">
        <f>IFERROR(Table6[[#This Row],[Breakdown Time]]*Table6[[#This Row],[Plant Equivalent Weightage]],"")</f>
        <v>3.8461538461538312E-3</v>
      </c>
      <c r="X538" s="262" t="s">
        <v>269</v>
      </c>
      <c r="Y538" s="263" t="s">
        <v>126</v>
      </c>
      <c r="Z538" s="102">
        <v>43049</v>
      </c>
      <c r="AA538" s="257">
        <f>(Table6[[#This Row],[Paired WTG Generation for loss calculation]]/24)*Table6[[#This Row],[Breakdown Time]]</f>
        <v>179.37083333333268</v>
      </c>
      <c r="AB538" s="102"/>
      <c r="AC538" s="35"/>
      <c r="AD538" s="35"/>
    </row>
    <row r="539" spans="1:30">
      <c r="A539" s="102">
        <f t="shared" si="9"/>
        <v>538</v>
      </c>
      <c r="B539" s="257">
        <f>YEAR(Table6[[#This Row],[Date]])+IF(MONTH(Table6[[#This Row],[Date]])&gt;=4,1,0)</f>
        <v>2026</v>
      </c>
      <c r="C539" s="102">
        <f>YEAR(Table6[[#This Row],[Date]])</f>
        <v>2025</v>
      </c>
      <c r="D539" s="102" t="s">
        <v>265</v>
      </c>
      <c r="E539" s="258">
        <f>Table6[[#This Row],[Date]]-DAY(Table6[[#This Row],[Date]])+1</f>
        <v>45778</v>
      </c>
      <c r="F539" s="259">
        <v>45780</v>
      </c>
      <c r="G539" s="35" t="s">
        <v>127</v>
      </c>
      <c r="H539" s="35" t="str">
        <f>IFERROR(_xlfn.XLOOKUP(Table6[[#This Row],[Affected WTG]],'Basic Data'!$A:$A,'Basic Data'!$B:$B),"")</f>
        <v>TQGXIIPL</v>
      </c>
      <c r="I539" s="35" t="str">
        <f>IFERROR(_xlfn.XLOOKUP(Table6[[#This Row],[Affected WTG]],'Basic Data'!$A:$A,'Basic Data'!$C:$C),"")</f>
        <v>GEDA</v>
      </c>
      <c r="J539" s="260">
        <f>IFERROR(_xlfn.XLOOKUP(Table6[[#This Row],[Affected WTG]],'Basic Data'!$A:$A,'Basic Data'!$E:$E),"")</f>
        <v>3.846153846153845E-2</v>
      </c>
      <c r="K539" s="102">
        <v>6130</v>
      </c>
      <c r="L539" s="35" t="str">
        <f>IFERROR(_xlfn.XLOOKUP(Table6[[#This Row],[Error Code]],'Basic Data'!$AA:$AA,'Basic Data'!$AB:$AB),"Incorrect Error Code")</f>
        <v>Yaw speed high</v>
      </c>
      <c r="M539" s="35" t="s">
        <v>278</v>
      </c>
      <c r="N539" s="264"/>
      <c r="O539" s="265">
        <v>0.66736111111111107</v>
      </c>
      <c r="P539" s="265">
        <v>0.66736111111111107</v>
      </c>
      <c r="Q539" s="266">
        <v>0.67013888888888884</v>
      </c>
      <c r="R539" s="261">
        <f>IF(Table6[[#This Row],[Work Start TimeStamp]]="","",(Table6[[#This Row],[Work Start TimeStamp]]-Table6[[#This Row],[Fault Start TimeStamp]])*24)</f>
        <v>0</v>
      </c>
      <c r="S539" s="261">
        <f>(Table6[[#This Row],[Fault Clearance time]]-Table6[[#This Row],[Work Start TimeStamp]])*24</f>
        <v>6.666666666666643E-2</v>
      </c>
      <c r="T539" s="261">
        <f>(Table6[[#This Row],[Fault Clearance time]]-Table6[[#This Row],[Fault Start TimeStamp]])*24</f>
        <v>6.666666666666643E-2</v>
      </c>
      <c r="U539" s="35" t="s">
        <v>277</v>
      </c>
      <c r="V539" s="102" t="s">
        <v>268</v>
      </c>
      <c r="W539" s="267">
        <f>IFERROR(Table6[[#This Row],[Breakdown Time]]*Table6[[#This Row],[Plant Equivalent Weightage]],"")</f>
        <v>2.5641025641025541E-3</v>
      </c>
      <c r="X539" s="262" t="s">
        <v>269</v>
      </c>
      <c r="Y539" s="263" t="s">
        <v>125</v>
      </c>
      <c r="Z539" s="102">
        <v>41617</v>
      </c>
      <c r="AA539" s="257">
        <f>(Table6[[#This Row],[Paired WTG Generation for loss calculation]]/24)*Table6[[#This Row],[Breakdown Time]]</f>
        <v>115.60277777777738</v>
      </c>
      <c r="AB539" s="102"/>
      <c r="AC539" s="35"/>
      <c r="AD539" s="35"/>
    </row>
    <row r="540" spans="1:30">
      <c r="A540" s="102">
        <f t="shared" si="9"/>
        <v>539</v>
      </c>
      <c r="B540" s="257">
        <f>YEAR(Table6[[#This Row],[Date]])+IF(MONTH(Table6[[#This Row],[Date]])&gt;=4,1,0)</f>
        <v>2026</v>
      </c>
      <c r="C540" s="102">
        <f>YEAR(Table6[[#This Row],[Date]])</f>
        <v>2025</v>
      </c>
      <c r="D540" s="102" t="s">
        <v>265</v>
      </c>
      <c r="E540" s="258">
        <f>Table6[[#This Row],[Date]]-DAY(Table6[[#This Row],[Date]])+1</f>
        <v>45778</v>
      </c>
      <c r="F540" s="259">
        <v>45780</v>
      </c>
      <c r="G540" s="35" t="s">
        <v>132</v>
      </c>
      <c r="H540" s="35" t="str">
        <f>IFERROR(_xlfn.XLOOKUP(Table6[[#This Row],[Affected WTG]],'Basic Data'!$A:$A,'Basic Data'!$B:$B),"")</f>
        <v>TQGXIIPL</v>
      </c>
      <c r="I540" s="35" t="str">
        <f>IFERROR(_xlfn.XLOOKUP(Table6[[#This Row],[Affected WTG]],'Basic Data'!$A:$A,'Basic Data'!$C:$C),"")</f>
        <v>GEDA</v>
      </c>
      <c r="J540" s="260">
        <f>IFERROR(_xlfn.XLOOKUP(Table6[[#This Row],[Affected WTG]],'Basic Data'!$A:$A,'Basic Data'!$E:$E),"")</f>
        <v>3.846153846153845E-2</v>
      </c>
      <c r="K540" s="102">
        <v>175</v>
      </c>
      <c r="L540" s="35" t="str">
        <f>IFERROR(_xlfn.XLOOKUP(Table6[[#This Row],[Error Code]],'Basic Data'!$AA:$AA,'Basic Data'!$AB:$AB),"Incorrect Error Code")</f>
        <v>SLC error</v>
      </c>
      <c r="M540" s="35" t="s">
        <v>278</v>
      </c>
      <c r="N540" s="264"/>
      <c r="O540" s="265">
        <v>0.63194444444444442</v>
      </c>
      <c r="P540" s="265">
        <v>0.63194444444444442</v>
      </c>
      <c r="Q540" s="266">
        <v>0.64027777777777772</v>
      </c>
      <c r="R540" s="261">
        <f>IF(Table6[[#This Row],[Work Start TimeStamp]]="","",(Table6[[#This Row],[Work Start TimeStamp]]-Table6[[#This Row],[Fault Start TimeStamp]])*24)</f>
        <v>0</v>
      </c>
      <c r="S540" s="261">
        <f>(Table6[[#This Row],[Fault Clearance time]]-Table6[[#This Row],[Work Start TimeStamp]])*24</f>
        <v>0.19999999999999929</v>
      </c>
      <c r="T540" s="261">
        <f>(Table6[[#This Row],[Fault Clearance time]]-Table6[[#This Row],[Fault Start TimeStamp]])*24</f>
        <v>0.19999999999999929</v>
      </c>
      <c r="U540" s="35" t="s">
        <v>277</v>
      </c>
      <c r="V540" s="102" t="s">
        <v>268</v>
      </c>
      <c r="W540" s="267">
        <f>IFERROR(Table6[[#This Row],[Breakdown Time]]*Table6[[#This Row],[Plant Equivalent Weightage]],"")</f>
        <v>7.6923076923076624E-3</v>
      </c>
      <c r="X540" s="262" t="s">
        <v>269</v>
      </c>
      <c r="Y540" s="263" t="s">
        <v>120</v>
      </c>
      <c r="Z540" s="102">
        <v>39457</v>
      </c>
      <c r="AA540" s="257">
        <f>(Table6[[#This Row],[Paired WTG Generation for loss calculation]]/24)*Table6[[#This Row],[Breakdown Time]]</f>
        <v>328.8083333333322</v>
      </c>
      <c r="AB540" s="102"/>
      <c r="AC540" s="35"/>
      <c r="AD540" s="35"/>
    </row>
    <row r="541" spans="1:30">
      <c r="A541" s="102">
        <f t="shared" si="9"/>
        <v>540</v>
      </c>
      <c r="B541" s="257">
        <f>YEAR(Table6[[#This Row],[Date]])+IF(MONTH(Table6[[#This Row],[Date]])&gt;=4,1,0)</f>
        <v>2026</v>
      </c>
      <c r="C541" s="102">
        <f>YEAR(Table6[[#This Row],[Date]])</f>
        <v>2025</v>
      </c>
      <c r="D541" s="102" t="s">
        <v>265</v>
      </c>
      <c r="E541" s="258">
        <f>Table6[[#This Row],[Date]]-DAY(Table6[[#This Row],[Date]])+1</f>
        <v>45778</v>
      </c>
      <c r="F541" s="259">
        <v>45780</v>
      </c>
      <c r="G541" s="35" t="s">
        <v>132</v>
      </c>
      <c r="H541" s="35" t="str">
        <f>IFERROR(_xlfn.XLOOKUP(Table6[[#This Row],[Affected WTG]],'Basic Data'!$A:$A,'Basic Data'!$B:$B),"")</f>
        <v>TQGXIIPL</v>
      </c>
      <c r="I541" s="35" t="str">
        <f>IFERROR(_xlfn.XLOOKUP(Table6[[#This Row],[Affected WTG]],'Basic Data'!$A:$A,'Basic Data'!$C:$C),"")</f>
        <v>GEDA</v>
      </c>
      <c r="J541" s="260">
        <f>IFERROR(_xlfn.XLOOKUP(Table6[[#This Row],[Affected WTG]],'Basic Data'!$A:$A,'Basic Data'!$E:$E),"")</f>
        <v>3.846153846153845E-2</v>
      </c>
      <c r="K541" s="102">
        <v>175</v>
      </c>
      <c r="L541" s="35" t="str">
        <f>IFERROR(_xlfn.XLOOKUP(Table6[[#This Row],[Error Code]],'Basic Data'!$AA:$AA,'Basic Data'!$AB:$AB),"Incorrect Error Code")</f>
        <v>SLC error</v>
      </c>
      <c r="M541" s="35" t="s">
        <v>266</v>
      </c>
      <c r="N541" s="264"/>
      <c r="O541" s="265">
        <v>0.77777777777777779</v>
      </c>
      <c r="P541" s="265">
        <v>0.77777777777777779</v>
      </c>
      <c r="Q541" s="266">
        <v>0.84305555555555556</v>
      </c>
      <c r="R541" s="261">
        <f>IF(Table6[[#This Row],[Work Start TimeStamp]]="","",(Table6[[#This Row],[Work Start TimeStamp]]-Table6[[#This Row],[Fault Start TimeStamp]])*24)</f>
        <v>0</v>
      </c>
      <c r="S541" s="261">
        <f>(Table6[[#This Row],[Fault Clearance time]]-Table6[[#This Row],[Work Start TimeStamp]])*24</f>
        <v>1.5666666666666664</v>
      </c>
      <c r="T541" s="261">
        <f>(Table6[[#This Row],[Fault Clearance time]]-Table6[[#This Row],[Fault Start TimeStamp]])*24</f>
        <v>1.5666666666666664</v>
      </c>
      <c r="U541" s="35" t="s">
        <v>392</v>
      </c>
      <c r="V541" s="102" t="s">
        <v>268</v>
      </c>
      <c r="W541" s="267">
        <f>IFERROR(Table6[[#This Row],[Breakdown Time]]*Table6[[#This Row],[Plant Equivalent Weightage]],"")</f>
        <v>6.025641025641023E-2</v>
      </c>
      <c r="X541" s="262" t="s">
        <v>296</v>
      </c>
      <c r="Y541" s="263" t="s">
        <v>120</v>
      </c>
      <c r="Z541" s="102">
        <v>39457</v>
      </c>
      <c r="AA541" s="257">
        <f>(Table6[[#This Row],[Paired WTG Generation for loss calculation]]/24)*Table6[[#This Row],[Breakdown Time]]</f>
        <v>2575.6652777777776</v>
      </c>
      <c r="AB541" s="102"/>
      <c r="AC541" s="35"/>
      <c r="AD541" s="35"/>
    </row>
    <row r="542" spans="1:30">
      <c r="A542" s="102">
        <f t="shared" si="9"/>
        <v>541</v>
      </c>
      <c r="B542" s="257">
        <f>YEAR(Table6[[#This Row],[Date]])+IF(MONTH(Table6[[#This Row],[Date]])&gt;=4,1,0)</f>
        <v>2026</v>
      </c>
      <c r="C542" s="102">
        <f>YEAR(Table6[[#This Row],[Date]])</f>
        <v>2025</v>
      </c>
      <c r="D542" s="102" t="s">
        <v>265</v>
      </c>
      <c r="E542" s="258">
        <f>Table6[[#This Row],[Date]]-DAY(Table6[[#This Row],[Date]])+1</f>
        <v>45778</v>
      </c>
      <c r="F542" s="259">
        <v>45780</v>
      </c>
      <c r="G542" s="35" t="s">
        <v>133</v>
      </c>
      <c r="H542" s="35" t="str">
        <f>IFERROR(_xlfn.XLOOKUP(Table6[[#This Row],[Affected WTG]],'Basic Data'!$A:$A,'Basic Data'!$B:$B),"")</f>
        <v>TQGXIIPL</v>
      </c>
      <c r="I542" s="35" t="str">
        <f>IFERROR(_xlfn.XLOOKUP(Table6[[#This Row],[Affected WTG]],'Basic Data'!$A:$A,'Basic Data'!$C:$C),"")</f>
        <v>GEDA</v>
      </c>
      <c r="J542" s="260">
        <f>IFERROR(_xlfn.XLOOKUP(Table6[[#This Row],[Affected WTG]],'Basic Data'!$A:$A,'Basic Data'!$E:$E),"")</f>
        <v>3.846153846153845E-2</v>
      </c>
      <c r="K542" s="102">
        <v>1700</v>
      </c>
      <c r="L542" s="35" t="str">
        <f>IFERROR(_xlfn.XLOOKUP(Table6[[#This Row],[Error Code]],'Basic Data'!$AA:$AA,'Basic Data'!$AB:$AB),"Incorrect Error Code")</f>
        <v>High temp. gear bearing 1</v>
      </c>
      <c r="M542" s="35" t="s">
        <v>266</v>
      </c>
      <c r="N542" s="264"/>
      <c r="O542" s="265">
        <v>0.68333333333333335</v>
      </c>
      <c r="P542" s="265">
        <v>0.68333333333333335</v>
      </c>
      <c r="Q542" s="266">
        <v>0.69722222222222219</v>
      </c>
      <c r="R542" s="261">
        <f>IF(Table6[[#This Row],[Work Start TimeStamp]]="","",(Table6[[#This Row],[Work Start TimeStamp]]-Table6[[#This Row],[Fault Start TimeStamp]])*24)</f>
        <v>0</v>
      </c>
      <c r="S542" s="261">
        <f>(Table6[[#This Row],[Fault Clearance time]]-Table6[[#This Row],[Work Start TimeStamp]])*24</f>
        <v>0.33333333333333215</v>
      </c>
      <c r="T542" s="261">
        <f>(Table6[[#This Row],[Fault Clearance time]]-Table6[[#This Row],[Fault Start TimeStamp]])*24</f>
        <v>0.33333333333333215</v>
      </c>
      <c r="U542" s="35" t="s">
        <v>313</v>
      </c>
      <c r="V542" s="102" t="s">
        <v>268</v>
      </c>
      <c r="W542" s="267">
        <f>IFERROR(Table6[[#This Row],[Breakdown Time]]*Table6[[#This Row],[Plant Equivalent Weightage]],"")</f>
        <v>1.2820512820512771E-2</v>
      </c>
      <c r="X542" s="262" t="s">
        <v>269</v>
      </c>
      <c r="Y542" s="263" t="s">
        <v>121</v>
      </c>
      <c r="Z542" s="102">
        <v>42306</v>
      </c>
      <c r="AA542" s="257">
        <f>(Table6[[#This Row],[Paired WTG Generation for loss calculation]]/24)*Table6[[#This Row],[Breakdown Time]]</f>
        <v>587.58333333333121</v>
      </c>
      <c r="AB542" s="102"/>
      <c r="AC542" s="35"/>
      <c r="AD542" s="35"/>
    </row>
    <row r="543" spans="1:30">
      <c r="A543" s="102">
        <f t="shared" si="9"/>
        <v>542</v>
      </c>
      <c r="B543" s="257">
        <f>YEAR(Table6[[#This Row],[Date]])+IF(MONTH(Table6[[#This Row],[Date]])&gt;=4,1,0)</f>
        <v>2026</v>
      </c>
      <c r="C543" s="102">
        <f>YEAR(Table6[[#This Row],[Date]])</f>
        <v>2025</v>
      </c>
      <c r="D543" s="102" t="s">
        <v>265</v>
      </c>
      <c r="E543" s="258">
        <f>Table6[[#This Row],[Date]]-DAY(Table6[[#This Row],[Date]])+1</f>
        <v>45778</v>
      </c>
      <c r="F543" s="259">
        <v>45780</v>
      </c>
      <c r="G543" s="35" t="s">
        <v>122</v>
      </c>
      <c r="H543" s="35" t="str">
        <f>IFERROR(_xlfn.XLOOKUP(Table6[[#This Row],[Affected WTG]],'Basic Data'!$A:$A,'Basic Data'!$B:$B),"")</f>
        <v>TQGXIIPL</v>
      </c>
      <c r="I543" s="35" t="str">
        <f>IFERROR(_xlfn.XLOOKUP(Table6[[#This Row],[Affected WTG]],'Basic Data'!$A:$A,'Basic Data'!$C:$C),"")</f>
        <v>GEDA</v>
      </c>
      <c r="J543" s="260">
        <f>IFERROR(_xlfn.XLOOKUP(Table6[[#This Row],[Affected WTG]],'Basic Data'!$A:$A,'Basic Data'!$E:$E),"")</f>
        <v>3.846153846153845E-2</v>
      </c>
      <c r="K543" s="102">
        <v>55</v>
      </c>
      <c r="L543" s="35" t="str">
        <f>IFERROR(_xlfn.XLOOKUP(Table6[[#This Row],[Error Code]],'Basic Data'!$AA:$AA,'Basic Data'!$AB:$AB),"Incorrect Error Code")</f>
        <v>WTG shut down</v>
      </c>
      <c r="M543" s="35" t="s">
        <v>300</v>
      </c>
      <c r="N543" s="264"/>
      <c r="O543" s="265">
        <v>0.69791666666666663</v>
      </c>
      <c r="P543" s="265">
        <v>0.69791666666666663</v>
      </c>
      <c r="Q543" s="266">
        <v>0.9</v>
      </c>
      <c r="R543" s="261">
        <f>IF(Table6[[#This Row],[Work Start TimeStamp]]="","",(Table6[[#This Row],[Work Start TimeStamp]]-Table6[[#This Row],[Fault Start TimeStamp]])*24)</f>
        <v>0</v>
      </c>
      <c r="S543" s="261">
        <f>(Table6[[#This Row],[Fault Clearance time]]-Table6[[#This Row],[Work Start TimeStamp]])*24</f>
        <v>4.8500000000000014</v>
      </c>
      <c r="T543" s="261">
        <f>(Table6[[#This Row],[Fault Clearance time]]-Table6[[#This Row],[Fault Start TimeStamp]])*24</f>
        <v>4.8500000000000014</v>
      </c>
      <c r="U543" s="35" t="s">
        <v>385</v>
      </c>
      <c r="V543" s="102" t="s">
        <v>268</v>
      </c>
      <c r="W543" s="267">
        <f>IFERROR(Table6[[#This Row],[Breakdown Time]]*Table6[[#This Row],[Plant Equivalent Weightage]],"")</f>
        <v>0.18653846153846154</v>
      </c>
      <c r="X543" s="262" t="s">
        <v>296</v>
      </c>
      <c r="Y543" s="263" t="s">
        <v>140</v>
      </c>
      <c r="Z543" s="102">
        <v>43445</v>
      </c>
      <c r="AA543" s="257">
        <f>(Table6[[#This Row],[Paired WTG Generation for loss calculation]]/24)*Table6[[#This Row],[Breakdown Time]]</f>
        <v>8779.5104166666697</v>
      </c>
      <c r="AB543" s="102"/>
      <c r="AC543" s="35"/>
      <c r="AD543" s="35"/>
    </row>
    <row r="544" spans="1:30">
      <c r="A544" s="102">
        <f t="shared" si="9"/>
        <v>543</v>
      </c>
      <c r="B544" s="257">
        <f>YEAR(Table6[[#This Row],[Date]])+IF(MONTH(Table6[[#This Row],[Date]])&gt;=4,1,0)</f>
        <v>2026</v>
      </c>
      <c r="C544" s="102">
        <f>YEAR(Table6[[#This Row],[Date]])</f>
        <v>2025</v>
      </c>
      <c r="D544" s="102" t="s">
        <v>265</v>
      </c>
      <c r="E544" s="258">
        <f>Table6[[#This Row],[Date]]-DAY(Table6[[#This Row],[Date]])+1</f>
        <v>45778</v>
      </c>
      <c r="F544" s="259">
        <v>45780</v>
      </c>
      <c r="G544" s="35" t="s">
        <v>137</v>
      </c>
      <c r="H544" s="35" t="str">
        <f>IFERROR(_xlfn.XLOOKUP(Table6[[#This Row],[Affected WTG]],'Basic Data'!$A:$A,'Basic Data'!$B:$B),"")</f>
        <v>TQGXIIPL</v>
      </c>
      <c r="I544" s="35" t="str">
        <f>IFERROR(_xlfn.XLOOKUP(Table6[[#This Row],[Affected WTG]],'Basic Data'!$A:$A,'Basic Data'!$C:$C),"")</f>
        <v>GEDA</v>
      </c>
      <c r="J544" s="260">
        <f>IFERROR(_xlfn.XLOOKUP(Table6[[#This Row],[Affected WTG]],'Basic Data'!$A:$A,'Basic Data'!$E:$E),"")</f>
        <v>3.846153846153845E-2</v>
      </c>
      <c r="K544" s="102">
        <v>6130</v>
      </c>
      <c r="L544" s="35" t="str">
        <f>IFERROR(_xlfn.XLOOKUP(Table6[[#This Row],[Error Code]],'Basic Data'!$AA:$AA,'Basic Data'!$AB:$AB),"Incorrect Error Code")</f>
        <v>Yaw speed high</v>
      </c>
      <c r="M544" s="35" t="s">
        <v>266</v>
      </c>
      <c r="N544" s="264"/>
      <c r="O544" s="265">
        <v>0.68125000000000002</v>
      </c>
      <c r="P544" s="265">
        <v>0.68125000000000002</v>
      </c>
      <c r="Q544" s="266">
        <v>0.68611111111111112</v>
      </c>
      <c r="R544" s="261">
        <f>IF(Table6[[#This Row],[Work Start TimeStamp]]="","",(Table6[[#This Row],[Work Start TimeStamp]]-Table6[[#This Row],[Fault Start TimeStamp]])*24)</f>
        <v>0</v>
      </c>
      <c r="S544" s="261">
        <f>(Table6[[#This Row],[Fault Clearance time]]-Table6[[#This Row],[Work Start TimeStamp]])*24</f>
        <v>0.11666666666666625</v>
      </c>
      <c r="T544" s="261">
        <f>(Table6[[#This Row],[Fault Clearance time]]-Table6[[#This Row],[Fault Start TimeStamp]])*24</f>
        <v>0.11666666666666625</v>
      </c>
      <c r="U544" s="35" t="s">
        <v>277</v>
      </c>
      <c r="V544" s="102" t="s">
        <v>268</v>
      </c>
      <c r="W544" s="267">
        <f>IFERROR(Table6[[#This Row],[Breakdown Time]]*Table6[[#This Row],[Plant Equivalent Weightage]],"")</f>
        <v>4.4871794871794695E-3</v>
      </c>
      <c r="X544" s="262" t="s">
        <v>269</v>
      </c>
      <c r="Y544" s="263" t="s">
        <v>125</v>
      </c>
      <c r="Z544" s="102">
        <v>41617</v>
      </c>
      <c r="AA544" s="257">
        <f>(Table6[[#This Row],[Paired WTG Generation for loss calculation]]/24)*Table6[[#This Row],[Breakdown Time]]</f>
        <v>202.3048611111104</v>
      </c>
      <c r="AB544" s="102"/>
      <c r="AC544" s="35"/>
      <c r="AD544" s="35"/>
    </row>
    <row r="545" spans="1:30">
      <c r="A545" s="102">
        <f t="shared" si="9"/>
        <v>544</v>
      </c>
      <c r="B545" s="257">
        <f>YEAR(Table6[[#This Row],[Date]])+IF(MONTH(Table6[[#This Row],[Date]])&gt;=4,1,0)</f>
        <v>2026</v>
      </c>
      <c r="C545" s="102">
        <f>YEAR(Table6[[#This Row],[Date]])</f>
        <v>2025</v>
      </c>
      <c r="D545" s="102" t="s">
        <v>265</v>
      </c>
      <c r="E545" s="258">
        <f>Table6[[#This Row],[Date]]-DAY(Table6[[#This Row],[Date]])+1</f>
        <v>45778</v>
      </c>
      <c r="F545" s="259">
        <v>45780</v>
      </c>
      <c r="G545" s="35" t="s">
        <v>138</v>
      </c>
      <c r="H545" s="35" t="str">
        <f>IFERROR(_xlfn.XLOOKUP(Table6[[#This Row],[Affected WTG]],'Basic Data'!$A:$A,'Basic Data'!$B:$B),"")</f>
        <v>TQGXIIPL</v>
      </c>
      <c r="I545" s="35" t="str">
        <f>IFERROR(_xlfn.XLOOKUP(Table6[[#This Row],[Affected WTG]],'Basic Data'!$A:$A,'Basic Data'!$C:$C),"")</f>
        <v>GEDA</v>
      </c>
      <c r="J545" s="260">
        <f>IFERROR(_xlfn.XLOOKUP(Table6[[#This Row],[Affected WTG]],'Basic Data'!$A:$A,'Basic Data'!$E:$E),"")</f>
        <v>3.846153846153845E-2</v>
      </c>
      <c r="K545" s="102">
        <v>55</v>
      </c>
      <c r="L545" s="35" t="str">
        <f>IFERROR(_xlfn.XLOOKUP(Table6[[#This Row],[Error Code]],'Basic Data'!$AA:$AA,'Basic Data'!$AB:$AB),"Incorrect Error Code")</f>
        <v>WTG shut down</v>
      </c>
      <c r="M545" s="35" t="s">
        <v>271</v>
      </c>
      <c r="N545" s="264"/>
      <c r="O545" s="265">
        <v>0.3034722222222222</v>
      </c>
      <c r="P545" s="265">
        <v>0.3034722222222222</v>
      </c>
      <c r="Q545" s="266">
        <v>0.85763888888888884</v>
      </c>
      <c r="R545" s="261">
        <f>IF(Table6[[#This Row],[Work Start TimeStamp]]="","",(Table6[[#This Row],[Work Start TimeStamp]]-Table6[[#This Row],[Fault Start TimeStamp]])*24)</f>
        <v>0</v>
      </c>
      <c r="S545" s="261">
        <f>(Table6[[#This Row],[Fault Clearance time]]-Table6[[#This Row],[Work Start TimeStamp]])*24</f>
        <v>13.3</v>
      </c>
      <c r="T545" s="261">
        <f>(Table6[[#This Row],[Fault Clearance time]]-Table6[[#This Row],[Fault Start TimeStamp]])*24</f>
        <v>13.3</v>
      </c>
      <c r="U545" s="35" t="s">
        <v>393</v>
      </c>
      <c r="V545" s="102" t="s">
        <v>268</v>
      </c>
      <c r="W545" s="267">
        <f>IFERROR(Table6[[#This Row],[Breakdown Time]]*Table6[[#This Row],[Plant Equivalent Weightage]],"")</f>
        <v>0.51153846153846139</v>
      </c>
      <c r="X545" s="262" t="s">
        <v>273</v>
      </c>
      <c r="Y545" s="263" t="s">
        <v>134</v>
      </c>
      <c r="Z545" s="102">
        <v>44438</v>
      </c>
      <c r="AA545" s="257">
        <f>(Table6[[#This Row],[Paired WTG Generation for loss calculation]]/24)*Table6[[#This Row],[Breakdown Time]]</f>
        <v>24626.058333333334</v>
      </c>
      <c r="AB545" s="102"/>
      <c r="AC545" s="35"/>
      <c r="AD545" s="35"/>
    </row>
    <row r="546" spans="1:30">
      <c r="A546" s="102">
        <f t="shared" si="9"/>
        <v>545</v>
      </c>
      <c r="B546" s="257">
        <f>YEAR(Table6[[#This Row],[Date]])+IF(MONTH(Table6[[#This Row],[Date]])&gt;=4,1,0)</f>
        <v>2026</v>
      </c>
      <c r="C546" s="102">
        <f>YEAR(Table6[[#This Row],[Date]])</f>
        <v>2025</v>
      </c>
      <c r="D546" s="102" t="s">
        <v>265</v>
      </c>
      <c r="E546" s="258">
        <f>Table6[[#This Row],[Date]]-DAY(Table6[[#This Row],[Date]])+1</f>
        <v>45778</v>
      </c>
      <c r="F546" s="259">
        <v>45780</v>
      </c>
      <c r="G546" s="35" t="s">
        <v>139</v>
      </c>
      <c r="H546" s="35" t="str">
        <f>IFERROR(_xlfn.XLOOKUP(Table6[[#This Row],[Affected WTG]],'Basic Data'!$A:$A,'Basic Data'!$B:$B),"")</f>
        <v>TQGXIIPL</v>
      </c>
      <c r="I546" s="35" t="str">
        <f>IFERROR(_xlfn.XLOOKUP(Table6[[#This Row],[Affected WTG]],'Basic Data'!$A:$A,'Basic Data'!$C:$C),"")</f>
        <v>GEDA</v>
      </c>
      <c r="J546" s="260">
        <f>IFERROR(_xlfn.XLOOKUP(Table6[[#This Row],[Affected WTG]],'Basic Data'!$A:$A,'Basic Data'!$E:$E),"")</f>
        <v>3.846153846153845E-2</v>
      </c>
      <c r="K546" s="102">
        <v>550</v>
      </c>
      <c r="L546" s="35" t="str">
        <f>IFERROR(_xlfn.XLOOKUP(Table6[[#This Row],[Error Code]],'Basic Data'!$AA:$AA,'Basic Data'!$AB:$AB),"Incorrect Error Code")</f>
        <v>Pitch current asymmetry</v>
      </c>
      <c r="M546" s="35" t="s">
        <v>266</v>
      </c>
      <c r="N546" s="264"/>
      <c r="O546" s="265">
        <v>9.7916666666666666E-2</v>
      </c>
      <c r="P546" s="265">
        <v>9.7916666666666666E-2</v>
      </c>
      <c r="Q546" s="266">
        <v>0.11041666666666666</v>
      </c>
      <c r="R546" s="261">
        <f>IF(Table6[[#This Row],[Work Start TimeStamp]]="","",(Table6[[#This Row],[Work Start TimeStamp]]-Table6[[#This Row],[Fault Start TimeStamp]])*24)</f>
        <v>0</v>
      </c>
      <c r="S546" s="261">
        <f>(Table6[[#This Row],[Fault Clearance time]]-Table6[[#This Row],[Work Start TimeStamp]])*24</f>
        <v>0.29999999999999993</v>
      </c>
      <c r="T546" s="261">
        <f>(Table6[[#This Row],[Fault Clearance time]]-Table6[[#This Row],[Fault Start TimeStamp]])*24</f>
        <v>0.29999999999999993</v>
      </c>
      <c r="U546" s="35" t="s">
        <v>267</v>
      </c>
      <c r="V546" s="102" t="s">
        <v>268</v>
      </c>
      <c r="W546" s="267">
        <f>IFERROR(Table6[[#This Row],[Breakdown Time]]*Table6[[#This Row],[Plant Equivalent Weightage]],"")</f>
        <v>1.1538461538461532E-2</v>
      </c>
      <c r="X546" s="262" t="s">
        <v>296</v>
      </c>
      <c r="Y546" s="263" t="s">
        <v>115</v>
      </c>
      <c r="Z546" s="102">
        <v>29084</v>
      </c>
      <c r="AA546" s="257">
        <f>(Table6[[#This Row],[Paired WTG Generation for loss calculation]]/24)*Table6[[#This Row],[Breakdown Time]]</f>
        <v>363.5499999999999</v>
      </c>
      <c r="AB546" s="102"/>
      <c r="AC546" s="35"/>
      <c r="AD546" s="35"/>
    </row>
    <row r="547" spans="1:30">
      <c r="A547" s="102">
        <f t="shared" si="9"/>
        <v>546</v>
      </c>
      <c r="B547" s="257">
        <f>YEAR(Table6[[#This Row],[Date]])+IF(MONTH(Table6[[#This Row],[Date]])&gt;=4,1,0)</f>
        <v>2026</v>
      </c>
      <c r="C547" s="102">
        <f>YEAR(Table6[[#This Row],[Date]])</f>
        <v>2025</v>
      </c>
      <c r="D547" s="102" t="s">
        <v>265</v>
      </c>
      <c r="E547" s="258">
        <f>Table6[[#This Row],[Date]]-DAY(Table6[[#This Row],[Date]])+1</f>
        <v>45778</v>
      </c>
      <c r="F547" s="259">
        <v>45780</v>
      </c>
      <c r="G547" s="35" t="s">
        <v>139</v>
      </c>
      <c r="H547" s="35" t="str">
        <f>IFERROR(_xlfn.XLOOKUP(Table6[[#This Row],[Affected WTG]],'Basic Data'!$A:$A,'Basic Data'!$B:$B),"")</f>
        <v>TQGXIIPL</v>
      </c>
      <c r="I547" s="35" t="str">
        <f>IFERROR(_xlfn.XLOOKUP(Table6[[#This Row],[Affected WTG]],'Basic Data'!$A:$A,'Basic Data'!$C:$C),"")</f>
        <v>GEDA</v>
      </c>
      <c r="J547" s="260">
        <f>IFERROR(_xlfn.XLOOKUP(Table6[[#This Row],[Affected WTG]],'Basic Data'!$A:$A,'Basic Data'!$E:$E),"")</f>
        <v>3.846153846153845E-2</v>
      </c>
      <c r="K547" s="102">
        <v>6130</v>
      </c>
      <c r="L547" s="35" t="str">
        <f>IFERROR(_xlfn.XLOOKUP(Table6[[#This Row],[Error Code]],'Basic Data'!$AA:$AA,'Basic Data'!$AB:$AB),"Incorrect Error Code")</f>
        <v>Yaw speed high</v>
      </c>
      <c r="M547" s="35" t="s">
        <v>278</v>
      </c>
      <c r="N547" s="264"/>
      <c r="O547" s="265">
        <v>0.68819444444444444</v>
      </c>
      <c r="P547" s="265">
        <v>0.68819444444444444</v>
      </c>
      <c r="Q547" s="266">
        <v>0.69236111111111109</v>
      </c>
      <c r="R547" s="261">
        <f>IF(Table6[[#This Row],[Work Start TimeStamp]]="","",(Table6[[#This Row],[Work Start TimeStamp]]-Table6[[#This Row],[Fault Start TimeStamp]])*24)</f>
        <v>0</v>
      </c>
      <c r="S547" s="261">
        <f>(Table6[[#This Row],[Fault Clearance time]]-Table6[[#This Row],[Work Start TimeStamp]])*24</f>
        <v>9.9999999999999645E-2</v>
      </c>
      <c r="T547" s="261">
        <f>(Table6[[#This Row],[Fault Clearance time]]-Table6[[#This Row],[Fault Start TimeStamp]])*24</f>
        <v>9.9999999999999645E-2</v>
      </c>
      <c r="U547" s="35" t="s">
        <v>277</v>
      </c>
      <c r="V547" s="102" t="s">
        <v>268</v>
      </c>
      <c r="W547" s="267">
        <f>IFERROR(Table6[[#This Row],[Breakdown Time]]*Table6[[#This Row],[Plant Equivalent Weightage]],"")</f>
        <v>3.8461538461538312E-3</v>
      </c>
      <c r="X547" s="262" t="s">
        <v>269</v>
      </c>
      <c r="Y547" s="263" t="s">
        <v>115</v>
      </c>
      <c r="Z547" s="102">
        <v>29084</v>
      </c>
      <c r="AA547" s="257">
        <f>(Table6[[#This Row],[Paired WTG Generation for loss calculation]]/24)*Table6[[#This Row],[Breakdown Time]]</f>
        <v>121.1833333333329</v>
      </c>
      <c r="AB547" s="102"/>
      <c r="AC547" s="35"/>
      <c r="AD547" s="35"/>
    </row>
    <row r="548" spans="1:30">
      <c r="A548" s="102">
        <f t="shared" si="9"/>
        <v>547</v>
      </c>
      <c r="B548" s="257">
        <f>YEAR(Table6[[#This Row],[Date]])+IF(MONTH(Table6[[#This Row],[Date]])&gt;=4,1,0)</f>
        <v>2026</v>
      </c>
      <c r="C548" s="102">
        <f>YEAR(Table6[[#This Row],[Date]])</f>
        <v>2025</v>
      </c>
      <c r="D548" s="102" t="s">
        <v>265</v>
      </c>
      <c r="E548" s="258">
        <f>Table6[[#This Row],[Date]]-DAY(Table6[[#This Row],[Date]])+1</f>
        <v>45778</v>
      </c>
      <c r="F548" s="259">
        <v>45780</v>
      </c>
      <c r="G548" s="35" t="s">
        <v>139</v>
      </c>
      <c r="H548" s="35" t="str">
        <f>IFERROR(_xlfn.XLOOKUP(Table6[[#This Row],[Affected WTG]],'Basic Data'!$A:$A,'Basic Data'!$B:$B),"")</f>
        <v>TQGXIIPL</v>
      </c>
      <c r="I548" s="35" t="str">
        <f>IFERROR(_xlfn.XLOOKUP(Table6[[#This Row],[Affected WTG]],'Basic Data'!$A:$A,'Basic Data'!$C:$C),"")</f>
        <v>GEDA</v>
      </c>
      <c r="J548" s="260">
        <f>IFERROR(_xlfn.XLOOKUP(Table6[[#This Row],[Affected WTG]],'Basic Data'!$A:$A,'Basic Data'!$E:$E),"")</f>
        <v>3.846153846153845E-2</v>
      </c>
      <c r="K548" s="102">
        <v>55</v>
      </c>
      <c r="L548" s="35" t="str">
        <f>IFERROR(_xlfn.XLOOKUP(Table6[[#This Row],[Error Code]],'Basic Data'!$AA:$AA,'Basic Data'!$AB:$AB),"Incorrect Error Code")</f>
        <v>WTG shut down</v>
      </c>
      <c r="M548" s="35" t="s">
        <v>300</v>
      </c>
      <c r="N548" s="264"/>
      <c r="O548" s="265">
        <v>0.70625000000000004</v>
      </c>
      <c r="P548" s="265">
        <v>0.70625000000000004</v>
      </c>
      <c r="Q548" s="266">
        <v>0.75</v>
      </c>
      <c r="R548" s="261">
        <f>IF(Table6[[#This Row],[Work Start TimeStamp]]="","",(Table6[[#This Row],[Work Start TimeStamp]]-Table6[[#This Row],[Fault Start TimeStamp]])*24)</f>
        <v>0</v>
      </c>
      <c r="S548" s="261">
        <f>(Table6[[#This Row],[Fault Clearance time]]-Table6[[#This Row],[Work Start TimeStamp]])*24</f>
        <v>1.0499999999999989</v>
      </c>
      <c r="T548" s="261">
        <f>(Table6[[#This Row],[Fault Clearance time]]-Table6[[#This Row],[Fault Start TimeStamp]])*24</f>
        <v>1.0499999999999989</v>
      </c>
      <c r="U548" s="35" t="s">
        <v>385</v>
      </c>
      <c r="V548" s="102" t="s">
        <v>268</v>
      </c>
      <c r="W548" s="267">
        <f>IFERROR(Table6[[#This Row],[Breakdown Time]]*Table6[[#This Row],[Plant Equivalent Weightage]],"")</f>
        <v>4.0384615384615331E-2</v>
      </c>
      <c r="X548" s="262" t="s">
        <v>296</v>
      </c>
      <c r="Y548" s="263" t="s">
        <v>115</v>
      </c>
      <c r="Z548" s="102">
        <v>29084</v>
      </c>
      <c r="AA548" s="257">
        <f>(Table6[[#This Row],[Paired WTG Generation for loss calculation]]/24)*Table6[[#This Row],[Breakdown Time]]</f>
        <v>1272.4249999999986</v>
      </c>
      <c r="AB548" s="102"/>
      <c r="AC548" s="35"/>
      <c r="AD548" s="35"/>
    </row>
    <row r="549" spans="1:30">
      <c r="A549" s="102">
        <f t="shared" si="9"/>
        <v>548</v>
      </c>
      <c r="B549" s="257">
        <f>YEAR(Table6[[#This Row],[Date]])+IF(MONTH(Table6[[#This Row],[Date]])&gt;=4,1,0)</f>
        <v>2026</v>
      </c>
      <c r="C549" s="102">
        <f>YEAR(Table6[[#This Row],[Date]])</f>
        <v>2025</v>
      </c>
      <c r="D549" s="102" t="s">
        <v>265</v>
      </c>
      <c r="E549" s="258">
        <f>Table6[[#This Row],[Date]]-DAY(Table6[[#This Row],[Date]])+1</f>
        <v>45778</v>
      </c>
      <c r="F549" s="259">
        <v>45781</v>
      </c>
      <c r="G549" s="35" t="s">
        <v>117</v>
      </c>
      <c r="H549" s="35" t="str">
        <f>IFERROR(_xlfn.XLOOKUP(Table6[[#This Row],[Affected WTG]],'Basic Data'!$A:$A,'Basic Data'!$B:$B),"")</f>
        <v>TQGXIIPL</v>
      </c>
      <c r="I549" s="35" t="str">
        <f>IFERROR(_xlfn.XLOOKUP(Table6[[#This Row],[Affected WTG]],'Basic Data'!$A:$A,'Basic Data'!$C:$C),"")</f>
        <v>GEDA</v>
      </c>
      <c r="J549" s="260">
        <f>IFERROR(_xlfn.XLOOKUP(Table6[[#This Row],[Affected WTG]],'Basic Data'!$A:$A,'Basic Data'!$E:$E),"")</f>
        <v>3.846153846153845E-2</v>
      </c>
      <c r="K549" s="102">
        <v>175</v>
      </c>
      <c r="L549" s="35" t="str">
        <f>IFERROR(_xlfn.XLOOKUP(Table6[[#This Row],[Error Code]],'Basic Data'!$AA:$AA,'Basic Data'!$AB:$AB),"Incorrect Error Code")</f>
        <v>SLC error</v>
      </c>
      <c r="M549" s="35" t="s">
        <v>278</v>
      </c>
      <c r="N549" s="264"/>
      <c r="O549" s="265">
        <v>0.45833333333333331</v>
      </c>
      <c r="P549" s="265">
        <v>0.45833333333333331</v>
      </c>
      <c r="Q549" s="266">
        <v>0.46319444444444446</v>
      </c>
      <c r="R549" s="261">
        <f>IF(Table6[[#This Row],[Work Start TimeStamp]]="","",(Table6[[#This Row],[Work Start TimeStamp]]-Table6[[#This Row],[Fault Start TimeStamp]])*24)</f>
        <v>0</v>
      </c>
      <c r="S549" s="261">
        <f>(Table6[[#This Row],[Fault Clearance time]]-Table6[[#This Row],[Work Start TimeStamp]])*24</f>
        <v>0.11666666666666758</v>
      </c>
      <c r="T549" s="261">
        <f>(Table6[[#This Row],[Fault Clearance time]]-Table6[[#This Row],[Fault Start TimeStamp]])*24</f>
        <v>0.11666666666666758</v>
      </c>
      <c r="U549" s="35" t="s">
        <v>277</v>
      </c>
      <c r="V549" s="102" t="s">
        <v>268</v>
      </c>
      <c r="W549" s="267">
        <f>IFERROR(Table6[[#This Row],[Breakdown Time]]*Table6[[#This Row],[Plant Equivalent Weightage]],"")</f>
        <v>4.4871794871795207E-3</v>
      </c>
      <c r="X549" s="262" t="s">
        <v>269</v>
      </c>
      <c r="Y549" s="263" t="s">
        <v>123</v>
      </c>
      <c r="Z549" s="102">
        <v>28449</v>
      </c>
      <c r="AA549" s="257">
        <f>(Table6[[#This Row],[Paired WTG Generation for loss calculation]]/24)*Table6[[#This Row],[Breakdown Time]]</f>
        <v>138.2937500000011</v>
      </c>
      <c r="AB549" s="102"/>
      <c r="AC549" s="35"/>
      <c r="AD549" s="35"/>
    </row>
    <row r="550" spans="1:30">
      <c r="A550" s="102">
        <f t="shared" si="9"/>
        <v>549</v>
      </c>
      <c r="B550" s="257">
        <f>YEAR(Table6[[#This Row],[Date]])+IF(MONTH(Table6[[#This Row],[Date]])&gt;=4,1,0)</f>
        <v>2026</v>
      </c>
      <c r="C550" s="102">
        <f>YEAR(Table6[[#This Row],[Date]])</f>
        <v>2025</v>
      </c>
      <c r="D550" s="102" t="s">
        <v>265</v>
      </c>
      <c r="E550" s="258">
        <f>Table6[[#This Row],[Date]]-DAY(Table6[[#This Row],[Date]])+1</f>
        <v>45778</v>
      </c>
      <c r="F550" s="259">
        <v>45781</v>
      </c>
      <c r="G550" s="35" t="s">
        <v>118</v>
      </c>
      <c r="H550" s="35" t="str">
        <f>IFERROR(_xlfn.XLOOKUP(Table6[[#This Row],[Affected WTG]],'Basic Data'!$A:$A,'Basic Data'!$B:$B),"")</f>
        <v>TQGXIIPL</v>
      </c>
      <c r="I550" s="35" t="str">
        <f>IFERROR(_xlfn.XLOOKUP(Table6[[#This Row],[Affected WTG]],'Basic Data'!$A:$A,'Basic Data'!$C:$C),"")</f>
        <v>GEDA</v>
      </c>
      <c r="J550" s="260">
        <f>IFERROR(_xlfn.XLOOKUP(Table6[[#This Row],[Affected WTG]],'Basic Data'!$A:$A,'Basic Data'!$E:$E),"")</f>
        <v>3.846153846153845E-2</v>
      </c>
      <c r="K550" s="102">
        <v>6130</v>
      </c>
      <c r="L550" s="35" t="str">
        <f>IFERROR(_xlfn.XLOOKUP(Table6[[#This Row],[Error Code]],'Basic Data'!$AA:$AA,'Basic Data'!$AB:$AB),"Incorrect Error Code")</f>
        <v>Yaw speed high</v>
      </c>
      <c r="M550" s="35" t="s">
        <v>278</v>
      </c>
      <c r="N550" s="264"/>
      <c r="O550" s="265">
        <v>0.69027777777777777</v>
      </c>
      <c r="P550" s="265">
        <v>0.69027777777777777</v>
      </c>
      <c r="Q550" s="266">
        <v>0.69444444444444442</v>
      </c>
      <c r="R550" s="261">
        <f>IF(Table6[[#This Row],[Work Start TimeStamp]]="","",(Table6[[#This Row],[Work Start TimeStamp]]-Table6[[#This Row],[Fault Start TimeStamp]])*24)</f>
        <v>0</v>
      </c>
      <c r="S550" s="261">
        <f>(Table6[[#This Row],[Fault Clearance time]]-Table6[[#This Row],[Work Start TimeStamp]])*24</f>
        <v>9.9999999999999645E-2</v>
      </c>
      <c r="T550" s="261">
        <f>(Table6[[#This Row],[Fault Clearance time]]-Table6[[#This Row],[Fault Start TimeStamp]])*24</f>
        <v>9.9999999999999645E-2</v>
      </c>
      <c r="U550" s="35" t="s">
        <v>277</v>
      </c>
      <c r="V550" s="102" t="s">
        <v>268</v>
      </c>
      <c r="W550" s="267">
        <f>IFERROR(Table6[[#This Row],[Breakdown Time]]*Table6[[#This Row],[Plant Equivalent Weightage]],"")</f>
        <v>3.8461538461538312E-3</v>
      </c>
      <c r="X550" s="262" t="s">
        <v>269</v>
      </c>
      <c r="Y550" s="263" t="s">
        <v>121</v>
      </c>
      <c r="Z550" s="102">
        <v>23702</v>
      </c>
      <c r="AA550" s="257">
        <f>(Table6[[#This Row],[Paired WTG Generation for loss calculation]]/24)*Table6[[#This Row],[Breakdown Time]]</f>
        <v>98.758333333332985</v>
      </c>
      <c r="AB550" s="102"/>
      <c r="AC550" s="35"/>
      <c r="AD550" s="35"/>
    </row>
    <row r="551" spans="1:30">
      <c r="A551" s="102">
        <f t="shared" si="9"/>
        <v>550</v>
      </c>
      <c r="B551" s="257">
        <f>YEAR(Table6[[#This Row],[Date]])+IF(MONTH(Table6[[#This Row],[Date]])&gt;=4,1,0)</f>
        <v>2026</v>
      </c>
      <c r="C551" s="102">
        <f>YEAR(Table6[[#This Row],[Date]])</f>
        <v>2025</v>
      </c>
      <c r="D551" s="102" t="s">
        <v>265</v>
      </c>
      <c r="E551" s="258">
        <f>Table6[[#This Row],[Date]]-DAY(Table6[[#This Row],[Date]])+1</f>
        <v>45778</v>
      </c>
      <c r="F551" s="259">
        <v>45781</v>
      </c>
      <c r="G551" s="35" t="s">
        <v>119</v>
      </c>
      <c r="H551" s="35" t="str">
        <f>IFERROR(_xlfn.XLOOKUP(Table6[[#This Row],[Affected WTG]],'Basic Data'!$A:$A,'Basic Data'!$B:$B),"")</f>
        <v>TQGXIIPL</v>
      </c>
      <c r="I551" s="35" t="str">
        <f>IFERROR(_xlfn.XLOOKUP(Table6[[#This Row],[Affected WTG]],'Basic Data'!$A:$A,'Basic Data'!$C:$C),"")</f>
        <v>GEDA</v>
      </c>
      <c r="J551" s="260">
        <f>IFERROR(_xlfn.XLOOKUP(Table6[[#This Row],[Affected WTG]],'Basic Data'!$A:$A,'Basic Data'!$E:$E),"")</f>
        <v>3.846153846153845E-2</v>
      </c>
      <c r="K551" s="102">
        <v>6605</v>
      </c>
      <c r="L551" s="35" t="str">
        <f>IFERROR(_xlfn.XLOOKUP(Table6[[#This Row],[Error Code]],'Basic Data'!$AA:$AA,'Basic Data'!$AB:$AB),"Incorrect Error Code")</f>
        <v>Wind.dir. diff. level 2</v>
      </c>
      <c r="M551" s="35" t="s">
        <v>278</v>
      </c>
      <c r="N551" s="264"/>
      <c r="O551" s="265">
        <v>0.69722222222222219</v>
      </c>
      <c r="P551" s="265">
        <v>0.69722222222222219</v>
      </c>
      <c r="Q551" s="266">
        <v>0.69861111111111107</v>
      </c>
      <c r="R551" s="261">
        <f>IF(Table6[[#This Row],[Work Start TimeStamp]]="","",(Table6[[#This Row],[Work Start TimeStamp]]-Table6[[#This Row],[Fault Start TimeStamp]])*24)</f>
        <v>0</v>
      </c>
      <c r="S551" s="261">
        <f>(Table6[[#This Row],[Fault Clearance time]]-Table6[[#This Row],[Work Start TimeStamp]])*24</f>
        <v>3.3333333333333215E-2</v>
      </c>
      <c r="T551" s="261">
        <f>(Table6[[#This Row],[Fault Clearance time]]-Table6[[#This Row],[Fault Start TimeStamp]])*24</f>
        <v>3.3333333333333215E-2</v>
      </c>
      <c r="U551" s="35" t="s">
        <v>277</v>
      </c>
      <c r="V551" s="102" t="s">
        <v>268</v>
      </c>
      <c r="W551" s="267">
        <f>IFERROR(Table6[[#This Row],[Breakdown Time]]*Table6[[#This Row],[Plant Equivalent Weightage]],"")</f>
        <v>1.2820512820512771E-3</v>
      </c>
      <c r="X551" s="262" t="s">
        <v>269</v>
      </c>
      <c r="Y551" s="263" t="s">
        <v>116</v>
      </c>
      <c r="Z551" s="102">
        <v>29174</v>
      </c>
      <c r="AA551" s="257">
        <f>(Table6[[#This Row],[Paired WTG Generation for loss calculation]]/24)*Table6[[#This Row],[Breakdown Time]]</f>
        <v>40.519444444444296</v>
      </c>
      <c r="AB551" s="102"/>
      <c r="AC551" s="35"/>
      <c r="AD551" s="35"/>
    </row>
    <row r="552" spans="1:30">
      <c r="A552" s="102">
        <f t="shared" si="9"/>
        <v>551</v>
      </c>
      <c r="B552" s="257">
        <f>YEAR(Table6[[#This Row],[Date]])+IF(MONTH(Table6[[#This Row],[Date]])&gt;=4,1,0)</f>
        <v>2026</v>
      </c>
      <c r="C552" s="102">
        <f>YEAR(Table6[[#This Row],[Date]])</f>
        <v>2025</v>
      </c>
      <c r="D552" s="102" t="s">
        <v>265</v>
      </c>
      <c r="E552" s="258">
        <f>Table6[[#This Row],[Date]]-DAY(Table6[[#This Row],[Date]])+1</f>
        <v>45778</v>
      </c>
      <c r="F552" s="259">
        <v>45781</v>
      </c>
      <c r="G552" s="35" t="s">
        <v>120</v>
      </c>
      <c r="H552" s="35" t="str">
        <f>IFERROR(_xlfn.XLOOKUP(Table6[[#This Row],[Affected WTG]],'Basic Data'!$A:$A,'Basic Data'!$B:$B),"")</f>
        <v>TQGXIIPL</v>
      </c>
      <c r="I552" s="35" t="str">
        <f>IFERROR(_xlfn.XLOOKUP(Table6[[#This Row],[Affected WTG]],'Basic Data'!$A:$A,'Basic Data'!$C:$C),"")</f>
        <v>GEDA</v>
      </c>
      <c r="J552" s="260">
        <f>IFERROR(_xlfn.XLOOKUP(Table6[[#This Row],[Affected WTG]],'Basic Data'!$A:$A,'Basic Data'!$E:$E),"")</f>
        <v>3.846153846153845E-2</v>
      </c>
      <c r="K552" s="102">
        <v>6605</v>
      </c>
      <c r="L552" s="35" t="str">
        <f>IFERROR(_xlfn.XLOOKUP(Table6[[#This Row],[Error Code]],'Basic Data'!$AA:$AA,'Basic Data'!$AB:$AB),"Incorrect Error Code")</f>
        <v>Wind.dir. diff. level 2</v>
      </c>
      <c r="M552" s="35" t="s">
        <v>278</v>
      </c>
      <c r="N552" s="264"/>
      <c r="O552" s="265">
        <v>0.61527777777777781</v>
      </c>
      <c r="P552" s="265">
        <v>0.61527777777777781</v>
      </c>
      <c r="Q552" s="266">
        <v>0.6166666666666667</v>
      </c>
      <c r="R552" s="261">
        <f>IF(Table6[[#This Row],[Work Start TimeStamp]]="","",(Table6[[#This Row],[Work Start TimeStamp]]-Table6[[#This Row],[Fault Start TimeStamp]])*24)</f>
        <v>0</v>
      </c>
      <c r="S552" s="261">
        <f>(Table6[[#This Row],[Fault Clearance time]]-Table6[[#This Row],[Work Start TimeStamp]])*24</f>
        <v>3.3333333333333215E-2</v>
      </c>
      <c r="T552" s="261">
        <f>(Table6[[#This Row],[Fault Clearance time]]-Table6[[#This Row],[Fault Start TimeStamp]])*24</f>
        <v>3.3333333333333215E-2</v>
      </c>
      <c r="U552" s="35" t="s">
        <v>277</v>
      </c>
      <c r="V552" s="102" t="s">
        <v>268</v>
      </c>
      <c r="W552" s="267">
        <f>IFERROR(Table6[[#This Row],[Breakdown Time]]*Table6[[#This Row],[Plant Equivalent Weightage]],"")</f>
        <v>1.2820512820512771E-3</v>
      </c>
      <c r="X552" s="262" t="s">
        <v>269</v>
      </c>
      <c r="Y552" s="263" t="s">
        <v>135</v>
      </c>
      <c r="Z552" s="102">
        <v>30867</v>
      </c>
      <c r="AA552" s="257">
        <f>(Table6[[#This Row],[Paired WTG Generation for loss calculation]]/24)*Table6[[#This Row],[Breakdown Time]]</f>
        <v>42.870833333333181</v>
      </c>
      <c r="AB552" s="102"/>
      <c r="AC552" s="35"/>
      <c r="AD552" s="35"/>
    </row>
    <row r="553" spans="1:30">
      <c r="A553" s="102">
        <f t="shared" si="9"/>
        <v>552</v>
      </c>
      <c r="B553" s="257">
        <f>YEAR(Table6[[#This Row],[Date]])+IF(MONTH(Table6[[#This Row],[Date]])&gt;=4,1,0)</f>
        <v>2026</v>
      </c>
      <c r="C553" s="102">
        <f>YEAR(Table6[[#This Row],[Date]])</f>
        <v>2025</v>
      </c>
      <c r="D553" s="102" t="s">
        <v>265</v>
      </c>
      <c r="E553" s="258">
        <f>Table6[[#This Row],[Date]]-DAY(Table6[[#This Row],[Date]])+1</f>
        <v>45778</v>
      </c>
      <c r="F553" s="259">
        <v>45781</v>
      </c>
      <c r="G553" s="35" t="s">
        <v>122</v>
      </c>
      <c r="H553" s="35" t="str">
        <f>IFERROR(_xlfn.XLOOKUP(Table6[[#This Row],[Affected WTG]],'Basic Data'!$A:$A,'Basic Data'!$B:$B),"")</f>
        <v>TQGXIIPL</v>
      </c>
      <c r="I553" s="35" t="str">
        <f>IFERROR(_xlfn.XLOOKUP(Table6[[#This Row],[Affected WTG]],'Basic Data'!$A:$A,'Basic Data'!$C:$C),"")</f>
        <v>GEDA</v>
      </c>
      <c r="J553" s="260">
        <f>IFERROR(_xlfn.XLOOKUP(Table6[[#This Row],[Affected WTG]],'Basic Data'!$A:$A,'Basic Data'!$E:$E),"")</f>
        <v>3.846153846153845E-2</v>
      </c>
      <c r="K553" s="102">
        <v>6130</v>
      </c>
      <c r="L553" s="35" t="str">
        <f>IFERROR(_xlfn.XLOOKUP(Table6[[#This Row],[Error Code]],'Basic Data'!$AA:$AA,'Basic Data'!$AB:$AB),"Incorrect Error Code")</f>
        <v>Yaw speed high</v>
      </c>
      <c r="M553" s="35" t="s">
        <v>278</v>
      </c>
      <c r="N553" s="264"/>
      <c r="O553" s="265">
        <v>1.1111111111111112E-2</v>
      </c>
      <c r="P553" s="265">
        <v>1.1111111111111112E-2</v>
      </c>
      <c r="Q553" s="266">
        <v>1.3194444444444444E-2</v>
      </c>
      <c r="R553" s="261">
        <f>IF(Table6[[#This Row],[Work Start TimeStamp]]="","",(Table6[[#This Row],[Work Start TimeStamp]]-Table6[[#This Row],[Fault Start TimeStamp]])*24)</f>
        <v>0</v>
      </c>
      <c r="S553" s="261">
        <f>(Table6[[#This Row],[Fault Clearance time]]-Table6[[#This Row],[Work Start TimeStamp]])*24</f>
        <v>4.9999999999999989E-2</v>
      </c>
      <c r="T553" s="261">
        <f>(Table6[[#This Row],[Fault Clearance time]]-Table6[[#This Row],[Fault Start TimeStamp]])*24</f>
        <v>4.9999999999999989E-2</v>
      </c>
      <c r="U553" s="35" t="s">
        <v>277</v>
      </c>
      <c r="V553" s="102" t="s">
        <v>268</v>
      </c>
      <c r="W553" s="267">
        <f>IFERROR(Table6[[#This Row],[Breakdown Time]]*Table6[[#This Row],[Plant Equivalent Weightage]],"")</f>
        <v>1.9230769230769221E-3</v>
      </c>
      <c r="X553" s="262" t="s">
        <v>269</v>
      </c>
      <c r="Y553" s="263" t="s">
        <v>140</v>
      </c>
      <c r="Z553" s="102">
        <v>30825</v>
      </c>
      <c r="AA553" s="257">
        <f>(Table6[[#This Row],[Paired WTG Generation for loss calculation]]/24)*Table6[[#This Row],[Breakdown Time]]</f>
        <v>64.218749999999986</v>
      </c>
      <c r="AB553" s="102"/>
      <c r="AC553" s="35"/>
      <c r="AD553" s="35"/>
    </row>
    <row r="554" spans="1:30">
      <c r="A554" s="102">
        <f t="shared" si="9"/>
        <v>553</v>
      </c>
      <c r="B554" s="257">
        <f>YEAR(Table6[[#This Row],[Date]])+IF(MONTH(Table6[[#This Row],[Date]])&gt;=4,1,0)</f>
        <v>2026</v>
      </c>
      <c r="C554" s="102">
        <f>YEAR(Table6[[#This Row],[Date]])</f>
        <v>2025</v>
      </c>
      <c r="D554" s="102" t="s">
        <v>265</v>
      </c>
      <c r="E554" s="258">
        <f>Table6[[#This Row],[Date]]-DAY(Table6[[#This Row],[Date]])+1</f>
        <v>45778</v>
      </c>
      <c r="F554" s="259">
        <v>45781</v>
      </c>
      <c r="G554" s="35" t="s">
        <v>122</v>
      </c>
      <c r="H554" s="35" t="str">
        <f>IFERROR(_xlfn.XLOOKUP(Table6[[#This Row],[Affected WTG]],'Basic Data'!$A:$A,'Basic Data'!$B:$B),"")</f>
        <v>TQGXIIPL</v>
      </c>
      <c r="I554" s="35" t="str">
        <f>IFERROR(_xlfn.XLOOKUP(Table6[[#This Row],[Affected WTG]],'Basic Data'!$A:$A,'Basic Data'!$C:$C),"")</f>
        <v>GEDA</v>
      </c>
      <c r="J554" s="260">
        <f>IFERROR(_xlfn.XLOOKUP(Table6[[#This Row],[Affected WTG]],'Basic Data'!$A:$A,'Basic Data'!$E:$E),"")</f>
        <v>3.846153846153845E-2</v>
      </c>
      <c r="K554" s="102">
        <v>55</v>
      </c>
      <c r="L554" s="35" t="str">
        <f>IFERROR(_xlfn.XLOOKUP(Table6[[#This Row],[Error Code]],'Basic Data'!$AA:$AA,'Basic Data'!$AB:$AB),"Incorrect Error Code")</f>
        <v>WTG shut down</v>
      </c>
      <c r="M554" s="35" t="s">
        <v>300</v>
      </c>
      <c r="N554" s="264"/>
      <c r="O554" s="265">
        <v>0.7270833333333333</v>
      </c>
      <c r="P554" s="265">
        <v>0.7270833333333333</v>
      </c>
      <c r="Q554" s="266">
        <v>0.85416666666666663</v>
      </c>
      <c r="R554" s="261">
        <f>IF(Table6[[#This Row],[Work Start TimeStamp]]="","",(Table6[[#This Row],[Work Start TimeStamp]]-Table6[[#This Row],[Fault Start TimeStamp]])*24)</f>
        <v>0</v>
      </c>
      <c r="S554" s="261">
        <f>(Table6[[#This Row],[Fault Clearance time]]-Table6[[#This Row],[Work Start TimeStamp]])*24</f>
        <v>3.05</v>
      </c>
      <c r="T554" s="261">
        <f>(Table6[[#This Row],[Fault Clearance time]]-Table6[[#This Row],[Fault Start TimeStamp]])*24</f>
        <v>3.05</v>
      </c>
      <c r="U554" s="35" t="s">
        <v>385</v>
      </c>
      <c r="V554" s="102" t="s">
        <v>268</v>
      </c>
      <c r="W554" s="267">
        <f>IFERROR(Table6[[#This Row],[Breakdown Time]]*Table6[[#This Row],[Plant Equivalent Weightage]],"")</f>
        <v>0.11730769230769227</v>
      </c>
      <c r="X554" s="262" t="s">
        <v>296</v>
      </c>
      <c r="Y554" s="263" t="s">
        <v>140</v>
      </c>
      <c r="Z554" s="102">
        <v>30825</v>
      </c>
      <c r="AA554" s="257">
        <f>(Table6[[#This Row],[Paired WTG Generation for loss calculation]]/24)*Table6[[#This Row],[Breakdown Time]]</f>
        <v>3917.3437499999995</v>
      </c>
      <c r="AB554" s="102"/>
      <c r="AC554" s="35"/>
      <c r="AD554" s="35"/>
    </row>
    <row r="555" spans="1:30">
      <c r="A555" s="102">
        <f t="shared" si="9"/>
        <v>554</v>
      </c>
      <c r="B555" s="257">
        <f>YEAR(Table6[[#This Row],[Date]])+IF(MONTH(Table6[[#This Row],[Date]])&gt;=4,1,0)</f>
        <v>2026</v>
      </c>
      <c r="C555" s="102">
        <f>YEAR(Table6[[#This Row],[Date]])</f>
        <v>2025</v>
      </c>
      <c r="D555" s="102" t="s">
        <v>265</v>
      </c>
      <c r="E555" s="258">
        <f>Table6[[#This Row],[Date]]-DAY(Table6[[#This Row],[Date]])+1</f>
        <v>45778</v>
      </c>
      <c r="F555" s="259">
        <v>45781</v>
      </c>
      <c r="G555" s="35" t="s">
        <v>124</v>
      </c>
      <c r="H555" s="35" t="str">
        <f>IFERROR(_xlfn.XLOOKUP(Table6[[#This Row],[Affected WTG]],'Basic Data'!$A:$A,'Basic Data'!$B:$B),"")</f>
        <v>TQGXIIPL</v>
      </c>
      <c r="I555" s="35" t="str">
        <f>IFERROR(_xlfn.XLOOKUP(Table6[[#This Row],[Affected WTG]],'Basic Data'!$A:$A,'Basic Data'!$C:$C),"")</f>
        <v>GEDA</v>
      </c>
      <c r="J555" s="260">
        <f>IFERROR(_xlfn.XLOOKUP(Table6[[#This Row],[Affected WTG]],'Basic Data'!$A:$A,'Basic Data'!$E:$E),"")</f>
        <v>3.846153846153845E-2</v>
      </c>
      <c r="K555" s="102">
        <v>6130</v>
      </c>
      <c r="L555" s="35" t="str">
        <f>IFERROR(_xlfn.XLOOKUP(Table6[[#This Row],[Error Code]],'Basic Data'!$AA:$AA,'Basic Data'!$AB:$AB),"Incorrect Error Code")</f>
        <v>Yaw speed high</v>
      </c>
      <c r="M555" s="35" t="s">
        <v>278</v>
      </c>
      <c r="N555" s="264"/>
      <c r="O555" s="265">
        <v>0.71180555555555558</v>
      </c>
      <c r="P555" s="265">
        <v>0.71180555555555558</v>
      </c>
      <c r="Q555" s="266">
        <v>0.71597222222222223</v>
      </c>
      <c r="R555" s="261">
        <f>IF(Table6[[#This Row],[Work Start TimeStamp]]="","",(Table6[[#This Row],[Work Start TimeStamp]]-Table6[[#This Row],[Fault Start TimeStamp]])*24)</f>
        <v>0</v>
      </c>
      <c r="S555" s="261">
        <f>(Table6[[#This Row],[Fault Clearance time]]-Table6[[#This Row],[Work Start TimeStamp]])*24</f>
        <v>9.9999999999999645E-2</v>
      </c>
      <c r="T555" s="261">
        <f>(Table6[[#This Row],[Fault Clearance time]]-Table6[[#This Row],[Fault Start TimeStamp]])*24</f>
        <v>9.9999999999999645E-2</v>
      </c>
      <c r="U555" s="35" t="s">
        <v>277</v>
      </c>
      <c r="V555" s="102" t="s">
        <v>268</v>
      </c>
      <c r="W555" s="267">
        <f>IFERROR(Table6[[#This Row],[Breakdown Time]]*Table6[[#This Row],[Plant Equivalent Weightage]],"")</f>
        <v>3.8461538461538312E-3</v>
      </c>
      <c r="X555" s="262" t="s">
        <v>269</v>
      </c>
      <c r="Y555" s="263" t="s">
        <v>129</v>
      </c>
      <c r="Z555" s="102">
        <v>27808</v>
      </c>
      <c r="AA555" s="257">
        <f>(Table6[[#This Row],[Paired WTG Generation for loss calculation]]/24)*Table6[[#This Row],[Breakdown Time]]</f>
        <v>115.86666666666626</v>
      </c>
      <c r="AB555" s="102"/>
      <c r="AC555" s="35"/>
      <c r="AD555" s="35"/>
    </row>
    <row r="556" spans="1:30">
      <c r="A556" s="102">
        <f t="shared" si="9"/>
        <v>555</v>
      </c>
      <c r="B556" s="257">
        <f>YEAR(Table6[[#This Row],[Date]])+IF(MONTH(Table6[[#This Row],[Date]])&gt;=4,1,0)</f>
        <v>2026</v>
      </c>
      <c r="C556" s="102">
        <f>YEAR(Table6[[#This Row],[Date]])</f>
        <v>2025</v>
      </c>
      <c r="D556" s="102" t="s">
        <v>265</v>
      </c>
      <c r="E556" s="258">
        <f>Table6[[#This Row],[Date]]-DAY(Table6[[#This Row],[Date]])+1</f>
        <v>45778</v>
      </c>
      <c r="F556" s="259">
        <v>45781</v>
      </c>
      <c r="G556" s="35" t="s">
        <v>125</v>
      </c>
      <c r="H556" s="35" t="str">
        <f>IFERROR(_xlfn.XLOOKUP(Table6[[#This Row],[Affected WTG]],'Basic Data'!$A:$A,'Basic Data'!$B:$B),"")</f>
        <v>TQGXIIPL</v>
      </c>
      <c r="I556" s="35" t="str">
        <f>IFERROR(_xlfn.XLOOKUP(Table6[[#This Row],[Affected WTG]],'Basic Data'!$A:$A,'Basic Data'!$C:$C),"")</f>
        <v>GEDA</v>
      </c>
      <c r="J556" s="260">
        <f>IFERROR(_xlfn.XLOOKUP(Table6[[#This Row],[Affected WTG]],'Basic Data'!$A:$A,'Basic Data'!$E:$E),"")</f>
        <v>3.846153846153845E-2</v>
      </c>
      <c r="K556" s="102">
        <v>6130</v>
      </c>
      <c r="L556" s="35" t="str">
        <f>IFERROR(_xlfn.XLOOKUP(Table6[[#This Row],[Error Code]],'Basic Data'!$AA:$AA,'Basic Data'!$AB:$AB),"Incorrect Error Code")</f>
        <v>Yaw speed high</v>
      </c>
      <c r="M556" s="35" t="s">
        <v>278</v>
      </c>
      <c r="N556" s="264"/>
      <c r="O556" s="265">
        <v>0.55000000000000004</v>
      </c>
      <c r="P556" s="265">
        <v>0.55000000000000004</v>
      </c>
      <c r="Q556" s="266">
        <v>0.55138888888888893</v>
      </c>
      <c r="R556" s="261">
        <f>IF(Table6[[#This Row],[Work Start TimeStamp]]="","",(Table6[[#This Row],[Work Start TimeStamp]]-Table6[[#This Row],[Fault Start TimeStamp]])*24)</f>
        <v>0</v>
      </c>
      <c r="S556" s="261">
        <f>(Table6[[#This Row],[Fault Clearance time]]-Table6[[#This Row],[Work Start TimeStamp]])*24</f>
        <v>3.3333333333333215E-2</v>
      </c>
      <c r="T556" s="261">
        <f>(Table6[[#This Row],[Fault Clearance time]]-Table6[[#This Row],[Fault Start TimeStamp]])*24</f>
        <v>3.3333333333333215E-2</v>
      </c>
      <c r="U556" s="35" t="s">
        <v>277</v>
      </c>
      <c r="V556" s="102" t="s">
        <v>268</v>
      </c>
      <c r="W556" s="267">
        <f>IFERROR(Table6[[#This Row],[Breakdown Time]]*Table6[[#This Row],[Plant Equivalent Weightage]],"")</f>
        <v>1.2820512820512771E-3</v>
      </c>
      <c r="X556" s="262" t="s">
        <v>269</v>
      </c>
      <c r="Y556" s="263" t="s">
        <v>126</v>
      </c>
      <c r="Z556" s="102">
        <v>29548</v>
      </c>
      <c r="AA556" s="257">
        <f>(Table6[[#This Row],[Paired WTG Generation for loss calculation]]/24)*Table6[[#This Row],[Breakdown Time]]</f>
        <v>41.038888888888742</v>
      </c>
      <c r="AB556" s="102"/>
      <c r="AC556" s="35"/>
      <c r="AD556" s="35"/>
    </row>
    <row r="557" spans="1:30">
      <c r="A557" s="102">
        <f t="shared" si="9"/>
        <v>556</v>
      </c>
      <c r="B557" s="257">
        <f>YEAR(Table6[[#This Row],[Date]])+IF(MONTH(Table6[[#This Row],[Date]])&gt;=4,1,0)</f>
        <v>2026</v>
      </c>
      <c r="C557" s="102">
        <f>YEAR(Table6[[#This Row],[Date]])</f>
        <v>2025</v>
      </c>
      <c r="D557" s="102" t="s">
        <v>265</v>
      </c>
      <c r="E557" s="258">
        <f>Table6[[#This Row],[Date]]-DAY(Table6[[#This Row],[Date]])+1</f>
        <v>45778</v>
      </c>
      <c r="F557" s="259">
        <v>45781</v>
      </c>
      <c r="G557" s="35" t="s">
        <v>125</v>
      </c>
      <c r="H557" s="35" t="str">
        <f>IFERROR(_xlfn.XLOOKUP(Table6[[#This Row],[Affected WTG]],'Basic Data'!$A:$A,'Basic Data'!$B:$B),"")</f>
        <v>TQGXIIPL</v>
      </c>
      <c r="I557" s="35" t="str">
        <f>IFERROR(_xlfn.XLOOKUP(Table6[[#This Row],[Affected WTG]],'Basic Data'!$A:$A,'Basic Data'!$C:$C),"")</f>
        <v>GEDA</v>
      </c>
      <c r="J557" s="260">
        <f>IFERROR(_xlfn.XLOOKUP(Table6[[#This Row],[Affected WTG]],'Basic Data'!$A:$A,'Basic Data'!$E:$E),"")</f>
        <v>3.846153846153845E-2</v>
      </c>
      <c r="K557" s="102">
        <v>6130</v>
      </c>
      <c r="L557" s="35" t="str">
        <f>IFERROR(_xlfn.XLOOKUP(Table6[[#This Row],[Error Code]],'Basic Data'!$AA:$AA,'Basic Data'!$AB:$AB),"Incorrect Error Code")</f>
        <v>Yaw speed high</v>
      </c>
      <c r="M557" s="35" t="s">
        <v>278</v>
      </c>
      <c r="N557" s="264"/>
      <c r="O557" s="265">
        <v>0.7368055555555556</v>
      </c>
      <c r="P557" s="265">
        <v>0.7368055555555556</v>
      </c>
      <c r="Q557" s="266">
        <v>0.74097222222222225</v>
      </c>
      <c r="R557" s="261">
        <f>IF(Table6[[#This Row],[Work Start TimeStamp]]="","",(Table6[[#This Row],[Work Start TimeStamp]]-Table6[[#This Row],[Fault Start TimeStamp]])*24)</f>
        <v>0</v>
      </c>
      <c r="S557" s="261">
        <f>(Table6[[#This Row],[Fault Clearance time]]-Table6[[#This Row],[Work Start TimeStamp]])*24</f>
        <v>9.9999999999999645E-2</v>
      </c>
      <c r="T557" s="261">
        <f>(Table6[[#This Row],[Fault Clearance time]]-Table6[[#This Row],[Fault Start TimeStamp]])*24</f>
        <v>9.9999999999999645E-2</v>
      </c>
      <c r="U557" s="35" t="s">
        <v>277</v>
      </c>
      <c r="V557" s="102" t="s">
        <v>268</v>
      </c>
      <c r="W557" s="267">
        <f>IFERROR(Table6[[#This Row],[Breakdown Time]]*Table6[[#This Row],[Plant Equivalent Weightage]],"")</f>
        <v>3.8461538461538312E-3</v>
      </c>
      <c r="X557" s="262" t="s">
        <v>269</v>
      </c>
      <c r="Y557" s="263" t="s">
        <v>126</v>
      </c>
      <c r="Z557" s="102">
        <v>29548</v>
      </c>
      <c r="AA557" s="257">
        <f>(Table6[[#This Row],[Paired WTG Generation for loss calculation]]/24)*Table6[[#This Row],[Breakdown Time]]</f>
        <v>123.11666666666623</v>
      </c>
      <c r="AB557" s="102"/>
      <c r="AC557" s="35"/>
      <c r="AD557" s="35"/>
    </row>
    <row r="558" spans="1:30">
      <c r="A558" s="102">
        <f t="shared" si="9"/>
        <v>557</v>
      </c>
      <c r="B558" s="257">
        <f>YEAR(Table6[[#This Row],[Date]])+IF(MONTH(Table6[[#This Row],[Date]])&gt;=4,1,0)</f>
        <v>2026</v>
      </c>
      <c r="C558" s="102">
        <f>YEAR(Table6[[#This Row],[Date]])</f>
        <v>2025</v>
      </c>
      <c r="D558" s="102" t="s">
        <v>265</v>
      </c>
      <c r="E558" s="258">
        <f>Table6[[#This Row],[Date]]-DAY(Table6[[#This Row],[Date]])+1</f>
        <v>45778</v>
      </c>
      <c r="F558" s="259">
        <v>45781</v>
      </c>
      <c r="G558" s="35" t="s">
        <v>130</v>
      </c>
      <c r="H558" s="35" t="str">
        <f>IFERROR(_xlfn.XLOOKUP(Table6[[#This Row],[Affected WTG]],'Basic Data'!$A:$A,'Basic Data'!$B:$B),"")</f>
        <v>TQGXIIPL</v>
      </c>
      <c r="I558" s="35" t="str">
        <f>IFERROR(_xlfn.XLOOKUP(Table6[[#This Row],[Affected WTG]],'Basic Data'!$A:$A,'Basic Data'!$C:$C),"")</f>
        <v>GEDA</v>
      </c>
      <c r="J558" s="260">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266</v>
      </c>
      <c r="N558" s="264"/>
      <c r="O558" s="265">
        <v>0.2361111111111111</v>
      </c>
      <c r="P558" s="265">
        <v>0.28194444444444444</v>
      </c>
      <c r="Q558" s="266">
        <v>0.39930555555555558</v>
      </c>
      <c r="R558" s="261">
        <f>IF(Table6[[#This Row],[Work Start TimeStamp]]="","",(Table6[[#This Row],[Work Start TimeStamp]]-Table6[[#This Row],[Fault Start TimeStamp]])*24)</f>
        <v>1.1000000000000001</v>
      </c>
      <c r="S558" s="261">
        <f>(Table6[[#This Row],[Fault Clearance time]]-Table6[[#This Row],[Work Start TimeStamp]])*24</f>
        <v>2.8166666666666673</v>
      </c>
      <c r="T558" s="261">
        <f>(Table6[[#This Row],[Fault Clearance time]]-Table6[[#This Row],[Fault Start TimeStamp]])*24</f>
        <v>3.9166666666666674</v>
      </c>
      <c r="U558" s="35" t="s">
        <v>394</v>
      </c>
      <c r="V558" s="102" t="s">
        <v>268</v>
      </c>
      <c r="W558" s="267">
        <f>IFERROR(Table6[[#This Row],[Breakdown Time]]*Table6[[#This Row],[Plant Equivalent Weightage]],"")</f>
        <v>0.15064102564102563</v>
      </c>
      <c r="X558" s="262" t="s">
        <v>296</v>
      </c>
      <c r="Y558" s="263" t="s">
        <v>135</v>
      </c>
      <c r="Z558" s="102">
        <v>30867</v>
      </c>
      <c r="AA558" s="257">
        <f>(Table6[[#This Row],[Paired WTG Generation for loss calculation]]/24)*Table6[[#This Row],[Breakdown Time]]</f>
        <v>5037.3229166666679</v>
      </c>
      <c r="AB558" s="102"/>
      <c r="AC558" s="35"/>
      <c r="AD558" s="35"/>
    </row>
    <row r="559" spans="1:30">
      <c r="A559" s="102">
        <f t="shared" si="9"/>
        <v>558</v>
      </c>
      <c r="B559" s="257">
        <f>YEAR(Table6[[#This Row],[Date]])+IF(MONTH(Table6[[#This Row],[Date]])&gt;=4,1,0)</f>
        <v>2026</v>
      </c>
      <c r="C559" s="102">
        <f>YEAR(Table6[[#This Row],[Date]])</f>
        <v>2025</v>
      </c>
      <c r="D559" s="102" t="s">
        <v>265</v>
      </c>
      <c r="E559" s="258">
        <f>Table6[[#This Row],[Date]]-DAY(Table6[[#This Row],[Date]])+1</f>
        <v>45778</v>
      </c>
      <c r="F559" s="259">
        <v>45781</v>
      </c>
      <c r="G559" s="35" t="s">
        <v>130</v>
      </c>
      <c r="H559" s="35" t="str">
        <f>IFERROR(_xlfn.XLOOKUP(Table6[[#This Row],[Affected WTG]],'Basic Data'!$A:$A,'Basic Data'!$B:$B),"")</f>
        <v>TQGXIIPL</v>
      </c>
      <c r="I559" s="35" t="str">
        <f>IFERROR(_xlfn.XLOOKUP(Table6[[#This Row],[Affected WTG]],'Basic Data'!$A:$A,'Basic Data'!$C:$C),"")</f>
        <v>GEDA</v>
      </c>
      <c r="J559" s="260">
        <f>IFERROR(_xlfn.XLOOKUP(Table6[[#This Row],[Affected WTG]],'Basic Data'!$A:$A,'Basic Data'!$E:$E),"")</f>
        <v>3.846153846153845E-2</v>
      </c>
      <c r="K559" s="102">
        <v>665</v>
      </c>
      <c r="L559" s="35" t="str">
        <f>IFERROR(_xlfn.XLOOKUP(Table6[[#This Row],[Error Code]],'Basic Data'!$AA:$AA,'Basic Data'!$AB:$AB),"Incorrect Error Code")</f>
        <v>Pitch error</v>
      </c>
      <c r="M559" s="35" t="s">
        <v>266</v>
      </c>
      <c r="N559" s="264"/>
      <c r="O559" s="265">
        <v>0.42152777777777778</v>
      </c>
      <c r="P559" s="265">
        <v>0.42152777777777778</v>
      </c>
      <c r="Q559" s="266">
        <v>0.43055555555555558</v>
      </c>
      <c r="R559" s="261">
        <f>IF(Table6[[#This Row],[Work Start TimeStamp]]="","",(Table6[[#This Row],[Work Start TimeStamp]]-Table6[[#This Row],[Fault Start TimeStamp]])*24)</f>
        <v>0</v>
      </c>
      <c r="S559" s="261">
        <f>(Table6[[#This Row],[Fault Clearance time]]-Table6[[#This Row],[Work Start TimeStamp]])*24</f>
        <v>0.21666666666666723</v>
      </c>
      <c r="T559" s="261">
        <f>(Table6[[#This Row],[Fault Clearance time]]-Table6[[#This Row],[Fault Start TimeStamp]])*24</f>
        <v>0.21666666666666723</v>
      </c>
      <c r="U559" s="35" t="s">
        <v>267</v>
      </c>
      <c r="V559" s="102" t="s">
        <v>268</v>
      </c>
      <c r="W559" s="267">
        <f>IFERROR(Table6[[#This Row],[Breakdown Time]]*Table6[[#This Row],[Plant Equivalent Weightage]],"")</f>
        <v>8.3333333333333523E-3</v>
      </c>
      <c r="X559" s="262" t="s">
        <v>269</v>
      </c>
      <c r="Y559" s="263" t="s">
        <v>135</v>
      </c>
      <c r="Z559" s="102">
        <v>30867</v>
      </c>
      <c r="AA559" s="257">
        <f>(Table6[[#This Row],[Paired WTG Generation for loss calculation]]/24)*Table6[[#This Row],[Breakdown Time]]</f>
        <v>278.6604166666674</v>
      </c>
      <c r="AB559" s="102"/>
      <c r="AC559" s="35"/>
      <c r="AD559" s="35"/>
    </row>
    <row r="560" spans="1:30">
      <c r="A560" s="102">
        <f t="shared" si="9"/>
        <v>559</v>
      </c>
      <c r="B560" s="257">
        <f>YEAR(Table6[[#This Row],[Date]])+IF(MONTH(Table6[[#This Row],[Date]])&gt;=4,1,0)</f>
        <v>2026</v>
      </c>
      <c r="C560" s="102">
        <f>YEAR(Table6[[#This Row],[Date]])</f>
        <v>2025</v>
      </c>
      <c r="D560" s="102" t="s">
        <v>265</v>
      </c>
      <c r="E560" s="258">
        <f>Table6[[#This Row],[Date]]-DAY(Table6[[#This Row],[Date]])+1</f>
        <v>45778</v>
      </c>
      <c r="F560" s="259">
        <v>45781</v>
      </c>
      <c r="G560" s="35" t="s">
        <v>131</v>
      </c>
      <c r="H560" s="35" t="str">
        <f>IFERROR(_xlfn.XLOOKUP(Table6[[#This Row],[Affected WTG]],'Basic Data'!$A:$A,'Basic Data'!$B:$B),"")</f>
        <v>TQGXIIPL</v>
      </c>
      <c r="I560" s="35" t="str">
        <f>IFERROR(_xlfn.XLOOKUP(Table6[[#This Row],[Affected WTG]],'Basic Data'!$A:$A,'Basic Data'!$C:$C),"")</f>
        <v>GEDA</v>
      </c>
      <c r="J560" s="260">
        <f>IFERROR(_xlfn.XLOOKUP(Table6[[#This Row],[Affected WTG]],'Basic Data'!$A:$A,'Basic Data'!$E:$E),"")</f>
        <v>3.846153846153845E-2</v>
      </c>
      <c r="K560" s="102">
        <v>3110</v>
      </c>
      <c r="L560" s="35" t="str">
        <f>IFERROR(_xlfn.XLOOKUP(Table6[[#This Row],[Error Code]],'Basic Data'!$AA:$AA,'Basic Data'!$AB:$AB),"Incorrect Error Code")</f>
        <v>Frequency converter error</v>
      </c>
      <c r="M560" s="35" t="s">
        <v>266</v>
      </c>
      <c r="N560" s="264"/>
      <c r="O560" s="265">
        <v>0.72152777777777777</v>
      </c>
      <c r="P560" s="265">
        <v>0.72152777777777777</v>
      </c>
      <c r="Q560" s="266">
        <v>0.73541666666666672</v>
      </c>
      <c r="R560" s="261">
        <f>IF(Table6[[#This Row],[Work Start TimeStamp]]="","",(Table6[[#This Row],[Work Start TimeStamp]]-Table6[[#This Row],[Fault Start TimeStamp]])*24)</f>
        <v>0</v>
      </c>
      <c r="S560" s="261">
        <f>(Table6[[#This Row],[Fault Clearance time]]-Table6[[#This Row],[Work Start TimeStamp]])*24</f>
        <v>0.33333333333333481</v>
      </c>
      <c r="T560" s="261">
        <f>(Table6[[#This Row],[Fault Clearance time]]-Table6[[#This Row],[Fault Start TimeStamp]])*24</f>
        <v>0.33333333333333481</v>
      </c>
      <c r="U560" s="35" t="s">
        <v>313</v>
      </c>
      <c r="V560" s="102" t="s">
        <v>268</v>
      </c>
      <c r="W560" s="267">
        <f>IFERROR(Table6[[#This Row],[Breakdown Time]]*Table6[[#This Row],[Plant Equivalent Weightage]],"")</f>
        <v>1.2820512820512874E-2</v>
      </c>
      <c r="X560" s="262" t="s">
        <v>269</v>
      </c>
      <c r="Y560" s="263" t="s">
        <v>136</v>
      </c>
      <c r="Z560" s="102">
        <v>28077</v>
      </c>
      <c r="AA560" s="257">
        <f>(Table6[[#This Row],[Paired WTG Generation for loss calculation]]/24)*Table6[[#This Row],[Breakdown Time]]</f>
        <v>389.95833333333508</v>
      </c>
      <c r="AB560" s="102"/>
      <c r="AC560" s="35"/>
      <c r="AD560" s="35"/>
    </row>
    <row r="561" spans="1:30">
      <c r="A561" s="102">
        <f t="shared" si="9"/>
        <v>560</v>
      </c>
      <c r="B561" s="257">
        <f>YEAR(Table6[[#This Row],[Date]])+IF(MONTH(Table6[[#This Row],[Date]])&gt;=4,1,0)</f>
        <v>2026</v>
      </c>
      <c r="C561" s="102">
        <f>YEAR(Table6[[#This Row],[Date]])</f>
        <v>2025</v>
      </c>
      <c r="D561" s="102" t="s">
        <v>265</v>
      </c>
      <c r="E561" s="258">
        <f>Table6[[#This Row],[Date]]-DAY(Table6[[#This Row],[Date]])+1</f>
        <v>45778</v>
      </c>
      <c r="F561" s="259">
        <v>45781</v>
      </c>
      <c r="G561" s="35" t="s">
        <v>136</v>
      </c>
      <c r="H561" s="35" t="str">
        <f>IFERROR(_xlfn.XLOOKUP(Table6[[#This Row],[Affected WTG]],'Basic Data'!$A:$A,'Basic Data'!$B:$B),"")</f>
        <v>TQGXIIPL</v>
      </c>
      <c r="I561" s="35" t="str">
        <f>IFERROR(_xlfn.XLOOKUP(Table6[[#This Row],[Affected WTG]],'Basic Data'!$A:$A,'Basic Data'!$C:$C),"")</f>
        <v>GEDA</v>
      </c>
      <c r="J561" s="260">
        <f>IFERROR(_xlfn.XLOOKUP(Table6[[#This Row],[Affected WTG]],'Basic Data'!$A:$A,'Basic Data'!$E:$E),"")</f>
        <v>3.846153846153845E-2</v>
      </c>
      <c r="K561" s="102">
        <v>6130</v>
      </c>
      <c r="L561" s="35" t="str">
        <f>IFERROR(_xlfn.XLOOKUP(Table6[[#This Row],[Error Code]],'Basic Data'!$AA:$AA,'Basic Data'!$AB:$AB),"Incorrect Error Code")</f>
        <v>Yaw speed high</v>
      </c>
      <c r="M561" s="35" t="s">
        <v>278</v>
      </c>
      <c r="N561" s="264"/>
      <c r="O561" s="265">
        <v>0.63263888888888886</v>
      </c>
      <c r="P561" s="265">
        <v>0.63263888888888886</v>
      </c>
      <c r="Q561" s="266">
        <v>0.63680555555555551</v>
      </c>
      <c r="R561" s="261">
        <f>IF(Table6[[#This Row],[Work Start TimeStamp]]="","",(Table6[[#This Row],[Work Start TimeStamp]]-Table6[[#This Row],[Fault Start TimeStamp]])*24)</f>
        <v>0</v>
      </c>
      <c r="S561" s="261">
        <f>(Table6[[#This Row],[Fault Clearance time]]-Table6[[#This Row],[Work Start TimeStamp]])*24</f>
        <v>9.9999999999999645E-2</v>
      </c>
      <c r="T561" s="261">
        <f>(Table6[[#This Row],[Fault Clearance time]]-Table6[[#This Row],[Fault Start TimeStamp]])*24</f>
        <v>9.9999999999999645E-2</v>
      </c>
      <c r="U561" s="35" t="s">
        <v>277</v>
      </c>
      <c r="V561" s="102" t="s">
        <v>268</v>
      </c>
      <c r="W561" s="267">
        <f>IFERROR(Table6[[#This Row],[Breakdown Time]]*Table6[[#This Row],[Plant Equivalent Weightage]],"")</f>
        <v>3.8461538461538312E-3</v>
      </c>
      <c r="X561" s="262" t="s">
        <v>269</v>
      </c>
      <c r="Y561" s="263" t="s">
        <v>120</v>
      </c>
      <c r="Z561" s="102">
        <v>28832</v>
      </c>
      <c r="AA561" s="257">
        <f>(Table6[[#This Row],[Paired WTG Generation for loss calculation]]/24)*Table6[[#This Row],[Breakdown Time]]</f>
        <v>120.1333333333329</v>
      </c>
      <c r="AB561" s="102"/>
      <c r="AC561" s="35"/>
      <c r="AD561" s="35"/>
    </row>
    <row r="562" spans="1:30">
      <c r="A562" s="102">
        <f t="shared" si="9"/>
        <v>561</v>
      </c>
      <c r="B562" s="257">
        <f>YEAR(Table6[[#This Row],[Date]])+IF(MONTH(Table6[[#This Row],[Date]])&gt;=4,1,0)</f>
        <v>2026</v>
      </c>
      <c r="C562" s="102">
        <f>YEAR(Table6[[#This Row],[Date]])</f>
        <v>2025</v>
      </c>
      <c r="D562" s="102" t="s">
        <v>265</v>
      </c>
      <c r="E562" s="258">
        <f>Table6[[#This Row],[Date]]-DAY(Table6[[#This Row],[Date]])+1</f>
        <v>45778</v>
      </c>
      <c r="F562" s="259">
        <v>45781</v>
      </c>
      <c r="G562" s="35" t="s">
        <v>137</v>
      </c>
      <c r="H562" s="35" t="str">
        <f>IFERROR(_xlfn.XLOOKUP(Table6[[#This Row],[Affected WTG]],'Basic Data'!$A:$A,'Basic Data'!$B:$B),"")</f>
        <v>TQGXIIPL</v>
      </c>
      <c r="I562" s="35" t="str">
        <f>IFERROR(_xlfn.XLOOKUP(Table6[[#This Row],[Affected WTG]],'Basic Data'!$A:$A,'Basic Data'!$C:$C),"")</f>
        <v>GEDA</v>
      </c>
      <c r="J562" s="260">
        <f>IFERROR(_xlfn.XLOOKUP(Table6[[#This Row],[Affected WTG]],'Basic Data'!$A:$A,'Basic Data'!$E:$E),"")</f>
        <v>3.846153846153845E-2</v>
      </c>
      <c r="K562" s="102">
        <v>6130</v>
      </c>
      <c r="L562" s="35" t="str">
        <f>IFERROR(_xlfn.XLOOKUP(Table6[[#This Row],[Error Code]],'Basic Data'!$AA:$AA,'Basic Data'!$AB:$AB),"Incorrect Error Code")</f>
        <v>Yaw speed high</v>
      </c>
      <c r="M562" s="35" t="s">
        <v>278</v>
      </c>
      <c r="N562" s="264"/>
      <c r="O562" s="265">
        <v>0.70625000000000004</v>
      </c>
      <c r="P562" s="265">
        <v>0.70625000000000004</v>
      </c>
      <c r="Q562" s="266">
        <v>0.7104166666666667</v>
      </c>
      <c r="R562" s="261">
        <f>IF(Table6[[#This Row],[Work Start TimeStamp]]="","",(Table6[[#This Row],[Work Start TimeStamp]]-Table6[[#This Row],[Fault Start TimeStamp]])*24)</f>
        <v>0</v>
      </c>
      <c r="S562" s="261">
        <f>(Table6[[#This Row],[Fault Clearance time]]-Table6[[#This Row],[Work Start TimeStamp]])*24</f>
        <v>9.9999999999999645E-2</v>
      </c>
      <c r="T562" s="261">
        <f>(Table6[[#This Row],[Fault Clearance time]]-Table6[[#This Row],[Fault Start TimeStamp]])*24</f>
        <v>9.9999999999999645E-2</v>
      </c>
      <c r="U562" s="35" t="s">
        <v>277</v>
      </c>
      <c r="V562" s="102" t="s">
        <v>268</v>
      </c>
      <c r="W562" s="267">
        <f>IFERROR(Table6[[#This Row],[Breakdown Time]]*Table6[[#This Row],[Plant Equivalent Weightage]],"")</f>
        <v>3.8461538461538312E-3</v>
      </c>
      <c r="X562" s="262" t="s">
        <v>269</v>
      </c>
      <c r="Y562" s="263" t="s">
        <v>125</v>
      </c>
      <c r="Z562" s="102">
        <v>28037</v>
      </c>
      <c r="AA562" s="257">
        <f>(Table6[[#This Row],[Paired WTG Generation for loss calculation]]/24)*Table6[[#This Row],[Breakdown Time]]</f>
        <v>116.82083333333291</v>
      </c>
      <c r="AB562" s="102"/>
      <c r="AC562" s="35"/>
      <c r="AD562" s="35"/>
    </row>
    <row r="563" spans="1:30">
      <c r="A563" s="102">
        <f t="shared" si="9"/>
        <v>562</v>
      </c>
      <c r="B563" s="257">
        <f>YEAR(Table6[[#This Row],[Date]])+IF(MONTH(Table6[[#This Row],[Date]])&gt;=4,1,0)</f>
        <v>2026</v>
      </c>
      <c r="C563" s="102">
        <f>YEAR(Table6[[#This Row],[Date]])</f>
        <v>2025</v>
      </c>
      <c r="D563" s="102" t="s">
        <v>265</v>
      </c>
      <c r="E563" s="258">
        <f>Table6[[#This Row],[Date]]-DAY(Table6[[#This Row],[Date]])+1</f>
        <v>45778</v>
      </c>
      <c r="F563" s="259">
        <v>45781</v>
      </c>
      <c r="G563" s="35" t="s">
        <v>139</v>
      </c>
      <c r="H563" s="35" t="str">
        <f>IFERROR(_xlfn.XLOOKUP(Table6[[#This Row],[Affected WTG]],'Basic Data'!$A:$A,'Basic Data'!$B:$B),"")</f>
        <v>TQGXIIPL</v>
      </c>
      <c r="I563" s="35" t="str">
        <f>IFERROR(_xlfn.XLOOKUP(Table6[[#This Row],[Affected WTG]],'Basic Data'!$A:$A,'Basic Data'!$C:$C),"")</f>
        <v>GEDA</v>
      </c>
      <c r="J563" s="260">
        <f>IFERROR(_xlfn.XLOOKUP(Table6[[#This Row],[Affected WTG]],'Basic Data'!$A:$A,'Basic Data'!$E:$E),"")</f>
        <v>3.846153846153845E-2</v>
      </c>
      <c r="K563" s="102">
        <v>55</v>
      </c>
      <c r="L563" s="35" t="str">
        <f>IFERROR(_xlfn.XLOOKUP(Table6[[#This Row],[Error Code]],'Basic Data'!$AA:$AA,'Basic Data'!$AB:$AB),"Incorrect Error Code")</f>
        <v>WTG shut down</v>
      </c>
      <c r="M563" s="35" t="s">
        <v>271</v>
      </c>
      <c r="N563" s="264"/>
      <c r="O563" s="265">
        <v>0.30833333333333335</v>
      </c>
      <c r="P563" s="265">
        <v>0.30833333333333335</v>
      </c>
      <c r="Q563" s="266">
        <v>0.7368055555555556</v>
      </c>
      <c r="R563" s="261">
        <f>IF(Table6[[#This Row],[Work Start TimeStamp]]="","",(Table6[[#This Row],[Work Start TimeStamp]]-Table6[[#This Row],[Fault Start TimeStamp]])*24)</f>
        <v>0</v>
      </c>
      <c r="S563" s="261">
        <f>(Table6[[#This Row],[Fault Clearance time]]-Table6[[#This Row],[Work Start TimeStamp]])*24</f>
        <v>10.283333333333335</v>
      </c>
      <c r="T563" s="261">
        <f>(Table6[[#This Row],[Fault Clearance time]]-Table6[[#This Row],[Fault Start TimeStamp]])*24</f>
        <v>10.283333333333335</v>
      </c>
      <c r="U563" s="35" t="s">
        <v>393</v>
      </c>
      <c r="V563" s="102" t="s">
        <v>268</v>
      </c>
      <c r="W563" s="267">
        <f>IFERROR(Table6[[#This Row],[Breakdown Time]]*Table6[[#This Row],[Plant Equivalent Weightage]],"")</f>
        <v>0.39551282051282044</v>
      </c>
      <c r="X563" s="262" t="s">
        <v>273</v>
      </c>
      <c r="Y563" s="263" t="s">
        <v>115</v>
      </c>
      <c r="Z563" s="102">
        <v>17974</v>
      </c>
      <c r="AA563" s="257">
        <f>(Table6[[#This Row],[Paired WTG Generation for loss calculation]]/24)*Table6[[#This Row],[Breakdown Time]]</f>
        <v>7701.3597222222234</v>
      </c>
      <c r="AB563" s="102"/>
      <c r="AC563" s="35"/>
      <c r="AD563" s="35"/>
    </row>
    <row r="564" spans="1:30">
      <c r="A564" s="102">
        <f t="shared" si="9"/>
        <v>563</v>
      </c>
      <c r="B564" s="257">
        <f>YEAR(Table6[[#This Row],[Date]])+IF(MONTH(Table6[[#This Row],[Date]])&gt;=4,1,0)</f>
        <v>2026</v>
      </c>
      <c r="C564" s="102">
        <f>YEAR(Table6[[#This Row],[Date]])</f>
        <v>2025</v>
      </c>
      <c r="D564" s="102" t="s">
        <v>265</v>
      </c>
      <c r="E564" s="258">
        <f>Table6[[#This Row],[Date]]-DAY(Table6[[#This Row],[Date]])+1</f>
        <v>45778</v>
      </c>
      <c r="F564" s="259">
        <v>45781</v>
      </c>
      <c r="G564" s="35" t="s">
        <v>115</v>
      </c>
      <c r="H564" s="35" t="str">
        <f>IFERROR(_xlfn.XLOOKUP(Table6[[#This Row],[Affected WTG]],'Basic Data'!$A:$A,'Basic Data'!$B:$B),"")</f>
        <v>TQGXIIPL</v>
      </c>
      <c r="I564" s="35" t="str">
        <f>IFERROR(_xlfn.XLOOKUP(Table6[[#This Row],[Affected WTG]],'Basic Data'!$A:$A,'Basic Data'!$C:$C),"")</f>
        <v>GEDA</v>
      </c>
      <c r="J564" s="260">
        <f>IFERROR(_xlfn.XLOOKUP(Table6[[#This Row],[Affected WTG]],'Basic Data'!$A:$A,'Basic Data'!$E:$E),"")</f>
        <v>3.846153846153845E-2</v>
      </c>
      <c r="K564" s="102">
        <v>55</v>
      </c>
      <c r="L564" s="35" t="str">
        <f>IFERROR(_xlfn.XLOOKUP(Table6[[#This Row],[Error Code]],'Basic Data'!$AA:$AA,'Basic Data'!$AB:$AB),"Incorrect Error Code")</f>
        <v>WTG shut down</v>
      </c>
      <c r="M564" s="35" t="s">
        <v>300</v>
      </c>
      <c r="N564" s="264"/>
      <c r="O564" s="265">
        <v>0.72291666666666665</v>
      </c>
      <c r="P564" s="265">
        <v>0.72291666666666665</v>
      </c>
      <c r="Q564" s="266">
        <v>0.86319444444444449</v>
      </c>
      <c r="R564" s="261">
        <f>IF(Table6[[#This Row],[Work Start TimeStamp]]="","",(Table6[[#This Row],[Work Start TimeStamp]]-Table6[[#This Row],[Fault Start TimeStamp]])*24)</f>
        <v>0</v>
      </c>
      <c r="S564" s="261">
        <f>(Table6[[#This Row],[Fault Clearance time]]-Table6[[#This Row],[Work Start TimeStamp]])*24</f>
        <v>3.366666666666668</v>
      </c>
      <c r="T564" s="261">
        <f>(Table6[[#This Row],[Fault Clearance time]]-Table6[[#This Row],[Fault Start TimeStamp]])*24</f>
        <v>3.366666666666668</v>
      </c>
      <c r="U564" s="35" t="s">
        <v>385</v>
      </c>
      <c r="V564" s="102" t="s">
        <v>268</v>
      </c>
      <c r="W564" s="267">
        <f>IFERROR(Table6[[#This Row],[Breakdown Time]]*Table6[[#This Row],[Plant Equivalent Weightage]],"")</f>
        <v>0.1294871794871795</v>
      </c>
      <c r="X564" s="262" t="s">
        <v>296</v>
      </c>
      <c r="Y564" s="263" t="s">
        <v>140</v>
      </c>
      <c r="Z564" s="102">
        <v>30825</v>
      </c>
      <c r="AA564" s="257">
        <f>(Table6[[#This Row],[Paired WTG Generation for loss calculation]]/24)*Table6[[#This Row],[Breakdown Time]]</f>
        <v>4324.0625000000018</v>
      </c>
      <c r="AB564" s="102"/>
      <c r="AC564" s="35"/>
      <c r="AD564" s="35"/>
    </row>
    <row r="565" spans="1:30">
      <c r="A565" s="102">
        <f t="shared" si="9"/>
        <v>564</v>
      </c>
      <c r="B565" s="257">
        <f>YEAR(Table6[[#This Row],[Date]])+IF(MONTH(Table6[[#This Row],[Date]])&gt;=4,1,0)</f>
        <v>2026</v>
      </c>
      <c r="C565" s="102">
        <f>YEAR(Table6[[#This Row],[Date]])</f>
        <v>2025</v>
      </c>
      <c r="D565" s="102" t="s">
        <v>265</v>
      </c>
      <c r="E565" s="258">
        <f>Table6[[#This Row],[Date]]-DAY(Table6[[#This Row],[Date]])+1</f>
        <v>45778</v>
      </c>
      <c r="F565" s="259">
        <v>45781</v>
      </c>
      <c r="G565" s="35" t="s">
        <v>119</v>
      </c>
      <c r="H565" s="35" t="str">
        <f>IFERROR(_xlfn.XLOOKUP(Table6[[#This Row],[Affected WTG]],'Basic Data'!$A:$A,'Basic Data'!$B:$B),"")</f>
        <v>TQGXIIPL</v>
      </c>
      <c r="I565" s="35" t="str">
        <f>IFERROR(_xlfn.XLOOKUP(Table6[[#This Row],[Affected WTG]],'Basic Data'!$A:$A,'Basic Data'!$C:$C),"")</f>
        <v>GEDA</v>
      </c>
      <c r="J565" s="260">
        <f>IFERROR(_xlfn.XLOOKUP(Table6[[#This Row],[Affected WTG]],'Basic Data'!$A:$A,'Basic Data'!$E:$E),"")</f>
        <v>3.846153846153845E-2</v>
      </c>
      <c r="K565" s="102">
        <v>3110</v>
      </c>
      <c r="L565" s="35" t="str">
        <f>IFERROR(_xlfn.XLOOKUP(Table6[[#This Row],[Error Code]],'Basic Data'!$AA:$AA,'Basic Data'!$AB:$AB),"Incorrect Error Code")</f>
        <v>Frequency converter error</v>
      </c>
      <c r="M565" s="35" t="s">
        <v>278</v>
      </c>
      <c r="N565" s="264"/>
      <c r="O565" s="265">
        <v>0.95486111111111116</v>
      </c>
      <c r="P565" s="265">
        <v>0.95486111111111116</v>
      </c>
      <c r="Q565" s="266">
        <v>0.95694444444444449</v>
      </c>
      <c r="R565" s="261">
        <f>IF(Table6[[#This Row],[Work Start TimeStamp]]="","",(Table6[[#This Row],[Work Start TimeStamp]]-Table6[[#This Row],[Fault Start TimeStamp]])*24)</f>
        <v>0</v>
      </c>
      <c r="S565" s="261">
        <f>(Table6[[#This Row],[Fault Clearance time]]-Table6[[#This Row],[Work Start TimeStamp]])*24</f>
        <v>4.9999999999999822E-2</v>
      </c>
      <c r="T565" s="261">
        <f>(Table6[[#This Row],[Fault Clearance time]]-Table6[[#This Row],[Fault Start TimeStamp]])*24</f>
        <v>4.9999999999999822E-2</v>
      </c>
      <c r="U565" s="35" t="s">
        <v>277</v>
      </c>
      <c r="V565" s="102" t="s">
        <v>268</v>
      </c>
      <c r="W565" s="267">
        <f>IFERROR(Table6[[#This Row],[Breakdown Time]]*Table6[[#This Row],[Plant Equivalent Weightage]],"")</f>
        <v>1.9230769230769156E-3</v>
      </c>
      <c r="X565" s="262" t="s">
        <v>269</v>
      </c>
      <c r="Y565" s="263" t="s">
        <v>116</v>
      </c>
      <c r="Z565" s="102">
        <v>29174</v>
      </c>
      <c r="AA565" s="257">
        <f>(Table6[[#This Row],[Paired WTG Generation for loss calculation]]/24)*Table6[[#This Row],[Breakdown Time]]</f>
        <v>60.779166666666448</v>
      </c>
      <c r="AB565" s="102"/>
      <c r="AC565" s="35"/>
      <c r="AD565" s="35"/>
    </row>
    <row r="566" spans="1:30">
      <c r="A566" s="102">
        <f t="shared" si="9"/>
        <v>565</v>
      </c>
      <c r="B566" s="257">
        <f>YEAR(Table6[[#This Row],[Date]])+IF(MONTH(Table6[[#This Row],[Date]])&gt;=4,1,0)</f>
        <v>2026</v>
      </c>
      <c r="C566" s="102">
        <f>YEAR(Table6[[#This Row],[Date]])</f>
        <v>2025</v>
      </c>
      <c r="D566" s="102" t="s">
        <v>265</v>
      </c>
      <c r="E566" s="258">
        <f>Table6[[#This Row],[Date]]-DAY(Table6[[#This Row],[Date]])+1</f>
        <v>45778</v>
      </c>
      <c r="F566" s="259">
        <v>45782</v>
      </c>
      <c r="G566" s="35" t="s">
        <v>115</v>
      </c>
      <c r="H566" s="35" t="str">
        <f>IFERROR(_xlfn.XLOOKUP(Table6[[#This Row],[Affected WTG]],'Basic Data'!$A:$A,'Basic Data'!$B:$B),"")</f>
        <v>TQGXIIPL</v>
      </c>
      <c r="I566" s="35" t="str">
        <f>IFERROR(_xlfn.XLOOKUP(Table6[[#This Row],[Affected WTG]],'Basic Data'!$A:$A,'Basic Data'!$C:$C),"")</f>
        <v>GEDA</v>
      </c>
      <c r="J566" s="260">
        <f>IFERROR(_xlfn.XLOOKUP(Table6[[#This Row],[Affected WTG]],'Basic Data'!$A:$A,'Basic Data'!$E:$E),"")</f>
        <v>3.846153846153845E-2</v>
      </c>
      <c r="K566" s="102">
        <v>55</v>
      </c>
      <c r="L566" s="35" t="str">
        <f>IFERROR(_xlfn.XLOOKUP(Table6[[#This Row],[Error Code]],'Basic Data'!$AA:$AA,'Basic Data'!$AB:$AB),"Incorrect Error Code")</f>
        <v>WTG shut down</v>
      </c>
      <c r="M566" s="35" t="s">
        <v>300</v>
      </c>
      <c r="N566" s="264"/>
      <c r="O566" s="265">
        <v>0.64027777777777772</v>
      </c>
      <c r="P566" s="265">
        <v>0.64027777777777772</v>
      </c>
      <c r="Q566" s="266">
        <v>0.75</v>
      </c>
      <c r="R566" s="261">
        <f>IF(Table6[[#This Row],[Work Start TimeStamp]]="","",(Table6[[#This Row],[Work Start TimeStamp]]-Table6[[#This Row],[Fault Start TimeStamp]])*24)</f>
        <v>0</v>
      </c>
      <c r="S566" s="261">
        <f>(Table6[[#This Row],[Fault Clearance time]]-Table6[[#This Row],[Work Start TimeStamp]])*24</f>
        <v>2.6333333333333346</v>
      </c>
      <c r="T566" s="261">
        <f>(Table6[[#This Row],[Fault Clearance time]]-Table6[[#This Row],[Fault Start TimeStamp]])*24</f>
        <v>2.6333333333333346</v>
      </c>
      <c r="U566" s="35" t="s">
        <v>385</v>
      </c>
      <c r="V566" s="102" t="s">
        <v>268</v>
      </c>
      <c r="W566" s="267">
        <f>IFERROR(Table6[[#This Row],[Breakdown Time]]*Table6[[#This Row],[Plant Equivalent Weightage]],"")</f>
        <v>0.1012820512820513</v>
      </c>
      <c r="X566" s="262" t="s">
        <v>296</v>
      </c>
      <c r="Y566" s="263" t="s">
        <v>140</v>
      </c>
      <c r="Z566" s="102">
        <v>31214</v>
      </c>
      <c r="AA566" s="257">
        <f>(Table6[[#This Row],[Paired WTG Generation for loss calculation]]/24)*Table6[[#This Row],[Breakdown Time]]</f>
        <v>3424.8694444444459</v>
      </c>
      <c r="AB566" s="102"/>
      <c r="AC566" s="35"/>
      <c r="AD566" s="35"/>
    </row>
    <row r="567" spans="1:30">
      <c r="A567" s="102">
        <f t="shared" si="9"/>
        <v>566</v>
      </c>
      <c r="B567" s="257">
        <f>YEAR(Table6[[#This Row],[Date]])+IF(MONTH(Table6[[#This Row],[Date]])&gt;=4,1,0)</f>
        <v>2026</v>
      </c>
      <c r="C567" s="102">
        <f>YEAR(Table6[[#This Row],[Date]])</f>
        <v>2025</v>
      </c>
      <c r="D567" s="102" t="s">
        <v>265</v>
      </c>
      <c r="E567" s="258">
        <f>Table6[[#This Row],[Date]]-DAY(Table6[[#This Row],[Date]])+1</f>
        <v>45778</v>
      </c>
      <c r="F567" s="259">
        <v>45782</v>
      </c>
      <c r="G567" s="35" t="s">
        <v>115</v>
      </c>
      <c r="H567" s="35" t="str">
        <f>IFERROR(_xlfn.XLOOKUP(Table6[[#This Row],[Affected WTG]],'Basic Data'!$A:$A,'Basic Data'!$B:$B),"")</f>
        <v>TQGXIIPL</v>
      </c>
      <c r="I567" s="35" t="str">
        <f>IFERROR(_xlfn.XLOOKUP(Table6[[#This Row],[Affected WTG]],'Basic Data'!$A:$A,'Basic Data'!$C:$C),"")</f>
        <v>GEDA</v>
      </c>
      <c r="J567" s="260">
        <f>IFERROR(_xlfn.XLOOKUP(Table6[[#This Row],[Affected WTG]],'Basic Data'!$A:$A,'Basic Data'!$E:$E),"")</f>
        <v>3.846153846153845E-2</v>
      </c>
      <c r="K567" s="102">
        <v>55</v>
      </c>
      <c r="L567" s="35" t="str">
        <f>IFERROR(_xlfn.XLOOKUP(Table6[[#This Row],[Error Code]],'Basic Data'!$AA:$AA,'Basic Data'!$AB:$AB),"Incorrect Error Code")</f>
        <v>WTG shut down</v>
      </c>
      <c r="M567" s="35" t="s">
        <v>300</v>
      </c>
      <c r="N567" s="264"/>
      <c r="O567" s="265">
        <v>0.78541666666666665</v>
      </c>
      <c r="P567" s="265">
        <v>0.78541666666666665</v>
      </c>
      <c r="Q567" s="266">
        <v>0.87152777777777779</v>
      </c>
      <c r="R567" s="261">
        <f>IF(Table6[[#This Row],[Work Start TimeStamp]]="","",(Table6[[#This Row],[Work Start TimeStamp]]-Table6[[#This Row],[Fault Start TimeStamp]])*24)</f>
        <v>0</v>
      </c>
      <c r="S567" s="261">
        <f>(Table6[[#This Row],[Fault Clearance time]]-Table6[[#This Row],[Work Start TimeStamp]])*24</f>
        <v>2.0666666666666673</v>
      </c>
      <c r="T567" s="261">
        <f>(Table6[[#This Row],[Fault Clearance time]]-Table6[[#This Row],[Fault Start TimeStamp]])*24</f>
        <v>2.0666666666666673</v>
      </c>
      <c r="U567" s="35" t="s">
        <v>385</v>
      </c>
      <c r="V567" s="102" t="s">
        <v>268</v>
      </c>
      <c r="W567" s="267">
        <f>IFERROR(Table6[[#This Row],[Breakdown Time]]*Table6[[#This Row],[Plant Equivalent Weightage]],"")</f>
        <v>7.9487179487179482E-2</v>
      </c>
      <c r="X567" s="262" t="s">
        <v>296</v>
      </c>
      <c r="Y567" s="263" t="s">
        <v>140</v>
      </c>
      <c r="Z567" s="102">
        <v>31214</v>
      </c>
      <c r="AA567" s="257">
        <f>(Table6[[#This Row],[Paired WTG Generation for loss calculation]]/24)*Table6[[#This Row],[Breakdown Time]]</f>
        <v>2687.8722222222227</v>
      </c>
      <c r="AB567" s="102"/>
      <c r="AC567" s="35"/>
      <c r="AD567" s="35"/>
    </row>
    <row r="568" spans="1:30">
      <c r="A568" s="102">
        <f t="shared" si="9"/>
        <v>567</v>
      </c>
      <c r="B568" s="257">
        <f>YEAR(Table6[[#This Row],[Date]])+IF(MONTH(Table6[[#This Row],[Date]])&gt;=4,1,0)</f>
        <v>2026</v>
      </c>
      <c r="C568" s="102">
        <f>YEAR(Table6[[#This Row],[Date]])</f>
        <v>2025</v>
      </c>
      <c r="D568" s="102" t="s">
        <v>265</v>
      </c>
      <c r="E568" s="258">
        <f>Table6[[#This Row],[Date]]-DAY(Table6[[#This Row],[Date]])+1</f>
        <v>45778</v>
      </c>
      <c r="F568" s="259">
        <v>45782</v>
      </c>
      <c r="G568" s="35" t="s">
        <v>119</v>
      </c>
      <c r="H568" s="35" t="str">
        <f>IFERROR(_xlfn.XLOOKUP(Table6[[#This Row],[Affected WTG]],'Basic Data'!$A:$A,'Basic Data'!$B:$B),"")</f>
        <v>TQGXIIPL</v>
      </c>
      <c r="I568" s="35" t="str">
        <f>IFERROR(_xlfn.XLOOKUP(Table6[[#This Row],[Affected WTG]],'Basic Data'!$A:$A,'Basic Data'!$C:$C),"")</f>
        <v>GEDA</v>
      </c>
      <c r="J568" s="260">
        <f>IFERROR(_xlfn.XLOOKUP(Table6[[#This Row],[Affected WTG]],'Basic Data'!$A:$A,'Basic Data'!$E:$E),"")</f>
        <v>3.846153846153845E-2</v>
      </c>
      <c r="K568" s="102">
        <v>6605</v>
      </c>
      <c r="L568" s="35" t="str">
        <f>IFERROR(_xlfn.XLOOKUP(Table6[[#This Row],[Error Code]],'Basic Data'!$AA:$AA,'Basic Data'!$AB:$AB),"Incorrect Error Code")</f>
        <v>Wind.dir. diff. level 2</v>
      </c>
      <c r="M568" s="35" t="s">
        <v>278</v>
      </c>
      <c r="N568" s="264"/>
      <c r="O568" s="265">
        <v>0.6430555555555556</v>
      </c>
      <c r="P568" s="265">
        <v>0.6430555555555556</v>
      </c>
      <c r="Q568" s="266">
        <v>0.64444444444444449</v>
      </c>
      <c r="R568" s="261">
        <f>IF(Table6[[#This Row],[Work Start TimeStamp]]="","",(Table6[[#This Row],[Work Start TimeStamp]]-Table6[[#This Row],[Fault Start TimeStamp]])*24)</f>
        <v>0</v>
      </c>
      <c r="S568" s="261">
        <f>(Table6[[#This Row],[Fault Clearance time]]-Table6[[#This Row],[Work Start TimeStamp]])*24</f>
        <v>3.3333333333333215E-2</v>
      </c>
      <c r="T568" s="261">
        <f>(Table6[[#This Row],[Fault Clearance time]]-Table6[[#This Row],[Fault Start TimeStamp]])*24</f>
        <v>3.3333333333333215E-2</v>
      </c>
      <c r="U568" s="35" t="s">
        <v>277</v>
      </c>
      <c r="V568" s="102" t="s">
        <v>268</v>
      </c>
      <c r="W568" s="267">
        <f>IFERROR(Table6[[#This Row],[Breakdown Time]]*Table6[[#This Row],[Plant Equivalent Weightage]],"")</f>
        <v>1.2820512820512771E-3</v>
      </c>
      <c r="X568" s="262" t="s">
        <v>269</v>
      </c>
      <c r="Y568" s="263" t="s">
        <v>116</v>
      </c>
      <c r="Z568" s="102">
        <v>31559</v>
      </c>
      <c r="AA568" s="257">
        <f>(Table6[[#This Row],[Paired WTG Generation for loss calculation]]/24)*Table6[[#This Row],[Breakdown Time]]</f>
        <v>43.831944444444289</v>
      </c>
      <c r="AB568" s="102"/>
      <c r="AC568" s="35"/>
      <c r="AD568" s="35"/>
    </row>
    <row r="569" spans="1:30">
      <c r="A569" s="102">
        <f t="shared" si="9"/>
        <v>568</v>
      </c>
      <c r="B569" s="257">
        <f>YEAR(Table6[[#This Row],[Date]])+IF(MONTH(Table6[[#This Row],[Date]])&gt;=4,1,0)</f>
        <v>2026</v>
      </c>
      <c r="C569" s="102">
        <f>YEAR(Table6[[#This Row],[Date]])</f>
        <v>2025</v>
      </c>
      <c r="D569" s="102" t="s">
        <v>265</v>
      </c>
      <c r="E569" s="258">
        <f>Table6[[#This Row],[Date]]-DAY(Table6[[#This Row],[Date]])+1</f>
        <v>45778</v>
      </c>
      <c r="F569" s="259">
        <v>45782</v>
      </c>
      <c r="G569" s="35" t="s">
        <v>122</v>
      </c>
      <c r="H569" s="35" t="str">
        <f>IFERROR(_xlfn.XLOOKUP(Table6[[#This Row],[Affected WTG]],'Basic Data'!$A:$A,'Basic Data'!$B:$B),"")</f>
        <v>TQGXIIPL</v>
      </c>
      <c r="I569" s="35" t="str">
        <f>IFERROR(_xlfn.XLOOKUP(Table6[[#This Row],[Affected WTG]],'Basic Data'!$A:$A,'Basic Data'!$C:$C),"")</f>
        <v>GEDA</v>
      </c>
      <c r="J569" s="260">
        <f>IFERROR(_xlfn.XLOOKUP(Table6[[#This Row],[Affected WTG]],'Basic Data'!$A:$A,'Basic Data'!$E:$E),"")</f>
        <v>3.846153846153845E-2</v>
      </c>
      <c r="K569" s="102">
        <v>6130</v>
      </c>
      <c r="L569" s="35" t="str">
        <f>IFERROR(_xlfn.XLOOKUP(Table6[[#This Row],[Error Code]],'Basic Data'!$AA:$AA,'Basic Data'!$AB:$AB),"Incorrect Error Code")</f>
        <v>Yaw speed high</v>
      </c>
      <c r="M569" s="35" t="s">
        <v>278</v>
      </c>
      <c r="N569" s="264"/>
      <c r="O569" s="265">
        <v>0.62013888888888891</v>
      </c>
      <c r="P569" s="265">
        <v>0.62013888888888891</v>
      </c>
      <c r="Q569" s="266">
        <v>0.62430555555555556</v>
      </c>
      <c r="R569" s="261">
        <f>IF(Table6[[#This Row],[Work Start TimeStamp]]="","",(Table6[[#This Row],[Work Start TimeStamp]]-Table6[[#This Row],[Fault Start TimeStamp]])*24)</f>
        <v>0</v>
      </c>
      <c r="S569" s="261">
        <f>(Table6[[#This Row],[Fault Clearance time]]-Table6[[#This Row],[Work Start TimeStamp]])*24</f>
        <v>9.9999999999999645E-2</v>
      </c>
      <c r="T569" s="261">
        <f>(Table6[[#This Row],[Fault Clearance time]]-Table6[[#This Row],[Fault Start TimeStamp]])*24</f>
        <v>9.9999999999999645E-2</v>
      </c>
      <c r="U569" s="35" t="s">
        <v>277</v>
      </c>
      <c r="V569" s="102" t="s">
        <v>268</v>
      </c>
      <c r="W569" s="267">
        <f>IFERROR(Table6[[#This Row],[Breakdown Time]]*Table6[[#This Row],[Plant Equivalent Weightage]],"")</f>
        <v>3.8461538461538312E-3</v>
      </c>
      <c r="X569" s="262" t="s">
        <v>269</v>
      </c>
      <c r="Y569" s="263" t="s">
        <v>140</v>
      </c>
      <c r="Z569" s="102">
        <v>31214</v>
      </c>
      <c r="AA569" s="257">
        <f>(Table6[[#This Row],[Paired WTG Generation for loss calculation]]/24)*Table6[[#This Row],[Breakdown Time]]</f>
        <v>130.05833333333285</v>
      </c>
      <c r="AB569" s="102"/>
      <c r="AC569" s="35"/>
      <c r="AD569" s="35"/>
    </row>
    <row r="570" spans="1:30">
      <c r="A570" s="102">
        <f t="shared" si="9"/>
        <v>569</v>
      </c>
      <c r="B570" s="257">
        <f>YEAR(Table6[[#This Row],[Date]])+IF(MONTH(Table6[[#This Row],[Date]])&gt;=4,1,0)</f>
        <v>2026</v>
      </c>
      <c r="C570" s="102">
        <f>YEAR(Table6[[#This Row],[Date]])</f>
        <v>2025</v>
      </c>
      <c r="D570" s="102" t="s">
        <v>265</v>
      </c>
      <c r="E570" s="258">
        <f>Table6[[#This Row],[Date]]-DAY(Table6[[#This Row],[Date]])+1</f>
        <v>45778</v>
      </c>
      <c r="F570" s="259">
        <v>45782</v>
      </c>
      <c r="G570" s="35" t="s">
        <v>122</v>
      </c>
      <c r="H570" s="35" t="str">
        <f>IFERROR(_xlfn.XLOOKUP(Table6[[#This Row],[Affected WTG]],'Basic Data'!$A:$A,'Basic Data'!$B:$B),"")</f>
        <v>TQGXIIPL</v>
      </c>
      <c r="I570" s="35" t="str">
        <f>IFERROR(_xlfn.XLOOKUP(Table6[[#This Row],[Affected WTG]],'Basic Data'!$A:$A,'Basic Data'!$C:$C),"")</f>
        <v>GEDA</v>
      </c>
      <c r="J570" s="260">
        <f>IFERROR(_xlfn.XLOOKUP(Table6[[#This Row],[Affected WTG]],'Basic Data'!$A:$A,'Basic Data'!$E:$E),"")</f>
        <v>3.846153846153845E-2</v>
      </c>
      <c r="K570" s="102">
        <v>6130</v>
      </c>
      <c r="L570" s="35" t="str">
        <f>IFERROR(_xlfn.XLOOKUP(Table6[[#This Row],[Error Code]],'Basic Data'!$AA:$AA,'Basic Data'!$AB:$AB),"Incorrect Error Code")</f>
        <v>Yaw speed high</v>
      </c>
      <c r="M570" s="35" t="s">
        <v>278</v>
      </c>
      <c r="N570" s="264"/>
      <c r="O570" s="265">
        <v>0.67986111111111114</v>
      </c>
      <c r="P570" s="265">
        <v>0.67986111111111114</v>
      </c>
      <c r="Q570" s="266">
        <v>0.68194444444444446</v>
      </c>
      <c r="R570" s="261">
        <f>IF(Table6[[#This Row],[Work Start TimeStamp]]="","",(Table6[[#This Row],[Work Start TimeStamp]]-Table6[[#This Row],[Fault Start TimeStamp]])*24)</f>
        <v>0</v>
      </c>
      <c r="S570" s="261">
        <f>(Table6[[#This Row],[Fault Clearance time]]-Table6[[#This Row],[Work Start TimeStamp]])*24</f>
        <v>4.9999999999999822E-2</v>
      </c>
      <c r="T570" s="261">
        <f>(Table6[[#This Row],[Fault Clearance time]]-Table6[[#This Row],[Fault Start TimeStamp]])*24</f>
        <v>4.9999999999999822E-2</v>
      </c>
      <c r="U570" s="35" t="s">
        <v>277</v>
      </c>
      <c r="V570" s="102" t="s">
        <v>268</v>
      </c>
      <c r="W570" s="267">
        <f>IFERROR(Table6[[#This Row],[Breakdown Time]]*Table6[[#This Row],[Plant Equivalent Weightage]],"")</f>
        <v>1.9230769230769156E-3</v>
      </c>
      <c r="X570" s="262" t="s">
        <v>269</v>
      </c>
      <c r="Y570" s="263" t="s">
        <v>140</v>
      </c>
      <c r="Z570" s="102">
        <v>31214</v>
      </c>
      <c r="AA570" s="257">
        <f>(Table6[[#This Row],[Paired WTG Generation for loss calculation]]/24)*Table6[[#This Row],[Breakdown Time]]</f>
        <v>65.029166666666427</v>
      </c>
      <c r="AB570" s="102"/>
      <c r="AC570" s="35"/>
      <c r="AD570" s="35"/>
    </row>
    <row r="571" spans="1:30">
      <c r="A571" s="102">
        <f t="shared" si="9"/>
        <v>570</v>
      </c>
      <c r="B571" s="257">
        <f>YEAR(Table6[[#This Row],[Date]])+IF(MONTH(Table6[[#This Row],[Date]])&gt;=4,1,0)</f>
        <v>2026</v>
      </c>
      <c r="C571" s="102">
        <f>YEAR(Table6[[#This Row],[Date]])</f>
        <v>2025</v>
      </c>
      <c r="D571" s="102" t="s">
        <v>265</v>
      </c>
      <c r="E571" s="258">
        <f>Table6[[#This Row],[Date]]-DAY(Table6[[#This Row],[Date]])+1</f>
        <v>45778</v>
      </c>
      <c r="F571" s="259">
        <v>45782</v>
      </c>
      <c r="G571" s="35" t="s">
        <v>122</v>
      </c>
      <c r="H571" s="35" t="str">
        <f>IFERROR(_xlfn.XLOOKUP(Table6[[#This Row],[Affected WTG]],'Basic Data'!$A:$A,'Basic Data'!$B:$B),"")</f>
        <v>TQGXIIPL</v>
      </c>
      <c r="I571" s="35" t="str">
        <f>IFERROR(_xlfn.XLOOKUP(Table6[[#This Row],[Affected WTG]],'Basic Data'!$A:$A,'Basic Data'!$C:$C),"")</f>
        <v>GEDA</v>
      </c>
      <c r="J571" s="260">
        <f>IFERROR(_xlfn.XLOOKUP(Table6[[#This Row],[Affected WTG]],'Basic Data'!$A:$A,'Basic Data'!$E:$E),"")</f>
        <v>3.846153846153845E-2</v>
      </c>
      <c r="K571" s="102">
        <v>6130</v>
      </c>
      <c r="L571" s="35" t="str">
        <f>IFERROR(_xlfn.XLOOKUP(Table6[[#This Row],[Error Code]],'Basic Data'!$AA:$AA,'Basic Data'!$AB:$AB),"Incorrect Error Code")</f>
        <v>Yaw speed high</v>
      </c>
      <c r="M571" s="35" t="s">
        <v>278</v>
      </c>
      <c r="N571" s="264"/>
      <c r="O571" s="265">
        <v>0.72361111111111109</v>
      </c>
      <c r="P571" s="265">
        <v>0.72361111111111109</v>
      </c>
      <c r="Q571" s="266">
        <v>0.72777777777777775</v>
      </c>
      <c r="R571" s="261">
        <f>IF(Table6[[#This Row],[Work Start TimeStamp]]="","",(Table6[[#This Row],[Work Start TimeStamp]]-Table6[[#This Row],[Fault Start TimeStamp]])*24)</f>
        <v>0</v>
      </c>
      <c r="S571" s="261">
        <f>(Table6[[#This Row],[Fault Clearance time]]-Table6[[#This Row],[Work Start TimeStamp]])*24</f>
        <v>9.9999999999999645E-2</v>
      </c>
      <c r="T571" s="261">
        <f>(Table6[[#This Row],[Fault Clearance time]]-Table6[[#This Row],[Fault Start TimeStamp]])*24</f>
        <v>9.9999999999999645E-2</v>
      </c>
      <c r="U571" s="35" t="s">
        <v>277</v>
      </c>
      <c r="V571" s="102" t="s">
        <v>268</v>
      </c>
      <c r="W571" s="267">
        <f>IFERROR(Table6[[#This Row],[Breakdown Time]]*Table6[[#This Row],[Plant Equivalent Weightage]],"")</f>
        <v>3.8461538461538312E-3</v>
      </c>
      <c r="X571" s="262" t="s">
        <v>269</v>
      </c>
      <c r="Y571" s="263" t="s">
        <v>140</v>
      </c>
      <c r="Z571" s="102">
        <v>31214</v>
      </c>
      <c r="AA571" s="257">
        <f>(Table6[[#This Row],[Paired WTG Generation for loss calculation]]/24)*Table6[[#This Row],[Breakdown Time]]</f>
        <v>130.05833333333285</v>
      </c>
      <c r="AB571" s="102"/>
      <c r="AC571" s="35"/>
      <c r="AD571" s="35"/>
    </row>
    <row r="572" spans="1:30">
      <c r="A572" s="102">
        <f t="shared" si="9"/>
        <v>571</v>
      </c>
      <c r="B572" s="257">
        <f>YEAR(Table6[[#This Row],[Date]])+IF(MONTH(Table6[[#This Row],[Date]])&gt;=4,1,0)</f>
        <v>2026</v>
      </c>
      <c r="C572" s="102">
        <f>YEAR(Table6[[#This Row],[Date]])</f>
        <v>2025</v>
      </c>
      <c r="D572" s="102" t="s">
        <v>265</v>
      </c>
      <c r="E572" s="258">
        <f>Table6[[#This Row],[Date]]-DAY(Table6[[#This Row],[Date]])+1</f>
        <v>45778</v>
      </c>
      <c r="F572" s="259">
        <v>45782</v>
      </c>
      <c r="G572" s="35" t="s">
        <v>125</v>
      </c>
      <c r="H572" s="35" t="str">
        <f>IFERROR(_xlfn.XLOOKUP(Table6[[#This Row],[Affected WTG]],'Basic Data'!$A:$A,'Basic Data'!$B:$B),"")</f>
        <v>TQGXIIPL</v>
      </c>
      <c r="I572" s="35" t="str">
        <f>IFERROR(_xlfn.XLOOKUP(Table6[[#This Row],[Affected WTG]],'Basic Data'!$A:$A,'Basic Data'!$C:$C),"")</f>
        <v>GEDA</v>
      </c>
      <c r="J572" s="260">
        <f>IFERROR(_xlfn.XLOOKUP(Table6[[#This Row],[Affected WTG]],'Basic Data'!$A:$A,'Basic Data'!$E:$E),"")</f>
        <v>3.846153846153845E-2</v>
      </c>
      <c r="K572" s="102">
        <v>55</v>
      </c>
      <c r="L572" s="35" t="str">
        <f>IFERROR(_xlfn.XLOOKUP(Table6[[#This Row],[Error Code]],'Basic Data'!$AA:$AA,'Basic Data'!$AB:$AB),"Incorrect Error Code")</f>
        <v>WTG shut down</v>
      </c>
      <c r="M572" s="35" t="s">
        <v>300</v>
      </c>
      <c r="N572" s="264"/>
      <c r="O572" s="265">
        <v>0.64444444444444449</v>
      </c>
      <c r="P572" s="265">
        <v>0.64444444444444449</v>
      </c>
      <c r="Q572" s="266">
        <v>0.74791666666666667</v>
      </c>
      <c r="R572" s="261">
        <f>IF(Table6[[#This Row],[Work Start TimeStamp]]="","",(Table6[[#This Row],[Work Start TimeStamp]]-Table6[[#This Row],[Fault Start TimeStamp]])*24)</f>
        <v>0</v>
      </c>
      <c r="S572" s="261">
        <f>(Table6[[#This Row],[Fault Clearance time]]-Table6[[#This Row],[Work Start TimeStamp]])*24</f>
        <v>2.4833333333333325</v>
      </c>
      <c r="T572" s="261">
        <f>(Table6[[#This Row],[Fault Clearance time]]-Table6[[#This Row],[Fault Start TimeStamp]])*24</f>
        <v>2.4833333333333325</v>
      </c>
      <c r="U572" s="35" t="s">
        <v>385</v>
      </c>
      <c r="V572" s="102" t="s">
        <v>268</v>
      </c>
      <c r="W572" s="267">
        <f>IFERROR(Table6[[#This Row],[Breakdown Time]]*Table6[[#This Row],[Plant Equivalent Weightage]],"")</f>
        <v>9.5512820512820451E-2</v>
      </c>
      <c r="X572" s="262" t="s">
        <v>296</v>
      </c>
      <c r="Y572" s="263" t="s">
        <v>126</v>
      </c>
      <c r="Z572" s="102">
        <v>31332</v>
      </c>
      <c r="AA572" s="257">
        <f>(Table6[[#This Row],[Paired WTG Generation for loss calculation]]/24)*Table6[[#This Row],[Breakdown Time]]</f>
        <v>3241.9916666666654</v>
      </c>
      <c r="AB572" s="102"/>
      <c r="AC572" s="35"/>
      <c r="AD572" s="35"/>
    </row>
    <row r="573" spans="1:30">
      <c r="A573" s="102">
        <f t="shared" si="9"/>
        <v>572</v>
      </c>
      <c r="B573" s="257">
        <f>YEAR(Table6[[#This Row],[Date]])+IF(MONTH(Table6[[#This Row],[Date]])&gt;=4,1,0)</f>
        <v>2026</v>
      </c>
      <c r="C573" s="102">
        <f>YEAR(Table6[[#This Row],[Date]])</f>
        <v>2025</v>
      </c>
      <c r="D573" s="102" t="s">
        <v>265</v>
      </c>
      <c r="E573" s="258">
        <f>Table6[[#This Row],[Date]]-DAY(Table6[[#This Row],[Date]])+1</f>
        <v>45778</v>
      </c>
      <c r="F573" s="259">
        <v>45782</v>
      </c>
      <c r="G573" s="35" t="s">
        <v>125</v>
      </c>
      <c r="H573" s="35" t="str">
        <f>IFERROR(_xlfn.XLOOKUP(Table6[[#This Row],[Affected WTG]],'Basic Data'!$A:$A,'Basic Data'!$B:$B),"")</f>
        <v>TQGXIIPL</v>
      </c>
      <c r="I573" s="35" t="str">
        <f>IFERROR(_xlfn.XLOOKUP(Table6[[#This Row],[Affected WTG]],'Basic Data'!$A:$A,'Basic Data'!$C:$C),"")</f>
        <v>GEDA</v>
      </c>
      <c r="J573" s="260">
        <f>IFERROR(_xlfn.XLOOKUP(Table6[[#This Row],[Affected WTG]],'Basic Data'!$A:$A,'Basic Data'!$E:$E),"")</f>
        <v>3.846153846153845E-2</v>
      </c>
      <c r="K573" s="102">
        <v>55</v>
      </c>
      <c r="L573" s="35" t="str">
        <f>IFERROR(_xlfn.XLOOKUP(Table6[[#This Row],[Error Code]],'Basic Data'!$AA:$AA,'Basic Data'!$AB:$AB),"Incorrect Error Code")</f>
        <v>WTG shut down</v>
      </c>
      <c r="M573" s="35" t="s">
        <v>300</v>
      </c>
      <c r="N573" s="264"/>
      <c r="O573" s="265">
        <v>0.79652777777777772</v>
      </c>
      <c r="P573" s="265">
        <v>0.79652777777777772</v>
      </c>
      <c r="Q573" s="266">
        <v>0.86388888888888893</v>
      </c>
      <c r="R573" s="261">
        <f>IF(Table6[[#This Row],[Work Start TimeStamp]]="","",(Table6[[#This Row],[Work Start TimeStamp]]-Table6[[#This Row],[Fault Start TimeStamp]])*24)</f>
        <v>0</v>
      </c>
      <c r="S573" s="261">
        <f>(Table6[[#This Row],[Fault Clearance time]]-Table6[[#This Row],[Work Start TimeStamp]])*24</f>
        <v>1.6166666666666689</v>
      </c>
      <c r="T573" s="261">
        <f>(Table6[[#This Row],[Fault Clearance time]]-Table6[[#This Row],[Fault Start TimeStamp]])*24</f>
        <v>1.6166666666666689</v>
      </c>
      <c r="U573" s="35" t="s">
        <v>385</v>
      </c>
      <c r="V573" s="102" t="s">
        <v>268</v>
      </c>
      <c r="W573" s="267">
        <f>IFERROR(Table6[[#This Row],[Breakdown Time]]*Table6[[#This Row],[Plant Equivalent Weightage]],"")</f>
        <v>6.217948717948725E-2</v>
      </c>
      <c r="X573" s="262" t="s">
        <v>296</v>
      </c>
      <c r="Y573" s="263" t="s">
        <v>126</v>
      </c>
      <c r="Z573" s="102">
        <v>31332</v>
      </c>
      <c r="AA573" s="257">
        <f>(Table6[[#This Row],[Paired WTG Generation for loss calculation]]/24)*Table6[[#This Row],[Breakdown Time]]</f>
        <v>2110.5583333333361</v>
      </c>
      <c r="AB573" s="102"/>
      <c r="AC573" s="35"/>
      <c r="AD573" s="35"/>
    </row>
    <row r="574" spans="1:30">
      <c r="A574" s="102">
        <f t="shared" si="9"/>
        <v>573</v>
      </c>
      <c r="B574" s="257">
        <f>YEAR(Table6[[#This Row],[Date]])+IF(MONTH(Table6[[#This Row],[Date]])&gt;=4,1,0)</f>
        <v>2026</v>
      </c>
      <c r="C574" s="102">
        <f>YEAR(Table6[[#This Row],[Date]])</f>
        <v>2025</v>
      </c>
      <c r="D574" s="102" t="s">
        <v>265</v>
      </c>
      <c r="E574" s="258">
        <f>Table6[[#This Row],[Date]]-DAY(Table6[[#This Row],[Date]])+1</f>
        <v>45778</v>
      </c>
      <c r="F574" s="259">
        <v>45782</v>
      </c>
      <c r="G574" s="35" t="s">
        <v>126</v>
      </c>
      <c r="H574" s="35" t="str">
        <f>IFERROR(_xlfn.XLOOKUP(Table6[[#This Row],[Affected WTG]],'Basic Data'!$A:$A,'Basic Data'!$B:$B),"")</f>
        <v>TQGXIIPL</v>
      </c>
      <c r="I574" s="35" t="str">
        <f>IFERROR(_xlfn.XLOOKUP(Table6[[#This Row],[Affected WTG]],'Basic Data'!$A:$A,'Basic Data'!$C:$C),"")</f>
        <v>GEDA</v>
      </c>
      <c r="J574" s="260">
        <f>IFERROR(_xlfn.XLOOKUP(Table6[[#This Row],[Affected WTG]],'Basic Data'!$A:$A,'Basic Data'!$E:$E),"")</f>
        <v>3.846153846153845E-2</v>
      </c>
      <c r="K574" s="102">
        <v>6130</v>
      </c>
      <c r="L574" s="35" t="str">
        <f>IFERROR(_xlfn.XLOOKUP(Table6[[#This Row],[Error Code]],'Basic Data'!$AA:$AA,'Basic Data'!$AB:$AB),"Incorrect Error Code")</f>
        <v>Yaw speed high</v>
      </c>
      <c r="M574" s="35" t="s">
        <v>278</v>
      </c>
      <c r="N574" s="264"/>
      <c r="O574" s="265">
        <v>0.63124999999999998</v>
      </c>
      <c r="P574" s="265">
        <v>0.63124999999999998</v>
      </c>
      <c r="Q574" s="266">
        <v>0.63541666666666663</v>
      </c>
      <c r="R574" s="261">
        <f>IF(Table6[[#This Row],[Work Start TimeStamp]]="","",(Table6[[#This Row],[Work Start TimeStamp]]-Table6[[#This Row],[Fault Start TimeStamp]])*24)</f>
        <v>0</v>
      </c>
      <c r="S574" s="261">
        <f>(Table6[[#This Row],[Fault Clearance time]]-Table6[[#This Row],[Work Start TimeStamp]])*24</f>
        <v>9.9999999999999645E-2</v>
      </c>
      <c r="T574" s="261">
        <f>(Table6[[#This Row],[Fault Clearance time]]-Table6[[#This Row],[Fault Start TimeStamp]])*24</f>
        <v>9.9999999999999645E-2</v>
      </c>
      <c r="U574" s="35" t="s">
        <v>277</v>
      </c>
      <c r="V574" s="102" t="s">
        <v>268</v>
      </c>
      <c r="W574" s="267">
        <f>IFERROR(Table6[[#This Row],[Breakdown Time]]*Table6[[#This Row],[Plant Equivalent Weightage]],"")</f>
        <v>3.8461538461538312E-3</v>
      </c>
      <c r="X574" s="262" t="s">
        <v>269</v>
      </c>
      <c r="Y574" s="263" t="s">
        <v>128</v>
      </c>
      <c r="Z574" s="102">
        <v>29701</v>
      </c>
      <c r="AA574" s="257">
        <f>(Table6[[#This Row],[Paired WTG Generation for loss calculation]]/24)*Table6[[#This Row],[Breakdown Time]]</f>
        <v>123.75416666666624</v>
      </c>
      <c r="AB574" s="102"/>
      <c r="AC574" s="35"/>
      <c r="AD574" s="35"/>
    </row>
    <row r="575" spans="1:30">
      <c r="A575" s="102">
        <f t="shared" si="9"/>
        <v>574</v>
      </c>
      <c r="B575" s="257">
        <f>YEAR(Table6[[#This Row],[Date]])+IF(MONTH(Table6[[#This Row],[Date]])&gt;=4,1,0)</f>
        <v>2026</v>
      </c>
      <c r="C575" s="102">
        <f>YEAR(Table6[[#This Row],[Date]])</f>
        <v>2025</v>
      </c>
      <c r="D575" s="102" t="s">
        <v>265</v>
      </c>
      <c r="E575" s="258">
        <f>Table6[[#This Row],[Date]]-DAY(Table6[[#This Row],[Date]])+1</f>
        <v>45778</v>
      </c>
      <c r="F575" s="259">
        <v>45782</v>
      </c>
      <c r="G575" s="35" t="s">
        <v>131</v>
      </c>
      <c r="H575" s="35" t="str">
        <f>IFERROR(_xlfn.XLOOKUP(Table6[[#This Row],[Affected WTG]],'Basic Data'!$A:$A,'Basic Data'!$B:$B),"")</f>
        <v>TQGXIIPL</v>
      </c>
      <c r="I575" s="35" t="str">
        <f>IFERROR(_xlfn.XLOOKUP(Table6[[#This Row],[Affected WTG]],'Basic Data'!$A:$A,'Basic Data'!$C:$C),"")</f>
        <v>GEDA</v>
      </c>
      <c r="J575" s="260">
        <f>IFERROR(_xlfn.XLOOKUP(Table6[[#This Row],[Affected WTG]],'Basic Data'!$A:$A,'Basic Data'!$E:$E),"")</f>
        <v>3.846153846153845E-2</v>
      </c>
      <c r="K575" s="102">
        <v>665</v>
      </c>
      <c r="L575" s="35" t="str">
        <f>IFERROR(_xlfn.XLOOKUP(Table6[[#This Row],[Error Code]],'Basic Data'!$AA:$AA,'Basic Data'!$AB:$AB),"Incorrect Error Code")</f>
        <v>Pitch error</v>
      </c>
      <c r="M575" s="35" t="s">
        <v>278</v>
      </c>
      <c r="N575" s="264"/>
      <c r="O575" s="265">
        <v>0.64375000000000004</v>
      </c>
      <c r="P575" s="265">
        <v>0.64375000000000004</v>
      </c>
      <c r="Q575" s="266">
        <v>0.64722222222222225</v>
      </c>
      <c r="R575" s="261">
        <f>IF(Table6[[#This Row],[Work Start TimeStamp]]="","",(Table6[[#This Row],[Work Start TimeStamp]]-Table6[[#This Row],[Fault Start TimeStamp]])*24)</f>
        <v>0</v>
      </c>
      <c r="S575" s="261">
        <f>(Table6[[#This Row],[Fault Clearance time]]-Table6[[#This Row],[Work Start TimeStamp]])*24</f>
        <v>8.3333333333333037E-2</v>
      </c>
      <c r="T575" s="261">
        <f>(Table6[[#This Row],[Fault Clearance time]]-Table6[[#This Row],[Fault Start TimeStamp]])*24</f>
        <v>8.3333333333333037E-2</v>
      </c>
      <c r="U575" s="35" t="s">
        <v>277</v>
      </c>
      <c r="V575" s="102" t="s">
        <v>268</v>
      </c>
      <c r="W575" s="267">
        <f>IFERROR(Table6[[#This Row],[Breakdown Time]]*Table6[[#This Row],[Plant Equivalent Weightage]],"")</f>
        <v>3.2051282051281929E-3</v>
      </c>
      <c r="X575" s="262" t="s">
        <v>269</v>
      </c>
      <c r="Y575" s="263" t="s">
        <v>136</v>
      </c>
      <c r="Z575" s="102">
        <v>25892</v>
      </c>
      <c r="AA575" s="257">
        <f>(Table6[[#This Row],[Paired WTG Generation for loss calculation]]/24)*Table6[[#This Row],[Breakdown Time]]</f>
        <v>89.902777777777459</v>
      </c>
      <c r="AB575" s="102"/>
      <c r="AC575" s="35"/>
      <c r="AD575" s="35"/>
    </row>
    <row r="576" spans="1:30">
      <c r="A576" s="102">
        <f t="shared" si="9"/>
        <v>575</v>
      </c>
      <c r="B576" s="257">
        <f>YEAR(Table6[[#This Row],[Date]])+IF(MONTH(Table6[[#This Row],[Date]])&gt;=4,1,0)</f>
        <v>2026</v>
      </c>
      <c r="C576" s="102">
        <f>YEAR(Table6[[#This Row],[Date]])</f>
        <v>2025</v>
      </c>
      <c r="D576" s="102" t="s">
        <v>265</v>
      </c>
      <c r="E576" s="258">
        <f>Table6[[#This Row],[Date]]-DAY(Table6[[#This Row],[Date]])+1</f>
        <v>45778</v>
      </c>
      <c r="F576" s="259">
        <v>45782</v>
      </c>
      <c r="G576" s="35" t="s">
        <v>131</v>
      </c>
      <c r="H576" s="35" t="str">
        <f>IFERROR(_xlfn.XLOOKUP(Table6[[#This Row],[Affected WTG]],'Basic Data'!$A:$A,'Basic Data'!$B:$B),"")</f>
        <v>TQGXIIPL</v>
      </c>
      <c r="I576" s="35" t="str">
        <f>IFERROR(_xlfn.XLOOKUP(Table6[[#This Row],[Affected WTG]],'Basic Data'!$A:$A,'Basic Data'!$C:$C),"")</f>
        <v>GEDA</v>
      </c>
      <c r="J576" s="260">
        <f>IFERROR(_xlfn.XLOOKUP(Table6[[#This Row],[Affected WTG]],'Basic Data'!$A:$A,'Basic Data'!$E:$E),"")</f>
        <v>3.846153846153845E-2</v>
      </c>
      <c r="K576" s="102">
        <v>3211</v>
      </c>
      <c r="L576" s="35" t="str">
        <f>IFERROR(_xlfn.XLOOKUP(Table6[[#This Row],[Error Code]],'Basic Data'!$AA:$AA,'Basic Data'!$AB:$AB),"Incorrect Error Code")</f>
        <v>Conv. load shedding (CAN)</v>
      </c>
      <c r="M576" s="35" t="s">
        <v>266</v>
      </c>
      <c r="N576" s="264"/>
      <c r="O576" s="265">
        <v>0.77430555555555558</v>
      </c>
      <c r="P576" s="265">
        <v>0.77430555555555558</v>
      </c>
      <c r="Q576" s="266">
        <v>0.78611111111111109</v>
      </c>
      <c r="R576" s="261">
        <f>IF(Table6[[#This Row],[Work Start TimeStamp]]="","",(Table6[[#This Row],[Work Start TimeStamp]]-Table6[[#This Row],[Fault Start TimeStamp]])*24)</f>
        <v>0</v>
      </c>
      <c r="S576" s="261">
        <f>(Table6[[#This Row],[Fault Clearance time]]-Table6[[#This Row],[Work Start TimeStamp]])*24</f>
        <v>0.28333333333333233</v>
      </c>
      <c r="T576" s="261">
        <f>(Table6[[#This Row],[Fault Clearance time]]-Table6[[#This Row],[Fault Start TimeStamp]])*24</f>
        <v>0.28333333333333233</v>
      </c>
      <c r="U576" s="35" t="s">
        <v>267</v>
      </c>
      <c r="V576" s="102" t="s">
        <v>268</v>
      </c>
      <c r="W576" s="267">
        <f>IFERROR(Table6[[#This Row],[Breakdown Time]]*Table6[[#This Row],[Plant Equivalent Weightage]],"")</f>
        <v>1.0897435897435855E-2</v>
      </c>
      <c r="X576" s="262" t="s">
        <v>269</v>
      </c>
      <c r="Y576" s="263" t="s">
        <v>136</v>
      </c>
      <c r="Z576" s="102">
        <v>25892</v>
      </c>
      <c r="AA576" s="257">
        <f>(Table6[[#This Row],[Paired WTG Generation for loss calculation]]/24)*Table6[[#This Row],[Breakdown Time]]</f>
        <v>305.66944444444334</v>
      </c>
      <c r="AB576" s="102"/>
      <c r="AC576" s="35"/>
      <c r="AD576" s="35"/>
    </row>
    <row r="577" spans="1:30">
      <c r="A577" s="102">
        <f t="shared" si="9"/>
        <v>576</v>
      </c>
      <c r="B577" s="257">
        <f>YEAR(Table6[[#This Row],[Date]])+IF(MONTH(Table6[[#This Row],[Date]])&gt;=4,1,0)</f>
        <v>2026</v>
      </c>
      <c r="C577" s="102">
        <f>YEAR(Table6[[#This Row],[Date]])</f>
        <v>2025</v>
      </c>
      <c r="D577" s="102" t="s">
        <v>265</v>
      </c>
      <c r="E577" s="258">
        <f>Table6[[#This Row],[Date]]-DAY(Table6[[#This Row],[Date]])+1</f>
        <v>45778</v>
      </c>
      <c r="F577" s="259">
        <v>45782</v>
      </c>
      <c r="G577" s="35" t="s">
        <v>134</v>
      </c>
      <c r="H577" s="35" t="str">
        <f>IFERROR(_xlfn.XLOOKUP(Table6[[#This Row],[Affected WTG]],'Basic Data'!$A:$A,'Basic Data'!$B:$B),"")</f>
        <v>TQGXIIPL</v>
      </c>
      <c r="I577" s="35" t="str">
        <f>IFERROR(_xlfn.XLOOKUP(Table6[[#This Row],[Affected WTG]],'Basic Data'!$A:$A,'Basic Data'!$C:$C),"")</f>
        <v>GEDA</v>
      </c>
      <c r="J577" s="260">
        <f>IFERROR(_xlfn.XLOOKUP(Table6[[#This Row],[Affected WTG]],'Basic Data'!$A:$A,'Basic Data'!$E:$E),"")</f>
        <v>3.846153846153845E-2</v>
      </c>
      <c r="K577" s="102">
        <v>6130</v>
      </c>
      <c r="L577" s="35" t="str">
        <f>IFERROR(_xlfn.XLOOKUP(Table6[[#This Row],[Error Code]],'Basic Data'!$AA:$AA,'Basic Data'!$AB:$AB),"Incorrect Error Code")</f>
        <v>Yaw speed high</v>
      </c>
      <c r="M577" s="35" t="s">
        <v>278</v>
      </c>
      <c r="N577" s="264"/>
      <c r="O577" s="265">
        <v>0.69652777777777775</v>
      </c>
      <c r="P577" s="265">
        <v>0.69652777777777775</v>
      </c>
      <c r="Q577" s="266">
        <v>0.7006944444444444</v>
      </c>
      <c r="R577" s="261">
        <f>IF(Table6[[#This Row],[Work Start TimeStamp]]="","",(Table6[[#This Row],[Work Start TimeStamp]]-Table6[[#This Row],[Fault Start TimeStamp]])*24)</f>
        <v>0</v>
      </c>
      <c r="S577" s="261">
        <f>(Table6[[#This Row],[Fault Clearance time]]-Table6[[#This Row],[Work Start TimeStamp]])*24</f>
        <v>9.9999999999999645E-2</v>
      </c>
      <c r="T577" s="261">
        <f>(Table6[[#This Row],[Fault Clearance time]]-Table6[[#This Row],[Fault Start TimeStamp]])*24</f>
        <v>9.9999999999999645E-2</v>
      </c>
      <c r="U577" s="35" t="s">
        <v>277</v>
      </c>
      <c r="V577" s="102" t="s">
        <v>268</v>
      </c>
      <c r="W577" s="267">
        <f>IFERROR(Table6[[#This Row],[Breakdown Time]]*Table6[[#This Row],[Plant Equivalent Weightage]],"")</f>
        <v>3.8461538461538312E-3</v>
      </c>
      <c r="X577" s="262" t="s">
        <v>269</v>
      </c>
      <c r="Y577" s="263" t="s">
        <v>138</v>
      </c>
      <c r="Z577" s="102">
        <v>30515</v>
      </c>
      <c r="AA577" s="257">
        <f>(Table6[[#This Row],[Paired WTG Generation for loss calculation]]/24)*Table6[[#This Row],[Breakdown Time]]</f>
        <v>127.14583333333287</v>
      </c>
      <c r="AB577" s="102"/>
      <c r="AC577" s="35"/>
      <c r="AD577" s="35"/>
    </row>
    <row r="578" spans="1:30">
      <c r="A578" s="102">
        <f t="shared" si="9"/>
        <v>577</v>
      </c>
      <c r="B578" s="257">
        <f>YEAR(Table6[[#This Row],[Date]])+IF(MONTH(Table6[[#This Row],[Date]])&gt;=4,1,0)</f>
        <v>2026</v>
      </c>
      <c r="C578" s="102">
        <f>YEAR(Table6[[#This Row],[Date]])</f>
        <v>2025</v>
      </c>
      <c r="D578" s="102" t="s">
        <v>265</v>
      </c>
      <c r="E578" s="258">
        <f>Table6[[#This Row],[Date]]-DAY(Table6[[#This Row],[Date]])+1</f>
        <v>45778</v>
      </c>
      <c r="F578" s="259">
        <v>45782</v>
      </c>
      <c r="G578" s="35" t="s">
        <v>136</v>
      </c>
      <c r="H578" s="35" t="str">
        <f>IFERROR(_xlfn.XLOOKUP(Table6[[#This Row],[Affected WTG]],'Basic Data'!$A:$A,'Basic Data'!$B:$B),"")</f>
        <v>TQGXIIPL</v>
      </c>
      <c r="I578" s="35" t="str">
        <f>IFERROR(_xlfn.XLOOKUP(Table6[[#This Row],[Affected WTG]],'Basic Data'!$A:$A,'Basic Data'!$C:$C),"")</f>
        <v>GEDA</v>
      </c>
      <c r="J578" s="260">
        <f>IFERROR(_xlfn.XLOOKUP(Table6[[#This Row],[Affected WTG]],'Basic Data'!$A:$A,'Basic Data'!$E:$E),"")</f>
        <v>3.846153846153845E-2</v>
      </c>
      <c r="K578" s="102">
        <v>175</v>
      </c>
      <c r="L578" s="35" t="str">
        <f>IFERROR(_xlfn.XLOOKUP(Table6[[#This Row],[Error Code]],'Basic Data'!$AA:$AA,'Basic Data'!$AB:$AB),"Incorrect Error Code")</f>
        <v>SLC error</v>
      </c>
      <c r="M578" s="35" t="s">
        <v>266</v>
      </c>
      <c r="N578" s="264"/>
      <c r="O578" s="265">
        <v>0.54583333333333328</v>
      </c>
      <c r="P578" s="265">
        <v>0.54583333333333328</v>
      </c>
      <c r="Q578" s="266">
        <v>0.5541666666666667</v>
      </c>
      <c r="R578" s="261">
        <f>IF(Table6[[#This Row],[Work Start TimeStamp]]="","",(Table6[[#This Row],[Work Start TimeStamp]]-Table6[[#This Row],[Fault Start TimeStamp]])*24)</f>
        <v>0</v>
      </c>
      <c r="S578" s="261">
        <f>(Table6[[#This Row],[Fault Clearance time]]-Table6[[#This Row],[Work Start TimeStamp]])*24</f>
        <v>0.20000000000000195</v>
      </c>
      <c r="T578" s="261">
        <f>(Table6[[#This Row],[Fault Clearance time]]-Table6[[#This Row],[Fault Start TimeStamp]])*24</f>
        <v>0.20000000000000195</v>
      </c>
      <c r="U578" s="35" t="s">
        <v>267</v>
      </c>
      <c r="V578" s="102" t="s">
        <v>268</v>
      </c>
      <c r="W578" s="267">
        <f>IFERROR(Table6[[#This Row],[Breakdown Time]]*Table6[[#This Row],[Plant Equivalent Weightage]],"")</f>
        <v>7.6923076923077647E-3</v>
      </c>
      <c r="X578" s="262" t="s">
        <v>269</v>
      </c>
      <c r="Y578" s="263" t="s">
        <v>120</v>
      </c>
      <c r="Z578" s="102">
        <v>30904</v>
      </c>
      <c r="AA578" s="257">
        <f>(Table6[[#This Row],[Paired WTG Generation for loss calculation]]/24)*Table6[[#This Row],[Breakdown Time]]</f>
        <v>257.53333333333586</v>
      </c>
      <c r="AB578" s="102"/>
      <c r="AC578" s="35"/>
      <c r="AD578" s="35"/>
    </row>
    <row r="579" spans="1:30">
      <c r="A579" s="102">
        <f t="shared" si="9"/>
        <v>578</v>
      </c>
      <c r="B579" s="257">
        <f>YEAR(Table6[[#This Row],[Date]])+IF(MONTH(Table6[[#This Row],[Date]])&gt;=4,1,0)</f>
        <v>2026</v>
      </c>
      <c r="C579" s="102">
        <f>YEAR(Table6[[#This Row],[Date]])</f>
        <v>2025</v>
      </c>
      <c r="D579" s="102" t="s">
        <v>265</v>
      </c>
      <c r="E579" s="258">
        <f>Table6[[#This Row],[Date]]-DAY(Table6[[#This Row],[Date]])+1</f>
        <v>45778</v>
      </c>
      <c r="F579" s="259">
        <v>45782</v>
      </c>
      <c r="G579" s="35" t="s">
        <v>140</v>
      </c>
      <c r="H579" s="35" t="str">
        <f>IFERROR(_xlfn.XLOOKUP(Table6[[#This Row],[Affected WTG]],'Basic Data'!$A:$A,'Basic Data'!$B:$B),"")</f>
        <v>TQGXIIPL</v>
      </c>
      <c r="I579" s="35" t="str">
        <f>IFERROR(_xlfn.XLOOKUP(Table6[[#This Row],[Affected WTG]],'Basic Data'!$A:$A,'Basic Data'!$C:$C),"")</f>
        <v>GEDA</v>
      </c>
      <c r="J579" s="260">
        <f>IFERROR(_xlfn.XLOOKUP(Table6[[#This Row],[Affected WTG]],'Basic Data'!$A:$A,'Basic Data'!$E:$E),"")</f>
        <v>3.846153846153845E-2</v>
      </c>
      <c r="K579" s="102">
        <v>6130</v>
      </c>
      <c r="L579" s="35" t="str">
        <f>IFERROR(_xlfn.XLOOKUP(Table6[[#This Row],[Error Code]],'Basic Data'!$AA:$AA,'Basic Data'!$AB:$AB),"Incorrect Error Code")</f>
        <v>Yaw speed high</v>
      </c>
      <c r="M579" s="35" t="s">
        <v>278</v>
      </c>
      <c r="N579" s="264"/>
      <c r="O579" s="265">
        <v>0.59791666666666665</v>
      </c>
      <c r="P579" s="265">
        <v>0.59791666666666665</v>
      </c>
      <c r="Q579" s="266">
        <v>0.60138888888888886</v>
      </c>
      <c r="R579" s="261">
        <f>IF(Table6[[#This Row],[Work Start TimeStamp]]="","",(Table6[[#This Row],[Work Start TimeStamp]]-Table6[[#This Row],[Fault Start TimeStamp]])*24)</f>
        <v>0</v>
      </c>
      <c r="S579" s="261">
        <f>(Table6[[#This Row],[Fault Clearance time]]-Table6[[#This Row],[Work Start TimeStamp]])*24</f>
        <v>8.3333333333333037E-2</v>
      </c>
      <c r="T579" s="261">
        <f>(Table6[[#This Row],[Fault Clearance time]]-Table6[[#This Row],[Fault Start TimeStamp]])*24</f>
        <v>8.3333333333333037E-2</v>
      </c>
      <c r="U579" s="35" t="s">
        <v>277</v>
      </c>
      <c r="V579" s="102" t="s">
        <v>268</v>
      </c>
      <c r="W579" s="267">
        <f>IFERROR(Table6[[#This Row],[Breakdown Time]]*Table6[[#This Row],[Plant Equivalent Weightage]],"")</f>
        <v>3.2051282051281929E-3</v>
      </c>
      <c r="X579" s="262" t="s">
        <v>269</v>
      </c>
      <c r="Y579" s="263" t="s">
        <v>115</v>
      </c>
      <c r="Z579" s="102">
        <v>18835</v>
      </c>
      <c r="AA579" s="257">
        <f>(Table6[[#This Row],[Paired WTG Generation for loss calculation]]/24)*Table6[[#This Row],[Breakdown Time]]</f>
        <v>65.399305555555316</v>
      </c>
      <c r="AB579" s="102"/>
      <c r="AC579" s="35"/>
      <c r="AD579" s="35"/>
    </row>
    <row r="580" spans="1:30">
      <c r="A580" s="102">
        <f t="shared" si="9"/>
        <v>579</v>
      </c>
      <c r="B580" s="257">
        <f>YEAR(Table6[[#This Row],[Date]])+IF(MONTH(Table6[[#This Row],[Date]])&gt;=4,1,0)</f>
        <v>2026</v>
      </c>
      <c r="C580" s="102">
        <f>YEAR(Table6[[#This Row],[Date]])</f>
        <v>2025</v>
      </c>
      <c r="D580" s="102" t="s">
        <v>265</v>
      </c>
      <c r="E580" s="258">
        <f>Table6[[#This Row],[Date]]-DAY(Table6[[#This Row],[Date]])+1</f>
        <v>45778</v>
      </c>
      <c r="F580" s="259">
        <v>45783</v>
      </c>
      <c r="G580" s="35" t="s">
        <v>115</v>
      </c>
      <c r="H580" s="35" t="str">
        <f>IFERROR(_xlfn.XLOOKUP(Table6[[#This Row],[Affected WTG]],'Basic Data'!$A:$A,'Basic Data'!$B:$B),"")</f>
        <v>TQGXIIPL</v>
      </c>
      <c r="I580" s="35" t="str">
        <f>IFERROR(_xlfn.XLOOKUP(Table6[[#This Row],[Affected WTG]],'Basic Data'!$A:$A,'Basic Data'!$C:$C),"")</f>
        <v>GEDA</v>
      </c>
      <c r="J580" s="260">
        <f>IFERROR(_xlfn.XLOOKUP(Table6[[#This Row],[Affected WTG]],'Basic Data'!$A:$A,'Basic Data'!$E:$E),"")</f>
        <v>3.846153846153845E-2</v>
      </c>
      <c r="K580" s="102">
        <v>64</v>
      </c>
      <c r="L580" s="35" t="str">
        <f>IFERROR(_xlfn.XLOOKUP(Table6[[#This Row],[Error Code]],'Basic Data'!$AA:$AA,'Basic Data'!$AB:$AB),"Incorrect Error Code")</f>
        <v>Max. wind speed</v>
      </c>
      <c r="M580" s="35" t="s">
        <v>395</v>
      </c>
      <c r="N580" s="264"/>
      <c r="O580" s="265">
        <v>6.2500000000000003E-3</v>
      </c>
      <c r="P580" s="265">
        <v>6.2500000000000003E-3</v>
      </c>
      <c r="Q580" s="266">
        <v>1.8749999999999999E-2</v>
      </c>
      <c r="R580" s="261">
        <f>IF(Table6[[#This Row],[Work Start TimeStamp]]="","",(Table6[[#This Row],[Work Start TimeStamp]]-Table6[[#This Row],[Fault Start TimeStamp]])*24)</f>
        <v>0</v>
      </c>
      <c r="S580" s="261">
        <f>(Table6[[#This Row],[Fault Clearance time]]-Table6[[#This Row],[Work Start TimeStamp]])*24</f>
        <v>0.3</v>
      </c>
      <c r="T580" s="261">
        <f>(Table6[[#This Row],[Fault Clearance time]]-Table6[[#This Row],[Fault Start TimeStamp]])*24</f>
        <v>0.3</v>
      </c>
      <c r="U580" s="35" t="s">
        <v>277</v>
      </c>
      <c r="V580" s="102" t="s">
        <v>268</v>
      </c>
      <c r="W580" s="267">
        <f>IFERROR(Table6[[#This Row],[Breakdown Time]]*Table6[[#This Row],[Plant Equivalent Weightage]],"")</f>
        <v>1.1538461538461534E-2</v>
      </c>
      <c r="X580" s="262" t="s">
        <v>269</v>
      </c>
      <c r="Y580" s="263" t="s">
        <v>140</v>
      </c>
      <c r="Z580" s="102">
        <v>10926</v>
      </c>
      <c r="AA580" s="257">
        <f>(Table6[[#This Row],[Paired WTG Generation for loss calculation]]/24)*Table6[[#This Row],[Breakdown Time]]</f>
        <v>136.57499999999999</v>
      </c>
      <c r="AB580" s="102"/>
      <c r="AC580" s="35"/>
      <c r="AD580" s="35"/>
    </row>
    <row r="581" spans="1:30">
      <c r="A581" s="102">
        <f t="shared" si="9"/>
        <v>580</v>
      </c>
      <c r="B581" s="257">
        <f>YEAR(Table6[[#This Row],[Date]])+IF(MONTH(Table6[[#This Row],[Date]])&gt;=4,1,0)</f>
        <v>2026</v>
      </c>
      <c r="C581" s="102">
        <f>YEAR(Table6[[#This Row],[Date]])</f>
        <v>2025</v>
      </c>
      <c r="D581" s="102" t="s">
        <v>265</v>
      </c>
      <c r="E581" s="258">
        <f>Table6[[#This Row],[Date]]-DAY(Table6[[#This Row],[Date]])+1</f>
        <v>45778</v>
      </c>
      <c r="F581" s="259">
        <v>45783</v>
      </c>
      <c r="G581" s="35" t="s">
        <v>115</v>
      </c>
      <c r="H581" s="35" t="str">
        <f>IFERROR(_xlfn.XLOOKUP(Table6[[#This Row],[Affected WTG]],'Basic Data'!$A:$A,'Basic Data'!$B:$B),"")</f>
        <v>TQGXIIPL</v>
      </c>
      <c r="I581" s="35" t="str">
        <f>IFERROR(_xlfn.XLOOKUP(Table6[[#This Row],[Affected WTG]],'Basic Data'!$A:$A,'Basic Data'!$C:$C),"")</f>
        <v>GEDA</v>
      </c>
      <c r="J581" s="260">
        <f>IFERROR(_xlfn.XLOOKUP(Table6[[#This Row],[Affected WTG]],'Basic Data'!$A:$A,'Basic Data'!$E:$E),"")</f>
        <v>3.846153846153845E-2</v>
      </c>
      <c r="K581" s="102">
        <v>3110</v>
      </c>
      <c r="L581" s="35" t="str">
        <f>IFERROR(_xlfn.XLOOKUP(Table6[[#This Row],[Error Code]],'Basic Data'!$AA:$AA,'Basic Data'!$AB:$AB),"Incorrect Error Code")</f>
        <v>Frequency converter error</v>
      </c>
      <c r="M581" s="35" t="s">
        <v>266</v>
      </c>
      <c r="N581" s="264"/>
      <c r="O581" s="265">
        <v>0.3215277777777778</v>
      </c>
      <c r="P581" s="265">
        <v>0.3215277777777778</v>
      </c>
      <c r="Q581" s="266">
        <v>0.33194444444444443</v>
      </c>
      <c r="R581" s="261">
        <f>IF(Table6[[#This Row],[Work Start TimeStamp]]="","",(Table6[[#This Row],[Work Start TimeStamp]]-Table6[[#This Row],[Fault Start TimeStamp]])*24)</f>
        <v>0</v>
      </c>
      <c r="S581" s="261">
        <f>(Table6[[#This Row],[Fault Clearance time]]-Table6[[#This Row],[Work Start TimeStamp]])*24</f>
        <v>0.24999999999999911</v>
      </c>
      <c r="T581" s="261">
        <f>(Table6[[#This Row],[Fault Clearance time]]-Table6[[#This Row],[Fault Start TimeStamp]])*24</f>
        <v>0.24999999999999911</v>
      </c>
      <c r="U581" s="35" t="s">
        <v>267</v>
      </c>
      <c r="V581" s="102" t="s">
        <v>268</v>
      </c>
      <c r="W581" s="267">
        <f>IFERROR(Table6[[#This Row],[Breakdown Time]]*Table6[[#This Row],[Plant Equivalent Weightage]],"")</f>
        <v>9.6153846153845778E-3</v>
      </c>
      <c r="X581" s="262" t="s">
        <v>296</v>
      </c>
      <c r="Y581" s="263" t="s">
        <v>140</v>
      </c>
      <c r="Z581" s="102">
        <v>10926</v>
      </c>
      <c r="AA581" s="257">
        <f>(Table6[[#This Row],[Paired WTG Generation for loss calculation]]/24)*Table6[[#This Row],[Breakdown Time]]</f>
        <v>113.8124999999996</v>
      </c>
      <c r="AB581" s="102"/>
      <c r="AC581" s="35"/>
      <c r="AD581" s="35"/>
    </row>
    <row r="582" spans="1:30">
      <c r="A582" s="102">
        <f t="shared" si="9"/>
        <v>581</v>
      </c>
      <c r="B582" s="257">
        <f>YEAR(Table6[[#This Row],[Date]])+IF(MONTH(Table6[[#This Row],[Date]])&gt;=4,1,0)</f>
        <v>2026</v>
      </c>
      <c r="C582" s="102">
        <f>YEAR(Table6[[#This Row],[Date]])</f>
        <v>2025</v>
      </c>
      <c r="D582" s="102" t="s">
        <v>265</v>
      </c>
      <c r="E582" s="258">
        <f>Table6[[#This Row],[Date]]-DAY(Table6[[#This Row],[Date]])+1</f>
        <v>45778</v>
      </c>
      <c r="F582" s="259">
        <v>45783</v>
      </c>
      <c r="G582" s="35" t="s">
        <v>117</v>
      </c>
      <c r="H582" s="35" t="str">
        <f>IFERROR(_xlfn.XLOOKUP(Table6[[#This Row],[Affected WTG]],'Basic Data'!$A:$A,'Basic Data'!$B:$B),"")</f>
        <v>TQGXIIPL</v>
      </c>
      <c r="I582" s="35" t="str">
        <f>IFERROR(_xlfn.XLOOKUP(Table6[[#This Row],[Affected WTG]],'Basic Data'!$A:$A,'Basic Data'!$C:$C),"")</f>
        <v>GEDA</v>
      </c>
      <c r="J582" s="260">
        <f>IFERROR(_xlfn.XLOOKUP(Table6[[#This Row],[Affected WTG]],'Basic Data'!$A:$A,'Basic Data'!$E:$E),"")</f>
        <v>3.846153846153845E-2</v>
      </c>
      <c r="K582" s="102">
        <v>64</v>
      </c>
      <c r="L582" s="35" t="str">
        <f>IFERROR(_xlfn.XLOOKUP(Table6[[#This Row],[Error Code]],'Basic Data'!$AA:$AA,'Basic Data'!$AB:$AB),"Incorrect Error Code")</f>
        <v>Max. wind speed</v>
      </c>
      <c r="M582" s="35" t="s">
        <v>395</v>
      </c>
      <c r="N582" s="264"/>
      <c r="O582" s="265">
        <v>0.64513888888888893</v>
      </c>
      <c r="P582" s="265">
        <v>0.64513888888888893</v>
      </c>
      <c r="Q582" s="266">
        <v>0.66249999999999998</v>
      </c>
      <c r="R582" s="261">
        <f>IF(Table6[[#This Row],[Work Start TimeStamp]]="","",(Table6[[#This Row],[Work Start TimeStamp]]-Table6[[#This Row],[Fault Start TimeStamp]])*24)</f>
        <v>0</v>
      </c>
      <c r="S582" s="261">
        <f>(Table6[[#This Row],[Fault Clearance time]]-Table6[[#This Row],[Work Start TimeStamp]])*24</f>
        <v>0.41666666666666519</v>
      </c>
      <c r="T582" s="261">
        <f>(Table6[[#This Row],[Fault Clearance time]]-Table6[[#This Row],[Fault Start TimeStamp]])*24</f>
        <v>0.41666666666666519</v>
      </c>
      <c r="U582" s="35" t="s">
        <v>277</v>
      </c>
      <c r="V582" s="102" t="s">
        <v>268</v>
      </c>
      <c r="W582" s="267">
        <f>IFERROR(Table6[[#This Row],[Breakdown Time]]*Table6[[#This Row],[Plant Equivalent Weightage]],"")</f>
        <v>1.6025641025640965E-2</v>
      </c>
      <c r="X582" s="262" t="s">
        <v>269</v>
      </c>
      <c r="Y582" s="263" t="s">
        <v>123</v>
      </c>
      <c r="Z582" s="102">
        <v>15245</v>
      </c>
      <c r="AA582" s="257">
        <f>(Table6[[#This Row],[Paired WTG Generation for loss calculation]]/24)*Table6[[#This Row],[Breakdown Time]]</f>
        <v>264.67013888888795</v>
      </c>
      <c r="AB582" s="102"/>
      <c r="AC582" s="35"/>
      <c r="AD582" s="35"/>
    </row>
    <row r="583" spans="1:30">
      <c r="A583" s="102">
        <f t="shared" si="9"/>
        <v>582</v>
      </c>
      <c r="B583" s="257">
        <f>YEAR(Table6[[#This Row],[Date]])+IF(MONTH(Table6[[#This Row],[Date]])&gt;=4,1,0)</f>
        <v>2026</v>
      </c>
      <c r="C583" s="102">
        <f>YEAR(Table6[[#This Row],[Date]])</f>
        <v>2025</v>
      </c>
      <c r="D583" s="102" t="s">
        <v>265</v>
      </c>
      <c r="E583" s="258">
        <f>Table6[[#This Row],[Date]]-DAY(Table6[[#This Row],[Date]])+1</f>
        <v>45778</v>
      </c>
      <c r="F583" s="259">
        <v>45783</v>
      </c>
      <c r="G583" s="35" t="s">
        <v>118</v>
      </c>
      <c r="H583" s="35" t="str">
        <f>IFERROR(_xlfn.XLOOKUP(Table6[[#This Row],[Affected WTG]],'Basic Data'!$A:$A,'Basic Data'!$B:$B),"")</f>
        <v>TQGXIIPL</v>
      </c>
      <c r="I583" s="35" t="str">
        <f>IFERROR(_xlfn.XLOOKUP(Table6[[#This Row],[Affected WTG]],'Basic Data'!$A:$A,'Basic Data'!$C:$C),"")</f>
        <v>GEDA</v>
      </c>
      <c r="J583" s="260">
        <f>IFERROR(_xlfn.XLOOKUP(Table6[[#This Row],[Affected WTG]],'Basic Data'!$A:$A,'Basic Data'!$E:$E),"")</f>
        <v>3.846153846153845E-2</v>
      </c>
      <c r="K583" s="102">
        <v>5550</v>
      </c>
      <c r="L583" s="35" t="str">
        <f>IFERROR(_xlfn.XLOOKUP(Table6[[#This Row],[Error Code]],'Basic Data'!$AA:$AA,'Basic Data'!$AB:$AB),"Incorrect Error Code")</f>
        <v>Low hydraulic oil level</v>
      </c>
      <c r="M583" s="35" t="s">
        <v>266</v>
      </c>
      <c r="N583" s="264"/>
      <c r="O583" s="265">
        <v>0.60624999999999996</v>
      </c>
      <c r="P583" s="265">
        <v>0.60624999999999996</v>
      </c>
      <c r="Q583" s="266">
        <v>0.64652777777777781</v>
      </c>
      <c r="R583" s="261">
        <f>IF(Table6[[#This Row],[Work Start TimeStamp]]="","",(Table6[[#This Row],[Work Start TimeStamp]]-Table6[[#This Row],[Fault Start TimeStamp]])*24)</f>
        <v>0</v>
      </c>
      <c r="S583" s="261">
        <f>(Table6[[#This Row],[Fault Clearance time]]-Table6[[#This Row],[Work Start TimeStamp]])*24</f>
        <v>0.96666666666666856</v>
      </c>
      <c r="T583" s="261">
        <f>(Table6[[#This Row],[Fault Clearance time]]-Table6[[#This Row],[Fault Start TimeStamp]])*24</f>
        <v>0.96666666666666856</v>
      </c>
      <c r="U583" s="35" t="s">
        <v>396</v>
      </c>
      <c r="V583" s="102" t="s">
        <v>268</v>
      </c>
      <c r="W583" s="267">
        <f>IFERROR(Table6[[#This Row],[Breakdown Time]]*Table6[[#This Row],[Plant Equivalent Weightage]],"")</f>
        <v>3.7179487179487242E-2</v>
      </c>
      <c r="X583" s="262" t="s">
        <v>296</v>
      </c>
      <c r="Y583" s="263" t="s">
        <v>121</v>
      </c>
      <c r="Z583" s="102">
        <v>18793</v>
      </c>
      <c r="AA583" s="257">
        <f>(Table6[[#This Row],[Paired WTG Generation for loss calculation]]/24)*Table6[[#This Row],[Breakdown Time]]</f>
        <v>756.94027777777922</v>
      </c>
      <c r="AB583" s="102"/>
      <c r="AC583" s="35"/>
      <c r="AD583" s="35"/>
    </row>
    <row r="584" spans="1:30">
      <c r="A584" s="102">
        <f t="shared" si="9"/>
        <v>583</v>
      </c>
      <c r="B584" s="257">
        <f>YEAR(Table6[[#This Row],[Date]])+IF(MONTH(Table6[[#This Row],[Date]])&gt;=4,1,0)</f>
        <v>2026</v>
      </c>
      <c r="C584" s="102">
        <f>YEAR(Table6[[#This Row],[Date]])</f>
        <v>2025</v>
      </c>
      <c r="D584" s="102" t="s">
        <v>265</v>
      </c>
      <c r="E584" s="258">
        <f>Table6[[#This Row],[Date]]-DAY(Table6[[#This Row],[Date]])+1</f>
        <v>45778</v>
      </c>
      <c r="F584" s="259">
        <v>45783</v>
      </c>
      <c r="G584" s="35" t="s">
        <v>118</v>
      </c>
      <c r="H584" s="35" t="str">
        <f>IFERROR(_xlfn.XLOOKUP(Table6[[#This Row],[Affected WTG]],'Basic Data'!$A:$A,'Basic Data'!$B:$B),"")</f>
        <v>TQGXIIPL</v>
      </c>
      <c r="I584" s="35" t="str">
        <f>IFERROR(_xlfn.XLOOKUP(Table6[[#This Row],[Affected WTG]],'Basic Data'!$A:$A,'Basic Data'!$C:$C),"")</f>
        <v>GEDA</v>
      </c>
      <c r="J584" s="260">
        <f>IFERROR(_xlfn.XLOOKUP(Table6[[#This Row],[Affected WTG]],'Basic Data'!$A:$A,'Basic Data'!$E:$E),"")</f>
        <v>3.846153846153845E-2</v>
      </c>
      <c r="K584" s="102">
        <v>5550</v>
      </c>
      <c r="L584" s="35" t="str">
        <f>IFERROR(_xlfn.XLOOKUP(Table6[[#This Row],[Error Code]],'Basic Data'!$AA:$AA,'Basic Data'!$AB:$AB),"Incorrect Error Code")</f>
        <v>Low hydraulic oil level</v>
      </c>
      <c r="M584" s="35" t="s">
        <v>266</v>
      </c>
      <c r="N584" s="264"/>
      <c r="O584" s="265">
        <v>0.74375000000000002</v>
      </c>
      <c r="P584" s="265">
        <v>0.74375000000000002</v>
      </c>
      <c r="Q584" s="266">
        <v>0.89375000000000004</v>
      </c>
      <c r="R584" s="261">
        <f>IF(Table6[[#This Row],[Work Start TimeStamp]]="","",(Table6[[#This Row],[Work Start TimeStamp]]-Table6[[#This Row],[Fault Start TimeStamp]])*24)</f>
        <v>0</v>
      </c>
      <c r="S584" s="261">
        <f>(Table6[[#This Row],[Fault Clearance time]]-Table6[[#This Row],[Work Start TimeStamp]])*24</f>
        <v>3.6000000000000005</v>
      </c>
      <c r="T584" s="261">
        <f>(Table6[[#This Row],[Fault Clearance time]]-Table6[[#This Row],[Fault Start TimeStamp]])*24</f>
        <v>3.6000000000000005</v>
      </c>
      <c r="U584" s="35" t="s">
        <v>397</v>
      </c>
      <c r="V584" s="102" t="s">
        <v>268</v>
      </c>
      <c r="W584" s="267">
        <f>IFERROR(Table6[[#This Row],[Breakdown Time]]*Table6[[#This Row],[Plant Equivalent Weightage]],"")</f>
        <v>0.13846153846153844</v>
      </c>
      <c r="X584" s="262" t="s">
        <v>296</v>
      </c>
      <c r="Y584" s="263" t="s">
        <v>121</v>
      </c>
      <c r="Z584" s="102">
        <v>18793</v>
      </c>
      <c r="AA584" s="257">
        <f>(Table6[[#This Row],[Paired WTG Generation for loss calculation]]/24)*Table6[[#This Row],[Breakdown Time]]</f>
        <v>2818.9500000000003</v>
      </c>
      <c r="AB584" s="102"/>
      <c r="AC584" s="35"/>
      <c r="AD584" s="35"/>
    </row>
    <row r="585" spans="1:30">
      <c r="A585" s="102">
        <f t="shared" si="9"/>
        <v>584</v>
      </c>
      <c r="B585" s="257">
        <f>YEAR(Table6[[#This Row],[Date]])+IF(MONTH(Table6[[#This Row],[Date]])&gt;=4,1,0)</f>
        <v>2026</v>
      </c>
      <c r="C585" s="102">
        <f>YEAR(Table6[[#This Row],[Date]])</f>
        <v>2025</v>
      </c>
      <c r="D585" s="102" t="s">
        <v>265</v>
      </c>
      <c r="E585" s="258">
        <f>Table6[[#This Row],[Date]]-DAY(Table6[[#This Row],[Date]])+1</f>
        <v>45778</v>
      </c>
      <c r="F585" s="259">
        <v>45783</v>
      </c>
      <c r="G585" s="35" t="s">
        <v>119</v>
      </c>
      <c r="H585" s="35" t="str">
        <f>IFERROR(_xlfn.XLOOKUP(Table6[[#This Row],[Affected WTG]],'Basic Data'!$A:$A,'Basic Data'!$B:$B),"")</f>
        <v>TQGXIIPL</v>
      </c>
      <c r="I585" s="35" t="str">
        <f>IFERROR(_xlfn.XLOOKUP(Table6[[#This Row],[Affected WTG]],'Basic Data'!$A:$A,'Basic Data'!$C:$C),"")</f>
        <v>GEDA</v>
      </c>
      <c r="J585" s="260">
        <f>IFERROR(_xlfn.XLOOKUP(Table6[[#This Row],[Affected WTG]],'Basic Data'!$A:$A,'Basic Data'!$E:$E),"")</f>
        <v>3.846153846153845E-2</v>
      </c>
      <c r="K585" s="102">
        <v>567</v>
      </c>
      <c r="L585" s="35" t="str">
        <f>IFERROR(_xlfn.XLOOKUP(Table6[[#This Row],[Error Code]],'Basic Data'!$AA:$AA,'Basic Data'!$AB:$AB),"Incorrect Error Code")</f>
        <v>Pitch too slow BP52</v>
      </c>
      <c r="M585" s="35" t="s">
        <v>266</v>
      </c>
      <c r="N585" s="264"/>
      <c r="O585" s="265">
        <v>1.9444444444444445E-2</v>
      </c>
      <c r="P585" s="265">
        <v>1.9444444444444445E-2</v>
      </c>
      <c r="Q585" s="266">
        <v>2.6388888888888889E-2</v>
      </c>
      <c r="R585" s="261">
        <f>IF(Table6[[#This Row],[Work Start TimeStamp]]="","",(Table6[[#This Row],[Work Start TimeStamp]]-Table6[[#This Row],[Fault Start TimeStamp]])*24)</f>
        <v>0</v>
      </c>
      <c r="S585" s="261">
        <f>(Table6[[#This Row],[Fault Clearance time]]-Table6[[#This Row],[Work Start TimeStamp]])*24</f>
        <v>0.16666666666666666</v>
      </c>
      <c r="T585" s="261">
        <f>(Table6[[#This Row],[Fault Clearance time]]-Table6[[#This Row],[Fault Start TimeStamp]])*24</f>
        <v>0.16666666666666666</v>
      </c>
      <c r="U585" s="35" t="s">
        <v>277</v>
      </c>
      <c r="V585" s="102" t="s">
        <v>268</v>
      </c>
      <c r="W585" s="267">
        <f>IFERROR(Table6[[#This Row],[Breakdown Time]]*Table6[[#This Row],[Plant Equivalent Weightage]],"")</f>
        <v>6.4102564102564083E-3</v>
      </c>
      <c r="X585" s="262" t="s">
        <v>269</v>
      </c>
      <c r="Y585" s="263" t="s">
        <v>116</v>
      </c>
      <c r="Z585" s="102">
        <v>15091</v>
      </c>
      <c r="AA585" s="257">
        <f>(Table6[[#This Row],[Paired WTG Generation for loss calculation]]/24)*Table6[[#This Row],[Breakdown Time]]</f>
        <v>104.7986111111111</v>
      </c>
      <c r="AB585" s="102"/>
      <c r="AC585" s="35"/>
      <c r="AD585" s="35"/>
    </row>
    <row r="586" spans="1:30">
      <c r="A586" s="102">
        <f t="shared" si="9"/>
        <v>585</v>
      </c>
      <c r="B586" s="257">
        <f>YEAR(Table6[[#This Row],[Date]])+IF(MONTH(Table6[[#This Row],[Date]])&gt;=4,1,0)</f>
        <v>2026</v>
      </c>
      <c r="C586" s="102">
        <f>YEAR(Table6[[#This Row],[Date]])</f>
        <v>2025</v>
      </c>
      <c r="D586" s="102" t="s">
        <v>265</v>
      </c>
      <c r="E586" s="258">
        <f>Table6[[#This Row],[Date]]-DAY(Table6[[#This Row],[Date]])+1</f>
        <v>45778</v>
      </c>
      <c r="F586" s="259">
        <v>45783</v>
      </c>
      <c r="G586" s="35" t="s">
        <v>119</v>
      </c>
      <c r="H586" s="35" t="str">
        <f>IFERROR(_xlfn.XLOOKUP(Table6[[#This Row],[Affected WTG]],'Basic Data'!$A:$A,'Basic Data'!$B:$B),"")</f>
        <v>TQGXIIPL</v>
      </c>
      <c r="I586" s="35" t="str">
        <f>IFERROR(_xlfn.XLOOKUP(Table6[[#This Row],[Affected WTG]],'Basic Data'!$A:$A,'Basic Data'!$C:$C),"")</f>
        <v>GEDA</v>
      </c>
      <c r="J586" s="260">
        <f>IFERROR(_xlfn.XLOOKUP(Table6[[#This Row],[Affected WTG]],'Basic Data'!$A:$A,'Basic Data'!$E:$E),"")</f>
        <v>3.846153846153845E-2</v>
      </c>
      <c r="K586" s="102">
        <v>2520</v>
      </c>
      <c r="L586" s="35" t="str">
        <f>IFERROR(_xlfn.XLOOKUP(Table6[[#This Row],[Error Code]],'Basic Data'!$AA:$AA,'Basic Data'!$AB:$AB),"Incorrect Error Code")</f>
        <v>Gen.speed analog&lt;&gt;gear.speed</v>
      </c>
      <c r="M586" s="35" t="s">
        <v>266</v>
      </c>
      <c r="N586" s="264"/>
      <c r="O586" s="265">
        <v>0.65972222222222221</v>
      </c>
      <c r="P586" s="265">
        <v>0.65972222222222221</v>
      </c>
      <c r="Q586" s="266">
        <v>0.66111111111111109</v>
      </c>
      <c r="R586" s="261">
        <f>IF(Table6[[#This Row],[Work Start TimeStamp]]="","",(Table6[[#This Row],[Work Start TimeStamp]]-Table6[[#This Row],[Fault Start TimeStamp]])*24)</f>
        <v>0</v>
      </c>
      <c r="S586" s="261">
        <f>(Table6[[#This Row],[Fault Clearance time]]-Table6[[#This Row],[Work Start TimeStamp]])*24</f>
        <v>3.3333333333333215E-2</v>
      </c>
      <c r="T586" s="261">
        <f>(Table6[[#This Row],[Fault Clearance time]]-Table6[[#This Row],[Fault Start TimeStamp]])*24</f>
        <v>3.3333333333333215E-2</v>
      </c>
      <c r="U586" s="35" t="s">
        <v>277</v>
      </c>
      <c r="V586" s="102" t="s">
        <v>268</v>
      </c>
      <c r="W586" s="267">
        <f>IFERROR(Table6[[#This Row],[Breakdown Time]]*Table6[[#This Row],[Plant Equivalent Weightage]],"")</f>
        <v>1.2820512820512771E-3</v>
      </c>
      <c r="X586" s="262" t="s">
        <v>269</v>
      </c>
      <c r="Y586" s="263" t="s">
        <v>116</v>
      </c>
      <c r="Z586" s="102">
        <v>15091</v>
      </c>
      <c r="AA586" s="257">
        <f>(Table6[[#This Row],[Paired WTG Generation for loss calculation]]/24)*Table6[[#This Row],[Breakdown Time]]</f>
        <v>20.959722222222148</v>
      </c>
      <c r="AB586" s="102"/>
      <c r="AC586" s="35"/>
      <c r="AD586" s="35"/>
    </row>
    <row r="587" spans="1:30">
      <c r="A587" s="102">
        <f t="shared" si="9"/>
        <v>586</v>
      </c>
      <c r="B587" s="257">
        <f>YEAR(Table6[[#This Row],[Date]])+IF(MONTH(Table6[[#This Row],[Date]])&gt;=4,1,0)</f>
        <v>2026</v>
      </c>
      <c r="C587" s="102">
        <f>YEAR(Table6[[#This Row],[Date]])</f>
        <v>2025</v>
      </c>
      <c r="D587" s="102" t="s">
        <v>265</v>
      </c>
      <c r="E587" s="258">
        <f>Table6[[#This Row],[Date]]-DAY(Table6[[#This Row],[Date]])+1</f>
        <v>45778</v>
      </c>
      <c r="F587" s="259">
        <v>45783</v>
      </c>
      <c r="G587" s="35" t="s">
        <v>121</v>
      </c>
      <c r="H587" s="35" t="str">
        <f>IFERROR(_xlfn.XLOOKUP(Table6[[#This Row],[Affected WTG]],'Basic Data'!$A:$A,'Basic Data'!$B:$B),"")</f>
        <v>TQGXIIPL</v>
      </c>
      <c r="I587" s="35" t="str">
        <f>IFERROR(_xlfn.XLOOKUP(Table6[[#This Row],[Affected WTG]],'Basic Data'!$A:$A,'Basic Data'!$C:$C),"")</f>
        <v>GEDA</v>
      </c>
      <c r="J587" s="260">
        <f>IFERROR(_xlfn.XLOOKUP(Table6[[#This Row],[Affected WTG]],'Basic Data'!$A:$A,'Basic Data'!$E:$E),"")</f>
        <v>3.846153846153845E-2</v>
      </c>
      <c r="K587" s="102">
        <v>175</v>
      </c>
      <c r="L587" s="35" t="str">
        <f>IFERROR(_xlfn.XLOOKUP(Table6[[#This Row],[Error Code]],'Basic Data'!$AA:$AA,'Basic Data'!$AB:$AB),"Incorrect Error Code")</f>
        <v>SLC error</v>
      </c>
      <c r="M587" s="35" t="s">
        <v>266</v>
      </c>
      <c r="N587" s="264"/>
      <c r="O587" s="265">
        <v>0.91736111111111107</v>
      </c>
      <c r="P587" s="265">
        <v>0.91736111111111107</v>
      </c>
      <c r="Q587" s="266">
        <v>0.91805555555555551</v>
      </c>
      <c r="R587" s="261">
        <f>IF(Table6[[#This Row],[Work Start TimeStamp]]="","",(Table6[[#This Row],[Work Start TimeStamp]]-Table6[[#This Row],[Fault Start TimeStamp]])*24)</f>
        <v>0</v>
      </c>
      <c r="S587" s="261">
        <f>(Table6[[#This Row],[Fault Clearance time]]-Table6[[#This Row],[Work Start TimeStamp]])*24</f>
        <v>1.6666666666666607E-2</v>
      </c>
      <c r="T587" s="261">
        <f>(Table6[[#This Row],[Fault Clearance time]]-Table6[[#This Row],[Fault Start TimeStamp]])*24</f>
        <v>1.6666666666666607E-2</v>
      </c>
      <c r="U587" s="35" t="s">
        <v>277</v>
      </c>
      <c r="V587" s="102" t="s">
        <v>268</v>
      </c>
      <c r="W587" s="267">
        <f>IFERROR(Table6[[#This Row],[Breakdown Time]]*Table6[[#This Row],[Plant Equivalent Weightage]],"")</f>
        <v>6.4102564102563853E-4</v>
      </c>
      <c r="X587" s="262" t="s">
        <v>269</v>
      </c>
      <c r="Y587" s="263" t="s">
        <v>118</v>
      </c>
      <c r="Z587" s="102">
        <v>15082</v>
      </c>
      <c r="AA587" s="257">
        <f>(Table6[[#This Row],[Paired WTG Generation for loss calculation]]/24)*Table6[[#This Row],[Breakdown Time]]</f>
        <v>10.473611111111074</v>
      </c>
      <c r="AB587" s="102"/>
      <c r="AC587" s="35"/>
      <c r="AD587" s="35"/>
    </row>
    <row r="588" spans="1:30">
      <c r="A588" s="102">
        <f t="shared" si="9"/>
        <v>587</v>
      </c>
      <c r="B588" s="257">
        <f>YEAR(Table6[[#This Row],[Date]])+IF(MONTH(Table6[[#This Row],[Date]])&gt;=4,1,0)</f>
        <v>2026</v>
      </c>
      <c r="C588" s="102">
        <f>YEAR(Table6[[#This Row],[Date]])</f>
        <v>2025</v>
      </c>
      <c r="D588" s="102" t="s">
        <v>265</v>
      </c>
      <c r="E588" s="258">
        <f>Table6[[#This Row],[Date]]-DAY(Table6[[#This Row],[Date]])+1</f>
        <v>45778</v>
      </c>
      <c r="F588" s="259">
        <v>45783</v>
      </c>
      <c r="G588" s="35" t="s">
        <v>122</v>
      </c>
      <c r="H588" s="35" t="str">
        <f>IFERROR(_xlfn.XLOOKUP(Table6[[#This Row],[Affected WTG]],'Basic Data'!$A:$A,'Basic Data'!$B:$B),"")</f>
        <v>TQGXIIPL</v>
      </c>
      <c r="I588" s="35" t="str">
        <f>IFERROR(_xlfn.XLOOKUP(Table6[[#This Row],[Affected WTG]],'Basic Data'!$A:$A,'Basic Data'!$C:$C),"")</f>
        <v>GEDA</v>
      </c>
      <c r="J588" s="260">
        <f>IFERROR(_xlfn.XLOOKUP(Table6[[#This Row],[Affected WTG]],'Basic Data'!$A:$A,'Basic Data'!$E:$E),"")</f>
        <v>3.846153846153845E-2</v>
      </c>
      <c r="K588" s="102">
        <v>55</v>
      </c>
      <c r="L588" s="35" t="str">
        <f>IFERROR(_xlfn.XLOOKUP(Table6[[#This Row],[Error Code]],'Basic Data'!$AA:$AA,'Basic Data'!$AB:$AB),"Incorrect Error Code")</f>
        <v>WTG shut down</v>
      </c>
      <c r="M588" s="35" t="s">
        <v>300</v>
      </c>
      <c r="N588" s="264"/>
      <c r="O588" s="265">
        <v>2.6388888888888889E-2</v>
      </c>
      <c r="P588" s="265">
        <v>2.6388888888888889E-2</v>
      </c>
      <c r="Q588" s="266">
        <v>4.8611111111111112E-2</v>
      </c>
      <c r="R588" s="261">
        <f>IF(Table6[[#This Row],[Work Start TimeStamp]]="","",(Table6[[#This Row],[Work Start TimeStamp]]-Table6[[#This Row],[Fault Start TimeStamp]])*24)</f>
        <v>0</v>
      </c>
      <c r="S588" s="261">
        <f>(Table6[[#This Row],[Fault Clearance time]]-Table6[[#This Row],[Work Start TimeStamp]])*24</f>
        <v>0.53333333333333333</v>
      </c>
      <c r="T588" s="261">
        <f>(Table6[[#This Row],[Fault Clearance time]]-Table6[[#This Row],[Fault Start TimeStamp]])*24</f>
        <v>0.53333333333333333</v>
      </c>
      <c r="U588" s="35" t="s">
        <v>385</v>
      </c>
      <c r="V588" s="102" t="s">
        <v>268</v>
      </c>
      <c r="W588" s="267">
        <f>IFERROR(Table6[[#This Row],[Breakdown Time]]*Table6[[#This Row],[Plant Equivalent Weightage]],"")</f>
        <v>2.0512820512820506E-2</v>
      </c>
      <c r="X588" s="262" t="s">
        <v>296</v>
      </c>
      <c r="Y588" s="263" t="s">
        <v>140</v>
      </c>
      <c r="Z588" s="102">
        <v>10926</v>
      </c>
      <c r="AA588" s="257">
        <f>(Table6[[#This Row],[Paired WTG Generation for loss calculation]]/24)*Table6[[#This Row],[Breakdown Time]]</f>
        <v>242.79999999999998</v>
      </c>
      <c r="AB588" s="102"/>
      <c r="AC588" s="35"/>
      <c r="AD588" s="35"/>
    </row>
    <row r="589" spans="1:30">
      <c r="A589" s="102">
        <f t="shared" si="9"/>
        <v>588</v>
      </c>
      <c r="B589" s="257">
        <f>YEAR(Table6[[#This Row],[Date]])+IF(MONTH(Table6[[#This Row],[Date]])&gt;=4,1,0)</f>
        <v>2026</v>
      </c>
      <c r="C589" s="102">
        <f>YEAR(Table6[[#This Row],[Date]])</f>
        <v>2025</v>
      </c>
      <c r="D589" s="102" t="s">
        <v>265</v>
      </c>
      <c r="E589" s="258">
        <f>Table6[[#This Row],[Date]]-DAY(Table6[[#This Row],[Date]])+1</f>
        <v>45778</v>
      </c>
      <c r="F589" s="259">
        <v>45783</v>
      </c>
      <c r="G589" s="35" t="s">
        <v>122</v>
      </c>
      <c r="H589" s="35" t="str">
        <f>IFERROR(_xlfn.XLOOKUP(Table6[[#This Row],[Affected WTG]],'Basic Data'!$A:$A,'Basic Data'!$B:$B),"")</f>
        <v>TQGXIIPL</v>
      </c>
      <c r="I589" s="35" t="str">
        <f>IFERROR(_xlfn.XLOOKUP(Table6[[#This Row],[Affected WTG]],'Basic Data'!$A:$A,'Basic Data'!$C:$C),"")</f>
        <v>GEDA</v>
      </c>
      <c r="J589" s="260">
        <f>IFERROR(_xlfn.XLOOKUP(Table6[[#This Row],[Affected WTG]],'Basic Data'!$A:$A,'Basic Data'!$E:$E),"")</f>
        <v>3.846153846153845E-2</v>
      </c>
      <c r="K589" s="102">
        <v>6007</v>
      </c>
      <c r="L589" s="35" t="str">
        <f>IFERROR(_xlfn.XLOOKUP(Table6[[#This Row],[Error Code]],'Basic Data'!$AA:$AA,'Basic Data'!$AB:$AB),"Incorrect Error Code")</f>
        <v>Overload yaw motors group 1</v>
      </c>
      <c r="M589" s="35" t="s">
        <v>278</v>
      </c>
      <c r="N589" s="264"/>
      <c r="O589" s="265">
        <v>5.2083333333333336E-2</v>
      </c>
      <c r="P589" s="265">
        <v>6.5277777777777782E-2</v>
      </c>
      <c r="Q589" s="266">
        <v>8.611111111111111E-2</v>
      </c>
      <c r="R589" s="261">
        <f>IF(Table6[[#This Row],[Work Start TimeStamp]]="","",(Table6[[#This Row],[Work Start TimeStamp]]-Table6[[#This Row],[Fault Start TimeStamp]])*24)</f>
        <v>0.31666666666666671</v>
      </c>
      <c r="S589" s="261">
        <f>(Table6[[#This Row],[Fault Clearance time]]-Table6[[#This Row],[Work Start TimeStamp]])*24</f>
        <v>0.49999999999999989</v>
      </c>
      <c r="T589" s="261">
        <f>(Table6[[#This Row],[Fault Clearance time]]-Table6[[#This Row],[Fault Start TimeStamp]])*24</f>
        <v>0.81666666666666665</v>
      </c>
      <c r="U589" s="35" t="s">
        <v>398</v>
      </c>
      <c r="V589" s="102" t="s">
        <v>268</v>
      </c>
      <c r="W589" s="267">
        <f>IFERROR(Table6[[#This Row],[Breakdown Time]]*Table6[[#This Row],[Plant Equivalent Weightage]],"")</f>
        <v>3.1410256410256403E-2</v>
      </c>
      <c r="X589" s="262" t="s">
        <v>296</v>
      </c>
      <c r="Y589" s="263" t="s">
        <v>140</v>
      </c>
      <c r="Z589" s="102">
        <v>10926</v>
      </c>
      <c r="AA589" s="257">
        <f>(Table6[[#This Row],[Paired WTG Generation for loss calculation]]/24)*Table6[[#This Row],[Breakdown Time]]</f>
        <v>371.78749999999997</v>
      </c>
      <c r="AB589" s="102"/>
      <c r="AC589" s="35"/>
      <c r="AD589" s="35"/>
    </row>
    <row r="590" spans="1:30">
      <c r="A590" s="102">
        <f t="shared" ref="A590:A653" si="10">A589+1</f>
        <v>589</v>
      </c>
      <c r="B590" s="257">
        <f>YEAR(Table6[[#This Row],[Date]])+IF(MONTH(Table6[[#This Row],[Date]])&gt;=4,1,0)</f>
        <v>2026</v>
      </c>
      <c r="C590" s="102">
        <f>YEAR(Table6[[#This Row],[Date]])</f>
        <v>2025</v>
      </c>
      <c r="D590" s="102" t="s">
        <v>265</v>
      </c>
      <c r="E590" s="258">
        <f>Table6[[#This Row],[Date]]-DAY(Table6[[#This Row],[Date]])+1</f>
        <v>45778</v>
      </c>
      <c r="F590" s="259">
        <v>45783</v>
      </c>
      <c r="G590" s="35" t="s">
        <v>122</v>
      </c>
      <c r="H590" s="35" t="str">
        <f>IFERROR(_xlfn.XLOOKUP(Table6[[#This Row],[Affected WTG]],'Basic Data'!$A:$A,'Basic Data'!$B:$B),"")</f>
        <v>TQGXIIPL</v>
      </c>
      <c r="I590" s="35" t="str">
        <f>IFERROR(_xlfn.XLOOKUP(Table6[[#This Row],[Affected WTG]],'Basic Data'!$A:$A,'Basic Data'!$C:$C),"")</f>
        <v>GEDA</v>
      </c>
      <c r="J590" s="260">
        <f>IFERROR(_xlfn.XLOOKUP(Table6[[#This Row],[Affected WTG]],'Basic Data'!$A:$A,'Basic Data'!$E:$E),"")</f>
        <v>3.846153846153845E-2</v>
      </c>
      <c r="K590" s="102">
        <v>6130</v>
      </c>
      <c r="L590" s="35" t="str">
        <f>IFERROR(_xlfn.XLOOKUP(Table6[[#This Row],[Error Code]],'Basic Data'!$AA:$AA,'Basic Data'!$AB:$AB),"Incorrect Error Code")</f>
        <v>Yaw speed high</v>
      </c>
      <c r="M590" s="35" t="s">
        <v>278</v>
      </c>
      <c r="N590" s="264"/>
      <c r="O590" s="265">
        <v>0.55277777777777781</v>
      </c>
      <c r="P590" s="265">
        <v>0.55277777777777781</v>
      </c>
      <c r="Q590" s="266">
        <v>0.55694444444444446</v>
      </c>
      <c r="R590" s="261">
        <f>IF(Table6[[#This Row],[Work Start TimeStamp]]="","",(Table6[[#This Row],[Work Start TimeStamp]]-Table6[[#This Row],[Fault Start TimeStamp]])*24)</f>
        <v>0</v>
      </c>
      <c r="S590" s="261">
        <f>(Table6[[#This Row],[Fault Clearance time]]-Table6[[#This Row],[Work Start TimeStamp]])*24</f>
        <v>9.9999999999999645E-2</v>
      </c>
      <c r="T590" s="261">
        <f>(Table6[[#This Row],[Fault Clearance time]]-Table6[[#This Row],[Fault Start TimeStamp]])*24</f>
        <v>9.9999999999999645E-2</v>
      </c>
      <c r="U590" s="35" t="s">
        <v>277</v>
      </c>
      <c r="V590" s="102" t="s">
        <v>268</v>
      </c>
      <c r="W590" s="267">
        <f>IFERROR(Table6[[#This Row],[Breakdown Time]]*Table6[[#This Row],[Plant Equivalent Weightage]],"")</f>
        <v>3.8461538461538312E-3</v>
      </c>
      <c r="X590" s="262" t="s">
        <v>269</v>
      </c>
      <c r="Y590" s="263" t="s">
        <v>140</v>
      </c>
      <c r="Z590" s="102">
        <v>10926</v>
      </c>
      <c r="AA590" s="257">
        <f>(Table6[[#This Row],[Paired WTG Generation for loss calculation]]/24)*Table6[[#This Row],[Breakdown Time]]</f>
        <v>45.524999999999835</v>
      </c>
      <c r="AB590" s="102"/>
      <c r="AC590" s="35"/>
      <c r="AD590" s="35"/>
    </row>
    <row r="591" spans="1:30">
      <c r="A591" s="102">
        <f t="shared" si="10"/>
        <v>590</v>
      </c>
      <c r="B591" s="257">
        <f>YEAR(Table6[[#This Row],[Date]])+IF(MONTH(Table6[[#This Row],[Date]])&gt;=4,1,0)</f>
        <v>2026</v>
      </c>
      <c r="C591" s="102">
        <f>YEAR(Table6[[#This Row],[Date]])</f>
        <v>2025</v>
      </c>
      <c r="D591" s="102" t="s">
        <v>265</v>
      </c>
      <c r="E591" s="258">
        <f>Table6[[#This Row],[Date]]-DAY(Table6[[#This Row],[Date]])+1</f>
        <v>45778</v>
      </c>
      <c r="F591" s="259">
        <v>45783</v>
      </c>
      <c r="G591" s="35" t="s">
        <v>122</v>
      </c>
      <c r="H591" s="35" t="str">
        <f>IFERROR(_xlfn.XLOOKUP(Table6[[#This Row],[Affected WTG]],'Basic Data'!$A:$A,'Basic Data'!$B:$B),"")</f>
        <v>TQGXIIPL</v>
      </c>
      <c r="I591" s="35" t="str">
        <f>IFERROR(_xlfn.XLOOKUP(Table6[[#This Row],[Affected WTG]],'Basic Data'!$A:$A,'Basic Data'!$C:$C),"")</f>
        <v>GEDA</v>
      </c>
      <c r="J591" s="260">
        <f>IFERROR(_xlfn.XLOOKUP(Table6[[#This Row],[Affected WTG]],'Basic Data'!$A:$A,'Basic Data'!$E:$E),"")</f>
        <v>3.846153846153845E-2</v>
      </c>
      <c r="K591" s="102">
        <v>6130</v>
      </c>
      <c r="L591" s="35" t="str">
        <f>IFERROR(_xlfn.XLOOKUP(Table6[[#This Row],[Error Code]],'Basic Data'!$AA:$AA,'Basic Data'!$AB:$AB),"Incorrect Error Code")</f>
        <v>Yaw speed high</v>
      </c>
      <c r="M591" s="35" t="s">
        <v>278</v>
      </c>
      <c r="N591" s="264"/>
      <c r="O591" s="265">
        <v>0.6479166666666667</v>
      </c>
      <c r="P591" s="265">
        <v>0.6479166666666667</v>
      </c>
      <c r="Q591" s="266">
        <v>0.66249999999999998</v>
      </c>
      <c r="R591" s="261">
        <f>IF(Table6[[#This Row],[Work Start TimeStamp]]="","",(Table6[[#This Row],[Work Start TimeStamp]]-Table6[[#This Row],[Fault Start TimeStamp]])*24)</f>
        <v>0</v>
      </c>
      <c r="S591" s="261">
        <f>(Table6[[#This Row],[Fault Clearance time]]-Table6[[#This Row],[Work Start TimeStamp]])*24</f>
        <v>0.34999999999999876</v>
      </c>
      <c r="T591" s="261">
        <f>(Table6[[#This Row],[Fault Clearance time]]-Table6[[#This Row],[Fault Start TimeStamp]])*24</f>
        <v>0.34999999999999876</v>
      </c>
      <c r="U591" s="35" t="s">
        <v>277</v>
      </c>
      <c r="V591" s="102" t="s">
        <v>268</v>
      </c>
      <c r="W591" s="267">
        <f>IFERROR(Table6[[#This Row],[Breakdown Time]]*Table6[[#This Row],[Plant Equivalent Weightage]],"")</f>
        <v>1.346153846153841E-2</v>
      </c>
      <c r="X591" s="262" t="s">
        <v>269</v>
      </c>
      <c r="Y591" s="263" t="s">
        <v>140</v>
      </c>
      <c r="Z591" s="102">
        <v>10926</v>
      </c>
      <c r="AA591" s="257">
        <f>(Table6[[#This Row],[Paired WTG Generation for loss calculation]]/24)*Table6[[#This Row],[Breakdown Time]]</f>
        <v>159.33749999999944</v>
      </c>
      <c r="AB591" s="102"/>
      <c r="AC591" s="35"/>
      <c r="AD591" s="35"/>
    </row>
    <row r="592" spans="1:30">
      <c r="A592" s="102">
        <f t="shared" si="10"/>
        <v>591</v>
      </c>
      <c r="B592" s="257">
        <f>YEAR(Table6[[#This Row],[Date]])+IF(MONTH(Table6[[#This Row],[Date]])&gt;=4,1,0)</f>
        <v>2026</v>
      </c>
      <c r="C592" s="102">
        <f>YEAR(Table6[[#This Row],[Date]])</f>
        <v>2025</v>
      </c>
      <c r="D592" s="102" t="s">
        <v>265</v>
      </c>
      <c r="E592" s="258">
        <f>Table6[[#This Row],[Date]]-DAY(Table6[[#This Row],[Date]])+1</f>
        <v>45778</v>
      </c>
      <c r="F592" s="259">
        <v>45783</v>
      </c>
      <c r="G592" s="35" t="s">
        <v>123</v>
      </c>
      <c r="H592" s="35" t="str">
        <f>IFERROR(_xlfn.XLOOKUP(Table6[[#This Row],[Affected WTG]],'Basic Data'!$A:$A,'Basic Data'!$B:$B),"")</f>
        <v>TQGXIIPL</v>
      </c>
      <c r="I592" s="35" t="str">
        <f>IFERROR(_xlfn.XLOOKUP(Table6[[#This Row],[Affected WTG]],'Basic Data'!$A:$A,'Basic Data'!$C:$C),"")</f>
        <v>GEDA</v>
      </c>
      <c r="J592" s="260">
        <f>IFERROR(_xlfn.XLOOKUP(Table6[[#This Row],[Affected WTG]],'Basic Data'!$A:$A,'Basic Data'!$E:$E),"")</f>
        <v>3.846153846153845E-2</v>
      </c>
      <c r="K592" s="102">
        <v>64</v>
      </c>
      <c r="L592" s="35" t="str">
        <f>IFERROR(_xlfn.XLOOKUP(Table6[[#This Row],[Error Code]],'Basic Data'!$AA:$AA,'Basic Data'!$AB:$AB),"Incorrect Error Code")</f>
        <v>Max. wind speed</v>
      </c>
      <c r="M592" s="35" t="s">
        <v>395</v>
      </c>
      <c r="N592" s="264"/>
      <c r="O592" s="265">
        <v>0.63124999999999998</v>
      </c>
      <c r="P592" s="265">
        <v>0.63124999999999998</v>
      </c>
      <c r="Q592" s="266">
        <v>0.63263888888888886</v>
      </c>
      <c r="R592" s="261">
        <f>IF(Table6[[#This Row],[Work Start TimeStamp]]="","",(Table6[[#This Row],[Work Start TimeStamp]]-Table6[[#This Row],[Fault Start TimeStamp]])*24)</f>
        <v>0</v>
      </c>
      <c r="S592" s="261">
        <f>(Table6[[#This Row],[Fault Clearance time]]-Table6[[#This Row],[Work Start TimeStamp]])*24</f>
        <v>3.3333333333333215E-2</v>
      </c>
      <c r="T592" s="261">
        <f>(Table6[[#This Row],[Fault Clearance time]]-Table6[[#This Row],[Fault Start TimeStamp]])*24</f>
        <v>3.3333333333333215E-2</v>
      </c>
      <c r="U592" s="35" t="s">
        <v>277</v>
      </c>
      <c r="V592" s="102" t="s">
        <v>268</v>
      </c>
      <c r="W592" s="267">
        <f>IFERROR(Table6[[#This Row],[Breakdown Time]]*Table6[[#This Row],[Plant Equivalent Weightage]],"")</f>
        <v>1.2820512820512771E-3</v>
      </c>
      <c r="X592" s="262" t="s">
        <v>269</v>
      </c>
      <c r="Y592" s="263" t="s">
        <v>117</v>
      </c>
      <c r="Z592" s="102">
        <v>15302</v>
      </c>
      <c r="AA592" s="257">
        <f>(Table6[[#This Row],[Paired WTG Generation for loss calculation]]/24)*Table6[[#This Row],[Breakdown Time]]</f>
        <v>21.252777777777702</v>
      </c>
      <c r="AB592" s="102"/>
      <c r="AC592" s="35"/>
      <c r="AD592" s="35"/>
    </row>
    <row r="593" spans="1:30">
      <c r="A593" s="102">
        <f t="shared" si="10"/>
        <v>592</v>
      </c>
      <c r="B593" s="257">
        <f>YEAR(Table6[[#This Row],[Date]])+IF(MONTH(Table6[[#This Row],[Date]])&gt;=4,1,0)</f>
        <v>2026</v>
      </c>
      <c r="C593" s="102">
        <f>YEAR(Table6[[#This Row],[Date]])</f>
        <v>2025</v>
      </c>
      <c r="D593" s="102" t="s">
        <v>265</v>
      </c>
      <c r="E593" s="258">
        <f>Table6[[#This Row],[Date]]-DAY(Table6[[#This Row],[Date]])+1</f>
        <v>45778</v>
      </c>
      <c r="F593" s="259">
        <v>45783</v>
      </c>
      <c r="G593" s="35" t="s">
        <v>124</v>
      </c>
      <c r="H593" s="35" t="str">
        <f>IFERROR(_xlfn.XLOOKUP(Table6[[#This Row],[Affected WTG]],'Basic Data'!$A:$A,'Basic Data'!$B:$B),"")</f>
        <v>TQGXIIPL</v>
      </c>
      <c r="I593" s="35" t="str">
        <f>IFERROR(_xlfn.XLOOKUP(Table6[[#This Row],[Affected WTG]],'Basic Data'!$A:$A,'Basic Data'!$C:$C),"")</f>
        <v>GEDA</v>
      </c>
      <c r="J593" s="260">
        <f>IFERROR(_xlfn.XLOOKUP(Table6[[#This Row],[Affected WTG]],'Basic Data'!$A:$A,'Basic Data'!$E:$E),"")</f>
        <v>3.846153846153845E-2</v>
      </c>
      <c r="K593" s="102">
        <v>64</v>
      </c>
      <c r="L593" s="35" t="str">
        <f>IFERROR(_xlfn.XLOOKUP(Table6[[#This Row],[Error Code]],'Basic Data'!$AA:$AA,'Basic Data'!$AB:$AB),"Incorrect Error Code")</f>
        <v>Max. wind speed</v>
      </c>
      <c r="M593" s="35" t="s">
        <v>395</v>
      </c>
      <c r="N593" s="264"/>
      <c r="O593" s="265">
        <v>0.63402777777777775</v>
      </c>
      <c r="P593" s="265">
        <v>0.63402777777777775</v>
      </c>
      <c r="Q593" s="266">
        <v>0.6381944444444444</v>
      </c>
      <c r="R593" s="261">
        <f>IF(Table6[[#This Row],[Work Start TimeStamp]]="","",(Table6[[#This Row],[Work Start TimeStamp]]-Table6[[#This Row],[Fault Start TimeStamp]])*24)</f>
        <v>0</v>
      </c>
      <c r="S593" s="261">
        <f>(Table6[[#This Row],[Fault Clearance time]]-Table6[[#This Row],[Work Start TimeStamp]])*24</f>
        <v>9.9999999999999645E-2</v>
      </c>
      <c r="T593" s="261">
        <f>(Table6[[#This Row],[Fault Clearance time]]-Table6[[#This Row],[Fault Start TimeStamp]])*24</f>
        <v>9.9999999999999645E-2</v>
      </c>
      <c r="U593" s="35" t="s">
        <v>277</v>
      </c>
      <c r="V593" s="102" t="s">
        <v>268</v>
      </c>
      <c r="W593" s="267">
        <f>IFERROR(Table6[[#This Row],[Breakdown Time]]*Table6[[#This Row],[Plant Equivalent Weightage]],"")</f>
        <v>3.8461538461538312E-3</v>
      </c>
      <c r="X593" s="262" t="s">
        <v>269</v>
      </c>
      <c r="Y593" s="263" t="s">
        <v>129</v>
      </c>
      <c r="Z593" s="102">
        <v>17961</v>
      </c>
      <c r="AA593" s="257">
        <f>(Table6[[#This Row],[Paired WTG Generation for loss calculation]]/24)*Table6[[#This Row],[Breakdown Time]]</f>
        <v>74.837499999999736</v>
      </c>
      <c r="AB593" s="102"/>
      <c r="AC593" s="35"/>
      <c r="AD593" s="35"/>
    </row>
    <row r="594" spans="1:30">
      <c r="A594" s="102">
        <f t="shared" si="10"/>
        <v>593</v>
      </c>
      <c r="B594" s="257">
        <f>YEAR(Table6[[#This Row],[Date]])+IF(MONTH(Table6[[#This Row],[Date]])&gt;=4,1,0)</f>
        <v>2026</v>
      </c>
      <c r="C594" s="102">
        <f>YEAR(Table6[[#This Row],[Date]])</f>
        <v>2025</v>
      </c>
      <c r="D594" s="102" t="s">
        <v>265</v>
      </c>
      <c r="E594" s="258">
        <f>Table6[[#This Row],[Date]]-DAY(Table6[[#This Row],[Date]])+1</f>
        <v>45778</v>
      </c>
      <c r="F594" s="259">
        <v>45783</v>
      </c>
      <c r="G594" s="35" t="s">
        <v>124</v>
      </c>
      <c r="H594" s="35" t="str">
        <f>IFERROR(_xlfn.XLOOKUP(Table6[[#This Row],[Affected WTG]],'Basic Data'!$A:$A,'Basic Data'!$B:$B),"")</f>
        <v>TQGXIIPL</v>
      </c>
      <c r="I594" s="35" t="str">
        <f>IFERROR(_xlfn.XLOOKUP(Table6[[#This Row],[Affected WTG]],'Basic Data'!$A:$A,'Basic Data'!$C:$C),"")</f>
        <v>GEDA</v>
      </c>
      <c r="J594" s="260">
        <f>IFERROR(_xlfn.XLOOKUP(Table6[[#This Row],[Affected WTG]],'Basic Data'!$A:$A,'Basic Data'!$E:$E),"")</f>
        <v>3.846153846153845E-2</v>
      </c>
      <c r="K594" s="102">
        <v>6130</v>
      </c>
      <c r="L594" s="35" t="str">
        <f>IFERROR(_xlfn.XLOOKUP(Table6[[#This Row],[Error Code]],'Basic Data'!$AA:$AA,'Basic Data'!$AB:$AB),"Incorrect Error Code")</f>
        <v>Yaw speed high</v>
      </c>
      <c r="M594" s="35" t="s">
        <v>278</v>
      </c>
      <c r="N594" s="264"/>
      <c r="O594" s="265">
        <v>0.65</v>
      </c>
      <c r="P594" s="265">
        <v>0.65</v>
      </c>
      <c r="Q594" s="266">
        <v>0.65416666666666667</v>
      </c>
      <c r="R594" s="261">
        <f>IF(Table6[[#This Row],[Work Start TimeStamp]]="","",(Table6[[#This Row],[Work Start TimeStamp]]-Table6[[#This Row],[Fault Start TimeStamp]])*24)</f>
        <v>0</v>
      </c>
      <c r="S594" s="261">
        <f>(Table6[[#This Row],[Fault Clearance time]]-Table6[[#This Row],[Work Start TimeStamp]])*24</f>
        <v>9.9999999999999645E-2</v>
      </c>
      <c r="T594" s="261">
        <f>(Table6[[#This Row],[Fault Clearance time]]-Table6[[#This Row],[Fault Start TimeStamp]])*24</f>
        <v>9.9999999999999645E-2</v>
      </c>
      <c r="U594" s="35" t="s">
        <v>277</v>
      </c>
      <c r="V594" s="102" t="s">
        <v>268</v>
      </c>
      <c r="W594" s="267">
        <f>IFERROR(Table6[[#This Row],[Breakdown Time]]*Table6[[#This Row],[Plant Equivalent Weightage]],"")</f>
        <v>3.8461538461538312E-3</v>
      </c>
      <c r="X594" s="262" t="s">
        <v>269</v>
      </c>
      <c r="Y594" s="263" t="s">
        <v>129</v>
      </c>
      <c r="Z594" s="102">
        <v>17961</v>
      </c>
      <c r="AA594" s="257">
        <f>(Table6[[#This Row],[Paired WTG Generation for loss calculation]]/24)*Table6[[#This Row],[Breakdown Time]]</f>
        <v>74.837499999999736</v>
      </c>
      <c r="AB594" s="102"/>
      <c r="AC594" s="35"/>
      <c r="AD594" s="35"/>
    </row>
    <row r="595" spans="1:30">
      <c r="A595" s="102">
        <f t="shared" si="10"/>
        <v>594</v>
      </c>
      <c r="B595" s="257">
        <f>YEAR(Table6[[#This Row],[Date]])+IF(MONTH(Table6[[#This Row],[Date]])&gt;=4,1,0)</f>
        <v>2026</v>
      </c>
      <c r="C595" s="102">
        <f>YEAR(Table6[[#This Row],[Date]])</f>
        <v>2025</v>
      </c>
      <c r="D595" s="102" t="s">
        <v>265</v>
      </c>
      <c r="E595" s="258">
        <f>Table6[[#This Row],[Date]]-DAY(Table6[[#This Row],[Date]])+1</f>
        <v>45778</v>
      </c>
      <c r="F595" s="259">
        <v>45783</v>
      </c>
      <c r="G595" s="35" t="s">
        <v>125</v>
      </c>
      <c r="H595" s="35" t="str">
        <f>IFERROR(_xlfn.XLOOKUP(Table6[[#This Row],[Affected WTG]],'Basic Data'!$A:$A,'Basic Data'!$B:$B),"")</f>
        <v>TQGXIIPL</v>
      </c>
      <c r="I595" s="35" t="str">
        <f>IFERROR(_xlfn.XLOOKUP(Table6[[#This Row],[Affected WTG]],'Basic Data'!$A:$A,'Basic Data'!$C:$C),"")</f>
        <v>GEDA</v>
      </c>
      <c r="J595" s="260">
        <f>IFERROR(_xlfn.XLOOKUP(Table6[[#This Row],[Affected WTG]],'Basic Data'!$A:$A,'Basic Data'!$E:$E),"")</f>
        <v>3.846153846153845E-2</v>
      </c>
      <c r="K595" s="102">
        <v>64</v>
      </c>
      <c r="L595" s="35" t="str">
        <f>IFERROR(_xlfn.XLOOKUP(Table6[[#This Row],[Error Code]],'Basic Data'!$AA:$AA,'Basic Data'!$AB:$AB),"Incorrect Error Code")</f>
        <v>Max. wind speed</v>
      </c>
      <c r="M595" s="35" t="s">
        <v>395</v>
      </c>
      <c r="N595" s="264"/>
      <c r="O595" s="265">
        <v>0.625</v>
      </c>
      <c r="P595" s="265">
        <v>0.625</v>
      </c>
      <c r="Q595" s="266">
        <v>0.63472222222222219</v>
      </c>
      <c r="R595" s="261">
        <f>IF(Table6[[#This Row],[Work Start TimeStamp]]="","",(Table6[[#This Row],[Work Start TimeStamp]]-Table6[[#This Row],[Fault Start TimeStamp]])*24)</f>
        <v>0</v>
      </c>
      <c r="S595" s="261">
        <f>(Table6[[#This Row],[Fault Clearance time]]-Table6[[#This Row],[Work Start TimeStamp]])*24</f>
        <v>0.2333333333333325</v>
      </c>
      <c r="T595" s="261">
        <f>(Table6[[#This Row],[Fault Clearance time]]-Table6[[#This Row],[Fault Start TimeStamp]])*24</f>
        <v>0.2333333333333325</v>
      </c>
      <c r="U595" s="35" t="s">
        <v>277</v>
      </c>
      <c r="V595" s="102" t="s">
        <v>268</v>
      </c>
      <c r="W595" s="267">
        <f>IFERROR(Table6[[#This Row],[Breakdown Time]]*Table6[[#This Row],[Plant Equivalent Weightage]],"")</f>
        <v>8.974358974358939E-3</v>
      </c>
      <c r="X595" s="262" t="s">
        <v>269</v>
      </c>
      <c r="Y595" s="263" t="s">
        <v>126</v>
      </c>
      <c r="Z595" s="102">
        <v>15671</v>
      </c>
      <c r="AA595" s="257">
        <f>(Table6[[#This Row],[Paired WTG Generation for loss calculation]]/24)*Table6[[#This Row],[Breakdown Time]]</f>
        <v>152.35694444444391</v>
      </c>
      <c r="AB595" s="102"/>
      <c r="AC595" s="35"/>
      <c r="AD595" s="35"/>
    </row>
    <row r="596" spans="1:30">
      <c r="A596" s="102">
        <f t="shared" si="10"/>
        <v>595</v>
      </c>
      <c r="B596" s="257">
        <f>YEAR(Table6[[#This Row],[Date]])+IF(MONTH(Table6[[#This Row],[Date]])&gt;=4,1,0)</f>
        <v>2026</v>
      </c>
      <c r="C596" s="102">
        <f>YEAR(Table6[[#This Row],[Date]])</f>
        <v>2025</v>
      </c>
      <c r="D596" s="102" t="s">
        <v>265</v>
      </c>
      <c r="E596" s="258">
        <f>Table6[[#This Row],[Date]]-DAY(Table6[[#This Row],[Date]])+1</f>
        <v>45778</v>
      </c>
      <c r="F596" s="259">
        <v>45783</v>
      </c>
      <c r="G596" s="35" t="s">
        <v>126</v>
      </c>
      <c r="H596" s="35" t="str">
        <f>IFERROR(_xlfn.XLOOKUP(Table6[[#This Row],[Affected WTG]],'Basic Data'!$A:$A,'Basic Data'!$B:$B),"")</f>
        <v>TQGXIIPL</v>
      </c>
      <c r="I596" s="35" t="str">
        <f>IFERROR(_xlfn.XLOOKUP(Table6[[#This Row],[Affected WTG]],'Basic Data'!$A:$A,'Basic Data'!$C:$C),"")</f>
        <v>GEDA</v>
      </c>
      <c r="J596" s="260">
        <f>IFERROR(_xlfn.XLOOKUP(Table6[[#This Row],[Affected WTG]],'Basic Data'!$A:$A,'Basic Data'!$E:$E),"")</f>
        <v>3.846153846153845E-2</v>
      </c>
      <c r="K596" s="102">
        <v>64</v>
      </c>
      <c r="L596" s="35" t="str">
        <f>IFERROR(_xlfn.XLOOKUP(Table6[[#This Row],[Error Code]],'Basic Data'!$AA:$AA,'Basic Data'!$AB:$AB),"Incorrect Error Code")</f>
        <v>Max. wind speed</v>
      </c>
      <c r="M596" s="35" t="s">
        <v>395</v>
      </c>
      <c r="N596" s="264"/>
      <c r="O596" s="265">
        <v>0.62916666666666665</v>
      </c>
      <c r="P596" s="265">
        <v>0.62916666666666665</v>
      </c>
      <c r="Q596" s="266">
        <v>0.6430555555555556</v>
      </c>
      <c r="R596" s="261">
        <f>IF(Table6[[#This Row],[Work Start TimeStamp]]="","",(Table6[[#This Row],[Work Start TimeStamp]]-Table6[[#This Row],[Fault Start TimeStamp]])*24)</f>
        <v>0</v>
      </c>
      <c r="S596" s="261">
        <f>(Table6[[#This Row],[Fault Clearance time]]-Table6[[#This Row],[Work Start TimeStamp]])*24</f>
        <v>0.33333333333333481</v>
      </c>
      <c r="T596" s="261">
        <f>(Table6[[#This Row],[Fault Clearance time]]-Table6[[#This Row],[Fault Start TimeStamp]])*24</f>
        <v>0.33333333333333481</v>
      </c>
      <c r="U596" s="35" t="s">
        <v>277</v>
      </c>
      <c r="V596" s="102" t="s">
        <v>268</v>
      </c>
      <c r="W596" s="267">
        <f>IFERROR(Table6[[#This Row],[Breakdown Time]]*Table6[[#This Row],[Plant Equivalent Weightage]],"")</f>
        <v>1.2820512820512874E-2</v>
      </c>
      <c r="X596" s="262" t="s">
        <v>269</v>
      </c>
      <c r="Y596" s="263" t="s">
        <v>128</v>
      </c>
      <c r="Z596" s="102">
        <v>16788</v>
      </c>
      <c r="AA596" s="257">
        <f>(Table6[[#This Row],[Paired WTG Generation for loss calculation]]/24)*Table6[[#This Row],[Breakdown Time]]</f>
        <v>233.16666666666771</v>
      </c>
      <c r="AB596" s="102"/>
      <c r="AC596" s="35"/>
      <c r="AD596" s="35"/>
    </row>
    <row r="597" spans="1:30">
      <c r="A597" s="102">
        <f t="shared" si="10"/>
        <v>596</v>
      </c>
      <c r="B597" s="257">
        <f>YEAR(Table6[[#This Row],[Date]])+IF(MONTH(Table6[[#This Row],[Date]])&gt;=4,1,0)</f>
        <v>2026</v>
      </c>
      <c r="C597" s="102">
        <f>YEAR(Table6[[#This Row],[Date]])</f>
        <v>2025</v>
      </c>
      <c r="D597" s="102" t="s">
        <v>265</v>
      </c>
      <c r="E597" s="258">
        <f>Table6[[#This Row],[Date]]-DAY(Table6[[#This Row],[Date]])+1</f>
        <v>45778</v>
      </c>
      <c r="F597" s="259">
        <v>45783</v>
      </c>
      <c r="G597" s="35" t="s">
        <v>127</v>
      </c>
      <c r="H597" s="35" t="str">
        <f>IFERROR(_xlfn.XLOOKUP(Table6[[#This Row],[Affected WTG]],'Basic Data'!$A:$A,'Basic Data'!$B:$B),"")</f>
        <v>TQGXIIPL</v>
      </c>
      <c r="I597" s="35" t="str">
        <f>IFERROR(_xlfn.XLOOKUP(Table6[[#This Row],[Affected WTG]],'Basic Data'!$A:$A,'Basic Data'!$C:$C),"")</f>
        <v>GEDA</v>
      </c>
      <c r="J597" s="260">
        <f>IFERROR(_xlfn.XLOOKUP(Table6[[#This Row],[Affected WTG]],'Basic Data'!$A:$A,'Basic Data'!$E:$E),"")</f>
        <v>3.846153846153845E-2</v>
      </c>
      <c r="K597" s="102">
        <v>6130</v>
      </c>
      <c r="L597" s="35" t="str">
        <f>IFERROR(_xlfn.XLOOKUP(Table6[[#This Row],[Error Code]],'Basic Data'!$AA:$AA,'Basic Data'!$AB:$AB),"Incorrect Error Code")</f>
        <v>Yaw speed high</v>
      </c>
      <c r="M597" s="35" t="s">
        <v>278</v>
      </c>
      <c r="N597" s="264"/>
      <c r="O597" s="265">
        <v>0.47708333333333336</v>
      </c>
      <c r="P597" s="265">
        <v>0.47708333333333336</v>
      </c>
      <c r="Q597" s="266">
        <v>0.48125000000000001</v>
      </c>
      <c r="R597" s="261">
        <f>IF(Table6[[#This Row],[Work Start TimeStamp]]="","",(Table6[[#This Row],[Work Start TimeStamp]]-Table6[[#This Row],[Fault Start TimeStamp]])*24)</f>
        <v>0</v>
      </c>
      <c r="S597" s="261">
        <f>(Table6[[#This Row],[Fault Clearance time]]-Table6[[#This Row],[Work Start TimeStamp]])*24</f>
        <v>9.9999999999999645E-2</v>
      </c>
      <c r="T597" s="261">
        <f>(Table6[[#This Row],[Fault Clearance time]]-Table6[[#This Row],[Fault Start TimeStamp]])*24</f>
        <v>9.9999999999999645E-2</v>
      </c>
      <c r="U597" s="35" t="s">
        <v>277</v>
      </c>
      <c r="V597" s="102" t="s">
        <v>268</v>
      </c>
      <c r="W597" s="267">
        <f>IFERROR(Table6[[#This Row],[Breakdown Time]]*Table6[[#This Row],[Plant Equivalent Weightage]],"")</f>
        <v>3.8461538461538312E-3</v>
      </c>
      <c r="X597" s="262" t="s">
        <v>269</v>
      </c>
      <c r="Y597" s="263" t="s">
        <v>125</v>
      </c>
      <c r="Z597" s="102">
        <v>16459</v>
      </c>
      <c r="AA597" s="257">
        <f>(Table6[[#This Row],[Paired WTG Generation for loss calculation]]/24)*Table6[[#This Row],[Breakdown Time]]</f>
        <v>68.579166666666424</v>
      </c>
      <c r="AB597" s="102"/>
      <c r="AC597" s="35"/>
      <c r="AD597" s="35"/>
    </row>
    <row r="598" spans="1:30">
      <c r="A598" s="102">
        <f t="shared" si="10"/>
        <v>597</v>
      </c>
      <c r="B598" s="257">
        <f>YEAR(Table6[[#This Row],[Date]])+IF(MONTH(Table6[[#This Row],[Date]])&gt;=4,1,0)</f>
        <v>2026</v>
      </c>
      <c r="C598" s="102">
        <f>YEAR(Table6[[#This Row],[Date]])</f>
        <v>2025</v>
      </c>
      <c r="D598" s="102" t="s">
        <v>265</v>
      </c>
      <c r="E598" s="258">
        <f>Table6[[#This Row],[Date]]-DAY(Table6[[#This Row],[Date]])+1</f>
        <v>45778</v>
      </c>
      <c r="F598" s="259">
        <v>45783</v>
      </c>
      <c r="G598" s="35" t="s">
        <v>129</v>
      </c>
      <c r="H598" s="35" t="str">
        <f>IFERROR(_xlfn.XLOOKUP(Table6[[#This Row],[Affected WTG]],'Basic Data'!$A:$A,'Basic Data'!$B:$B),"")</f>
        <v>TQGXIIPL</v>
      </c>
      <c r="I598" s="35" t="str">
        <f>IFERROR(_xlfn.XLOOKUP(Table6[[#This Row],[Affected WTG]],'Basic Data'!$A:$A,'Basic Data'!$C:$C),"")</f>
        <v>GEDA</v>
      </c>
      <c r="J598" s="260">
        <f>IFERROR(_xlfn.XLOOKUP(Table6[[#This Row],[Affected WTG]],'Basic Data'!$A:$A,'Basic Data'!$E:$E),"")</f>
        <v>3.846153846153845E-2</v>
      </c>
      <c r="K598" s="102">
        <v>6056</v>
      </c>
      <c r="L598" s="35" t="str">
        <f>IFERROR(_xlfn.XLOOKUP(Table6[[#This Row],[Error Code]],'Basic Data'!$AA:$AA,'Basic Data'!$AB:$AB),"Incorrect Error Code")</f>
        <v>High yaw load</v>
      </c>
      <c r="M598" s="35" t="s">
        <v>278</v>
      </c>
      <c r="N598" s="264"/>
      <c r="O598" s="265">
        <v>0.63888888888888884</v>
      </c>
      <c r="P598" s="265">
        <v>0.63888888888888884</v>
      </c>
      <c r="Q598" s="266">
        <v>0.64097222222222228</v>
      </c>
      <c r="R598" s="261">
        <f>IF(Table6[[#This Row],[Work Start TimeStamp]]="","",(Table6[[#This Row],[Work Start TimeStamp]]-Table6[[#This Row],[Fault Start TimeStamp]])*24)</f>
        <v>0</v>
      </c>
      <c r="S598" s="261">
        <f>(Table6[[#This Row],[Fault Clearance time]]-Table6[[#This Row],[Work Start TimeStamp]])*24</f>
        <v>5.0000000000002487E-2</v>
      </c>
      <c r="T598" s="261">
        <f>(Table6[[#This Row],[Fault Clearance time]]-Table6[[#This Row],[Fault Start TimeStamp]])*24</f>
        <v>5.0000000000002487E-2</v>
      </c>
      <c r="U598" s="35" t="s">
        <v>277</v>
      </c>
      <c r="V598" s="102" t="s">
        <v>268</v>
      </c>
      <c r="W598" s="267">
        <f>IFERROR(Table6[[#This Row],[Breakdown Time]]*Table6[[#This Row],[Plant Equivalent Weightage]],"")</f>
        <v>1.9230769230770182E-3</v>
      </c>
      <c r="X598" s="262" t="s">
        <v>269</v>
      </c>
      <c r="Y598" s="263" t="s">
        <v>124</v>
      </c>
      <c r="Z598" s="102">
        <v>18504</v>
      </c>
      <c r="AA598" s="257">
        <f>(Table6[[#This Row],[Paired WTG Generation for loss calculation]]/24)*Table6[[#This Row],[Breakdown Time]]</f>
        <v>38.550000000001916</v>
      </c>
      <c r="AB598" s="102"/>
      <c r="AC598" s="35"/>
      <c r="AD598" s="35"/>
    </row>
    <row r="599" spans="1:30">
      <c r="A599" s="102">
        <f t="shared" si="10"/>
        <v>598</v>
      </c>
      <c r="B599" s="257">
        <f>YEAR(Table6[[#This Row],[Date]])+IF(MONTH(Table6[[#This Row],[Date]])&gt;=4,1,0)</f>
        <v>2026</v>
      </c>
      <c r="C599" s="102">
        <f>YEAR(Table6[[#This Row],[Date]])</f>
        <v>2025</v>
      </c>
      <c r="D599" s="102" t="s">
        <v>265</v>
      </c>
      <c r="E599" s="258">
        <f>Table6[[#This Row],[Date]]-DAY(Table6[[#This Row],[Date]])+1</f>
        <v>45778</v>
      </c>
      <c r="F599" s="259">
        <v>45783</v>
      </c>
      <c r="G599" s="35" t="s">
        <v>130</v>
      </c>
      <c r="H599" s="35" t="str">
        <f>IFERROR(_xlfn.XLOOKUP(Table6[[#This Row],[Affected WTG]],'Basic Data'!$A:$A,'Basic Data'!$B:$B),"")</f>
        <v>TQGXIIPL</v>
      </c>
      <c r="I599" s="35" t="str">
        <f>IFERROR(_xlfn.XLOOKUP(Table6[[#This Row],[Affected WTG]],'Basic Data'!$A:$A,'Basic Data'!$C:$C),"")</f>
        <v>GEDA</v>
      </c>
      <c r="J599" s="260">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291</v>
      </c>
      <c r="N599" s="264"/>
      <c r="O599" s="265">
        <v>4.583333333333333E-2</v>
      </c>
      <c r="P599" s="265">
        <v>4.583333333333333E-2</v>
      </c>
      <c r="Q599" s="266">
        <v>0.64652777777777781</v>
      </c>
      <c r="R599" s="261">
        <f>IF(Table6[[#This Row],[Work Start TimeStamp]]="","",(Table6[[#This Row],[Work Start TimeStamp]]-Table6[[#This Row],[Fault Start TimeStamp]])*24)</f>
        <v>0</v>
      </c>
      <c r="S599" s="261">
        <f>(Table6[[#This Row],[Fault Clearance time]]-Table6[[#This Row],[Work Start TimeStamp]])*24</f>
        <v>14.416666666666668</v>
      </c>
      <c r="T599" s="261">
        <f>(Table6[[#This Row],[Fault Clearance time]]-Table6[[#This Row],[Fault Start TimeStamp]])*24</f>
        <v>14.416666666666668</v>
      </c>
      <c r="U599" s="35" t="s">
        <v>399</v>
      </c>
      <c r="V599" s="102" t="s">
        <v>268</v>
      </c>
      <c r="W599" s="267">
        <f>IFERROR(Table6[[#This Row],[Breakdown Time]]*Table6[[#This Row],[Plant Equivalent Weightage]],"")</f>
        <v>0.5544871794871794</v>
      </c>
      <c r="X599" s="262" t="s">
        <v>296</v>
      </c>
      <c r="Y599" s="263" t="s">
        <v>135</v>
      </c>
      <c r="Z599" s="102">
        <v>23651</v>
      </c>
      <c r="AA599" s="257">
        <f>(Table6[[#This Row],[Paired WTG Generation for loss calculation]]/24)*Table6[[#This Row],[Breakdown Time]]</f>
        <v>14207.024305555557</v>
      </c>
      <c r="AB599" s="102"/>
      <c r="AC599" s="35"/>
      <c r="AD599" s="35"/>
    </row>
    <row r="600" spans="1:30">
      <c r="A600" s="102">
        <f t="shared" si="10"/>
        <v>599</v>
      </c>
      <c r="B600" s="257">
        <f>YEAR(Table6[[#This Row],[Date]])+IF(MONTH(Table6[[#This Row],[Date]])&gt;=4,1,0)</f>
        <v>2026</v>
      </c>
      <c r="C600" s="102">
        <f>YEAR(Table6[[#This Row],[Date]])</f>
        <v>2025</v>
      </c>
      <c r="D600" s="102" t="s">
        <v>265</v>
      </c>
      <c r="E600" s="258">
        <f>Table6[[#This Row],[Date]]-DAY(Table6[[#This Row],[Date]])+1</f>
        <v>45778</v>
      </c>
      <c r="F600" s="259">
        <v>45783</v>
      </c>
      <c r="G600" s="35" t="s">
        <v>130</v>
      </c>
      <c r="H600" s="35" t="str">
        <f>IFERROR(_xlfn.XLOOKUP(Table6[[#This Row],[Affected WTG]],'Basic Data'!$A:$A,'Basic Data'!$B:$B),"")</f>
        <v>TQGXIIPL</v>
      </c>
      <c r="I600" s="35" t="str">
        <f>IFERROR(_xlfn.XLOOKUP(Table6[[#This Row],[Affected WTG]],'Basic Data'!$A:$A,'Basic Data'!$C:$C),"")</f>
        <v>GEDA</v>
      </c>
      <c r="J600" s="260">
        <f>IFERROR(_xlfn.XLOOKUP(Table6[[#This Row],[Affected WTG]],'Basic Data'!$A:$A,'Basic Data'!$E:$E),"")</f>
        <v>3.846153846153845E-2</v>
      </c>
      <c r="K600" s="102">
        <v>3000</v>
      </c>
      <c r="L600" s="35" t="str">
        <f>IFERROR(_xlfn.XLOOKUP(Table6[[#This Row],[Error Code]],'Basic Data'!$AA:$AA,'Basic Data'!$AB:$AB),"Incorrect Error Code")</f>
        <v>Frequency converter not ready</v>
      </c>
      <c r="M600" s="35" t="s">
        <v>400</v>
      </c>
      <c r="N600" s="264"/>
      <c r="O600" s="265">
        <v>0.86736111111111114</v>
      </c>
      <c r="P600" s="265">
        <v>0.86736111111111114</v>
      </c>
      <c r="Q600" s="266">
        <v>1</v>
      </c>
      <c r="R600" s="261">
        <f>IF(Table6[[#This Row],[Work Start TimeStamp]]="","",(Table6[[#This Row],[Work Start TimeStamp]]-Table6[[#This Row],[Fault Start TimeStamp]])*24)</f>
        <v>0</v>
      </c>
      <c r="S600" s="261">
        <f>(Table6[[#This Row],[Fault Clearance time]]-Table6[[#This Row],[Work Start TimeStamp]])*24</f>
        <v>3.1833333333333327</v>
      </c>
      <c r="T600" s="261">
        <f>(Table6[[#This Row],[Fault Clearance time]]-Table6[[#This Row],[Fault Start TimeStamp]])*24</f>
        <v>3.1833333333333327</v>
      </c>
      <c r="U600" s="35" t="s">
        <v>401</v>
      </c>
      <c r="V600" s="102" t="s">
        <v>357</v>
      </c>
      <c r="W600" s="267">
        <f>IFERROR(Table6[[#This Row],[Breakdown Time]]*Table6[[#This Row],[Plant Equivalent Weightage]],"")</f>
        <v>0.12243589743589738</v>
      </c>
      <c r="X600" s="262" t="s">
        <v>269</v>
      </c>
      <c r="Y600" s="263" t="s">
        <v>135</v>
      </c>
      <c r="Z600" s="102">
        <v>23651</v>
      </c>
      <c r="AA600" s="257">
        <f>(Table6[[#This Row],[Paired WTG Generation for loss calculation]]/24)*Table6[[#This Row],[Breakdown Time]]</f>
        <v>3137.0423611111105</v>
      </c>
      <c r="AB600" s="102"/>
      <c r="AC600" s="35"/>
      <c r="AD600" s="35"/>
    </row>
    <row r="601" spans="1:30">
      <c r="A601" s="102">
        <f t="shared" si="10"/>
        <v>600</v>
      </c>
      <c r="B601" s="257">
        <f>YEAR(Table6[[#This Row],[Date]])+IF(MONTH(Table6[[#This Row],[Date]])&gt;=4,1,0)</f>
        <v>2026</v>
      </c>
      <c r="C601" s="102">
        <f>YEAR(Table6[[#This Row],[Date]])</f>
        <v>2025</v>
      </c>
      <c r="D601" s="102" t="s">
        <v>265</v>
      </c>
      <c r="E601" s="258">
        <f>Table6[[#This Row],[Date]]-DAY(Table6[[#This Row],[Date]])+1</f>
        <v>45778</v>
      </c>
      <c r="F601" s="259">
        <v>45783</v>
      </c>
      <c r="G601" s="35" t="s">
        <v>131</v>
      </c>
      <c r="H601" s="35" t="str">
        <f>IFERROR(_xlfn.XLOOKUP(Table6[[#This Row],[Affected WTG]],'Basic Data'!$A:$A,'Basic Data'!$B:$B),"")</f>
        <v>TQGXIIPL</v>
      </c>
      <c r="I601" s="35" t="str">
        <f>IFERROR(_xlfn.XLOOKUP(Table6[[#This Row],[Affected WTG]],'Basic Data'!$A:$A,'Basic Data'!$C:$C),"")</f>
        <v>GEDA</v>
      </c>
      <c r="J601" s="260">
        <f>IFERROR(_xlfn.XLOOKUP(Table6[[#This Row],[Affected WTG]],'Basic Data'!$A:$A,'Basic Data'!$E:$E),"")</f>
        <v>3.846153846153845E-2</v>
      </c>
      <c r="K601" s="102">
        <v>665</v>
      </c>
      <c r="L601" s="35" t="str">
        <f>IFERROR(_xlfn.XLOOKUP(Table6[[#This Row],[Error Code]],'Basic Data'!$AA:$AA,'Basic Data'!$AB:$AB),"Incorrect Error Code")</f>
        <v>Pitch error</v>
      </c>
      <c r="M601" s="35" t="s">
        <v>278</v>
      </c>
      <c r="N601" s="264"/>
      <c r="O601" s="265">
        <v>0.63958333333333328</v>
      </c>
      <c r="P601" s="265">
        <v>0.63958333333333328</v>
      </c>
      <c r="Q601" s="266">
        <v>0.6430555555555556</v>
      </c>
      <c r="R601" s="261">
        <f>IF(Table6[[#This Row],[Work Start TimeStamp]]="","",(Table6[[#This Row],[Work Start TimeStamp]]-Table6[[#This Row],[Fault Start TimeStamp]])*24)</f>
        <v>0</v>
      </c>
      <c r="S601" s="261">
        <f>(Table6[[#This Row],[Fault Clearance time]]-Table6[[#This Row],[Work Start TimeStamp]])*24</f>
        <v>8.3333333333335702E-2</v>
      </c>
      <c r="T601" s="261">
        <f>(Table6[[#This Row],[Fault Clearance time]]-Table6[[#This Row],[Fault Start TimeStamp]])*24</f>
        <v>8.3333333333335702E-2</v>
      </c>
      <c r="U601" s="35" t="s">
        <v>277</v>
      </c>
      <c r="V601" s="102" t="s">
        <v>268</v>
      </c>
      <c r="W601" s="267">
        <f>IFERROR(Table6[[#This Row],[Breakdown Time]]*Table6[[#This Row],[Plant Equivalent Weightage]],"")</f>
        <v>3.2051282051282952E-3</v>
      </c>
      <c r="X601" s="262" t="s">
        <v>269</v>
      </c>
      <c r="Y601" s="263" t="s">
        <v>136</v>
      </c>
      <c r="Z601" s="102">
        <v>21281</v>
      </c>
      <c r="AA601" s="257">
        <f>(Table6[[#This Row],[Paired WTG Generation for loss calculation]]/24)*Table6[[#This Row],[Breakdown Time]]</f>
        <v>73.892361111113217</v>
      </c>
      <c r="AB601" s="102"/>
      <c r="AC601" s="35"/>
      <c r="AD601" s="35"/>
    </row>
    <row r="602" spans="1:30">
      <c r="A602" s="102">
        <f t="shared" si="10"/>
        <v>601</v>
      </c>
      <c r="B602" s="257">
        <f>YEAR(Table6[[#This Row],[Date]])+IF(MONTH(Table6[[#This Row],[Date]])&gt;=4,1,0)</f>
        <v>2026</v>
      </c>
      <c r="C602" s="102">
        <f>YEAR(Table6[[#This Row],[Date]])</f>
        <v>2025</v>
      </c>
      <c r="D602" s="102" t="s">
        <v>265</v>
      </c>
      <c r="E602" s="258">
        <f>Table6[[#This Row],[Date]]-DAY(Table6[[#This Row],[Date]])+1</f>
        <v>45778</v>
      </c>
      <c r="F602" s="259">
        <v>45783</v>
      </c>
      <c r="G602" s="35" t="s">
        <v>137</v>
      </c>
      <c r="H602" s="35" t="str">
        <f>IFERROR(_xlfn.XLOOKUP(Table6[[#This Row],[Affected WTG]],'Basic Data'!$A:$A,'Basic Data'!$B:$B),"")</f>
        <v>TQGXIIPL</v>
      </c>
      <c r="I602" s="35" t="str">
        <f>IFERROR(_xlfn.XLOOKUP(Table6[[#This Row],[Affected WTG]],'Basic Data'!$A:$A,'Basic Data'!$C:$C),"")</f>
        <v>GEDA</v>
      </c>
      <c r="J602" s="260">
        <f>IFERROR(_xlfn.XLOOKUP(Table6[[#This Row],[Affected WTG]],'Basic Data'!$A:$A,'Basic Data'!$E:$E),"")</f>
        <v>3.846153846153845E-2</v>
      </c>
      <c r="K602" s="102">
        <v>53</v>
      </c>
      <c r="L602" s="35" t="str">
        <f>IFERROR(_xlfn.XLOOKUP(Table6[[#This Row],[Error Code]],'Basic Data'!$AA:$AA,'Basic Data'!$AB:$AB),"Incorrect Error Code")</f>
        <v>Wind dir.dev. level 1</v>
      </c>
      <c r="M602" s="35" t="s">
        <v>278</v>
      </c>
      <c r="N602" s="264"/>
      <c r="O602" s="265">
        <v>8.3333333333333332E-3</v>
      </c>
      <c r="P602" s="265">
        <v>8.3333333333333332E-3</v>
      </c>
      <c r="Q602" s="266">
        <v>1.0416666666666666E-2</v>
      </c>
      <c r="R602" s="261">
        <f>IF(Table6[[#This Row],[Work Start TimeStamp]]="","",(Table6[[#This Row],[Work Start TimeStamp]]-Table6[[#This Row],[Fault Start TimeStamp]])*24)</f>
        <v>0</v>
      </c>
      <c r="S602" s="261">
        <f>(Table6[[#This Row],[Fault Clearance time]]-Table6[[#This Row],[Work Start TimeStamp]])*24</f>
        <v>4.9999999999999989E-2</v>
      </c>
      <c r="T602" s="261">
        <f>(Table6[[#This Row],[Fault Clearance time]]-Table6[[#This Row],[Fault Start TimeStamp]])*24</f>
        <v>4.9999999999999989E-2</v>
      </c>
      <c r="U602" s="35" t="s">
        <v>277</v>
      </c>
      <c r="V602" s="102" t="s">
        <v>268</v>
      </c>
      <c r="W602" s="267">
        <f>IFERROR(Table6[[#This Row],[Breakdown Time]]*Table6[[#This Row],[Plant Equivalent Weightage]],"")</f>
        <v>1.9230769230769221E-3</v>
      </c>
      <c r="X602" s="262" t="s">
        <v>269</v>
      </c>
      <c r="Y602" s="263" t="s">
        <v>125</v>
      </c>
      <c r="Z602" s="102">
        <v>16459</v>
      </c>
      <c r="AA602" s="257">
        <f>(Table6[[#This Row],[Paired WTG Generation for loss calculation]]/24)*Table6[[#This Row],[Breakdown Time]]</f>
        <v>34.289583333333326</v>
      </c>
      <c r="AB602" s="102"/>
      <c r="AC602" s="35"/>
      <c r="AD602" s="35"/>
    </row>
    <row r="603" spans="1:30">
      <c r="A603" s="102">
        <f t="shared" si="10"/>
        <v>602</v>
      </c>
      <c r="B603" s="257">
        <f>YEAR(Table6[[#This Row],[Date]])+IF(MONTH(Table6[[#This Row],[Date]])&gt;=4,1,0)</f>
        <v>2026</v>
      </c>
      <c r="C603" s="102">
        <f>YEAR(Table6[[#This Row],[Date]])</f>
        <v>2025</v>
      </c>
      <c r="D603" s="102" t="s">
        <v>265</v>
      </c>
      <c r="E603" s="258">
        <f>Table6[[#This Row],[Date]]-DAY(Table6[[#This Row],[Date]])+1</f>
        <v>45778</v>
      </c>
      <c r="F603" s="259">
        <v>45783</v>
      </c>
      <c r="G603" s="35" t="s">
        <v>137</v>
      </c>
      <c r="H603" s="35" t="str">
        <f>IFERROR(_xlfn.XLOOKUP(Table6[[#This Row],[Affected WTG]],'Basic Data'!$A:$A,'Basic Data'!$B:$B),"")</f>
        <v>TQGXIIPL</v>
      </c>
      <c r="I603" s="35" t="str">
        <f>IFERROR(_xlfn.XLOOKUP(Table6[[#This Row],[Affected WTG]],'Basic Data'!$A:$A,'Basic Data'!$C:$C),"")</f>
        <v>GEDA</v>
      </c>
      <c r="J603" s="260">
        <f>IFERROR(_xlfn.XLOOKUP(Table6[[#This Row],[Affected WTG]],'Basic Data'!$A:$A,'Basic Data'!$E:$E),"")</f>
        <v>3.846153846153845E-2</v>
      </c>
      <c r="K603" s="102">
        <v>64</v>
      </c>
      <c r="L603" s="35" t="str">
        <f>IFERROR(_xlfn.XLOOKUP(Table6[[#This Row],[Error Code]],'Basic Data'!$AA:$AA,'Basic Data'!$AB:$AB),"Incorrect Error Code")</f>
        <v>Max. wind speed</v>
      </c>
      <c r="M603" s="35" t="s">
        <v>278</v>
      </c>
      <c r="N603" s="264"/>
      <c r="O603" s="265">
        <v>0.62986111111111109</v>
      </c>
      <c r="P603" s="265">
        <v>0.62986111111111109</v>
      </c>
      <c r="Q603" s="266">
        <v>0.63124999999999998</v>
      </c>
      <c r="R603" s="261">
        <f>IF(Table6[[#This Row],[Work Start TimeStamp]]="","",(Table6[[#This Row],[Work Start TimeStamp]]-Table6[[#This Row],[Fault Start TimeStamp]])*24)</f>
        <v>0</v>
      </c>
      <c r="S603" s="261">
        <f>(Table6[[#This Row],[Fault Clearance time]]-Table6[[#This Row],[Work Start TimeStamp]])*24</f>
        <v>3.3333333333333215E-2</v>
      </c>
      <c r="T603" s="261">
        <f>(Table6[[#This Row],[Fault Clearance time]]-Table6[[#This Row],[Fault Start TimeStamp]])*24</f>
        <v>3.3333333333333215E-2</v>
      </c>
      <c r="U603" s="35" t="s">
        <v>277</v>
      </c>
      <c r="V603" s="102" t="s">
        <v>268</v>
      </c>
      <c r="W603" s="267">
        <f>IFERROR(Table6[[#This Row],[Breakdown Time]]*Table6[[#This Row],[Plant Equivalent Weightage]],"")</f>
        <v>1.2820512820512771E-3</v>
      </c>
      <c r="X603" s="262" t="s">
        <v>269</v>
      </c>
      <c r="Y603" s="263" t="s">
        <v>125</v>
      </c>
      <c r="Z603" s="102">
        <v>16459</v>
      </c>
      <c r="AA603" s="257">
        <f>(Table6[[#This Row],[Paired WTG Generation for loss calculation]]/24)*Table6[[#This Row],[Breakdown Time]]</f>
        <v>22.859722222222139</v>
      </c>
      <c r="AB603" s="102"/>
      <c r="AC603" s="35"/>
      <c r="AD603" s="35"/>
    </row>
    <row r="604" spans="1:30">
      <c r="A604" s="102">
        <f t="shared" si="10"/>
        <v>603</v>
      </c>
      <c r="B604" s="257">
        <f>YEAR(Table6[[#This Row],[Date]])+IF(MONTH(Table6[[#This Row],[Date]])&gt;=4,1,0)</f>
        <v>2026</v>
      </c>
      <c r="C604" s="102">
        <f>YEAR(Table6[[#This Row],[Date]])</f>
        <v>2025</v>
      </c>
      <c r="D604" s="102" t="s">
        <v>265</v>
      </c>
      <c r="E604" s="258">
        <f>Table6[[#This Row],[Date]]-DAY(Table6[[#This Row],[Date]])+1</f>
        <v>45778</v>
      </c>
      <c r="F604" s="259">
        <v>45783</v>
      </c>
      <c r="G604" s="35" t="s">
        <v>137</v>
      </c>
      <c r="H604" s="35" t="str">
        <f>IFERROR(_xlfn.XLOOKUP(Table6[[#This Row],[Affected WTG]],'Basic Data'!$A:$A,'Basic Data'!$B:$B),"")</f>
        <v>TQGXIIPL</v>
      </c>
      <c r="I604" s="35" t="str">
        <f>IFERROR(_xlfn.XLOOKUP(Table6[[#This Row],[Affected WTG]],'Basic Data'!$A:$A,'Basic Data'!$C:$C),"")</f>
        <v>GEDA</v>
      </c>
      <c r="J604" s="260">
        <f>IFERROR(_xlfn.XLOOKUP(Table6[[#This Row],[Affected WTG]],'Basic Data'!$A:$A,'Basic Data'!$E:$E),"")</f>
        <v>3.846153846153845E-2</v>
      </c>
      <c r="K604" s="102">
        <v>6130</v>
      </c>
      <c r="L604" s="35" t="str">
        <f>IFERROR(_xlfn.XLOOKUP(Table6[[#This Row],[Error Code]],'Basic Data'!$AA:$AA,'Basic Data'!$AB:$AB),"Incorrect Error Code")</f>
        <v>Yaw speed high</v>
      </c>
      <c r="M604" s="35" t="s">
        <v>278</v>
      </c>
      <c r="N604" s="264"/>
      <c r="O604" s="265">
        <v>0.64722222222222225</v>
      </c>
      <c r="P604" s="265">
        <v>0.64722222222222225</v>
      </c>
      <c r="Q604" s="266">
        <v>0.65138888888888891</v>
      </c>
      <c r="R604" s="261">
        <f>IF(Table6[[#This Row],[Work Start TimeStamp]]="","",(Table6[[#This Row],[Work Start TimeStamp]]-Table6[[#This Row],[Fault Start TimeStamp]])*24)</f>
        <v>0</v>
      </c>
      <c r="S604" s="261">
        <f>(Table6[[#This Row],[Fault Clearance time]]-Table6[[#This Row],[Work Start TimeStamp]])*24</f>
        <v>9.9999999999999645E-2</v>
      </c>
      <c r="T604" s="261">
        <f>(Table6[[#This Row],[Fault Clearance time]]-Table6[[#This Row],[Fault Start TimeStamp]])*24</f>
        <v>9.9999999999999645E-2</v>
      </c>
      <c r="U604" s="35" t="s">
        <v>277</v>
      </c>
      <c r="V604" s="102" t="s">
        <v>268</v>
      </c>
      <c r="W604" s="267">
        <f>IFERROR(Table6[[#This Row],[Breakdown Time]]*Table6[[#This Row],[Plant Equivalent Weightage]],"")</f>
        <v>3.8461538461538312E-3</v>
      </c>
      <c r="X604" s="262" t="s">
        <v>269</v>
      </c>
      <c r="Y604" s="263" t="s">
        <v>125</v>
      </c>
      <c r="Z604" s="102">
        <v>16459</v>
      </c>
      <c r="AA604" s="257">
        <f>(Table6[[#This Row],[Paired WTG Generation for loss calculation]]/24)*Table6[[#This Row],[Breakdown Time]]</f>
        <v>68.579166666666424</v>
      </c>
      <c r="AB604" s="102"/>
      <c r="AC604" s="35"/>
      <c r="AD604" s="35"/>
    </row>
    <row r="605" spans="1:30">
      <c r="A605" s="102">
        <f t="shared" si="10"/>
        <v>604</v>
      </c>
      <c r="B605" s="257">
        <f>YEAR(Table6[[#This Row],[Date]])+IF(MONTH(Table6[[#This Row],[Date]])&gt;=4,1,0)</f>
        <v>2026</v>
      </c>
      <c r="C605" s="102">
        <f>YEAR(Table6[[#This Row],[Date]])</f>
        <v>2025</v>
      </c>
      <c r="D605" s="102" t="s">
        <v>265</v>
      </c>
      <c r="E605" s="258">
        <f>Table6[[#This Row],[Date]]-DAY(Table6[[#This Row],[Date]])+1</f>
        <v>45778</v>
      </c>
      <c r="F605" s="259">
        <v>45783</v>
      </c>
      <c r="G605" s="35" t="s">
        <v>138</v>
      </c>
      <c r="H605" s="35" t="str">
        <f>IFERROR(_xlfn.XLOOKUP(Table6[[#This Row],[Affected WTG]],'Basic Data'!$A:$A,'Basic Data'!$B:$B),"")</f>
        <v>TQGXIIPL</v>
      </c>
      <c r="I605" s="35" t="str">
        <f>IFERROR(_xlfn.XLOOKUP(Table6[[#This Row],[Affected WTG]],'Basic Data'!$A:$A,'Basic Data'!$C:$C),"")</f>
        <v>GEDA</v>
      </c>
      <c r="J605" s="260">
        <f>IFERROR(_xlfn.XLOOKUP(Table6[[#This Row],[Affected WTG]],'Basic Data'!$A:$A,'Basic Data'!$E:$E),"")</f>
        <v>3.846153846153845E-2</v>
      </c>
      <c r="K605" s="102">
        <v>5506</v>
      </c>
      <c r="L605" s="35" t="str">
        <f>IFERROR(_xlfn.XLOOKUP(Table6[[#This Row],[Error Code]],'Basic Data'!$AA:$AA,'Basic Data'!$AB:$AB),"Incorrect Error Code")</f>
        <v>Rot.br. press. high</v>
      </c>
      <c r="M605" s="35" t="s">
        <v>291</v>
      </c>
      <c r="N605" s="264"/>
      <c r="O605" s="265">
        <v>4.3749999999999997E-2</v>
      </c>
      <c r="P605" s="265">
        <v>4.3749999999999997E-2</v>
      </c>
      <c r="Q605" s="266">
        <v>0.64652777777777781</v>
      </c>
      <c r="R605" s="261">
        <f>IF(Table6[[#This Row],[Work Start TimeStamp]]="","",(Table6[[#This Row],[Work Start TimeStamp]]-Table6[[#This Row],[Fault Start TimeStamp]])*24)</f>
        <v>0</v>
      </c>
      <c r="S605" s="261">
        <f>(Table6[[#This Row],[Fault Clearance time]]-Table6[[#This Row],[Work Start TimeStamp]])*24</f>
        <v>14.466666666666669</v>
      </c>
      <c r="T605" s="261">
        <f>(Table6[[#This Row],[Fault Clearance time]]-Table6[[#This Row],[Fault Start TimeStamp]])*24</f>
        <v>14.466666666666669</v>
      </c>
      <c r="U605" s="35" t="s">
        <v>402</v>
      </c>
      <c r="V605" s="102" t="s">
        <v>268</v>
      </c>
      <c r="W605" s="267">
        <f>IFERROR(Table6[[#This Row],[Breakdown Time]]*Table6[[#This Row],[Plant Equivalent Weightage]],"")</f>
        <v>0.55641025641025632</v>
      </c>
      <c r="X605" s="262" t="s">
        <v>296</v>
      </c>
      <c r="Y605" s="263" t="s">
        <v>134</v>
      </c>
      <c r="Z605" s="102">
        <v>24540</v>
      </c>
      <c r="AA605" s="257">
        <f>(Table6[[#This Row],[Paired WTG Generation for loss calculation]]/24)*Table6[[#This Row],[Breakdown Time]]</f>
        <v>14792.166666666668</v>
      </c>
      <c r="AB605" s="102"/>
      <c r="AC605" s="35"/>
      <c r="AD605" s="35"/>
    </row>
    <row r="606" spans="1:30">
      <c r="A606" s="102">
        <f t="shared" si="10"/>
        <v>605</v>
      </c>
      <c r="B606" s="257">
        <f>YEAR(Table6[[#This Row],[Date]])+IF(MONTH(Table6[[#This Row],[Date]])&gt;=4,1,0)</f>
        <v>2026</v>
      </c>
      <c r="C606" s="102">
        <f>YEAR(Table6[[#This Row],[Date]])</f>
        <v>2025</v>
      </c>
      <c r="D606" s="102" t="s">
        <v>265</v>
      </c>
      <c r="E606" s="258">
        <f>Table6[[#This Row],[Date]]-DAY(Table6[[#This Row],[Date]])+1</f>
        <v>45778</v>
      </c>
      <c r="F606" s="259">
        <v>45783</v>
      </c>
      <c r="G606" s="35" t="s">
        <v>138</v>
      </c>
      <c r="H606" s="35" t="str">
        <f>IFERROR(_xlfn.XLOOKUP(Table6[[#This Row],[Affected WTG]],'Basic Data'!$A:$A,'Basic Data'!$B:$B),"")</f>
        <v>TQGXIIPL</v>
      </c>
      <c r="I606" s="35" t="str">
        <f>IFERROR(_xlfn.XLOOKUP(Table6[[#This Row],[Affected WTG]],'Basic Data'!$A:$A,'Basic Data'!$C:$C),"")</f>
        <v>GEDA</v>
      </c>
      <c r="J606" s="260">
        <f>IFERROR(_xlfn.XLOOKUP(Table6[[#This Row],[Affected WTG]],'Basic Data'!$A:$A,'Basic Data'!$E:$E),"")</f>
        <v>3.846153846153845E-2</v>
      </c>
      <c r="K606" s="102">
        <v>5506</v>
      </c>
      <c r="L606" s="35" t="str">
        <f>IFERROR(_xlfn.XLOOKUP(Table6[[#This Row],[Error Code]],'Basic Data'!$AA:$AA,'Basic Data'!$AB:$AB),"Incorrect Error Code")</f>
        <v>Rot.br. press. high</v>
      </c>
      <c r="M606" s="35" t="s">
        <v>291</v>
      </c>
      <c r="N606" s="264"/>
      <c r="O606" s="265">
        <v>0.74375000000000002</v>
      </c>
      <c r="P606" s="265">
        <v>0.74375000000000002</v>
      </c>
      <c r="Q606" s="266">
        <v>1</v>
      </c>
      <c r="R606" s="261">
        <f>IF(Table6[[#This Row],[Work Start TimeStamp]]="","",(Table6[[#This Row],[Work Start TimeStamp]]-Table6[[#This Row],[Fault Start TimeStamp]])*24)</f>
        <v>0</v>
      </c>
      <c r="S606" s="261">
        <f>(Table6[[#This Row],[Fault Clearance time]]-Table6[[#This Row],[Work Start TimeStamp]])*24</f>
        <v>6.1499999999999995</v>
      </c>
      <c r="T606" s="261">
        <f>(Table6[[#This Row],[Fault Clearance time]]-Table6[[#This Row],[Fault Start TimeStamp]])*24</f>
        <v>6.1499999999999995</v>
      </c>
      <c r="U606" s="35" t="s">
        <v>402</v>
      </c>
      <c r="V606" s="102" t="s">
        <v>357</v>
      </c>
      <c r="W606" s="267">
        <f>IFERROR(Table6[[#This Row],[Breakdown Time]]*Table6[[#This Row],[Plant Equivalent Weightage]],"")</f>
        <v>0.23653846153846145</v>
      </c>
      <c r="X606" s="262" t="s">
        <v>296</v>
      </c>
      <c r="Y606" s="263" t="s">
        <v>134</v>
      </c>
      <c r="Z606" s="102">
        <v>24540</v>
      </c>
      <c r="AA606" s="257">
        <f>(Table6[[#This Row],[Paired WTG Generation for loss calculation]]/24)*Table6[[#This Row],[Breakdown Time]]</f>
        <v>6288.3749999999991</v>
      </c>
      <c r="AB606" s="102"/>
      <c r="AC606" s="35"/>
      <c r="AD606" s="35"/>
    </row>
    <row r="607" spans="1:30">
      <c r="A607" s="102">
        <f t="shared" si="10"/>
        <v>606</v>
      </c>
      <c r="B607" s="257">
        <f>YEAR(Table6[[#This Row],[Date]])+IF(MONTH(Table6[[#This Row],[Date]])&gt;=4,1,0)</f>
        <v>2026</v>
      </c>
      <c r="C607" s="102">
        <f>YEAR(Table6[[#This Row],[Date]])</f>
        <v>2025</v>
      </c>
      <c r="D607" s="102" t="s">
        <v>265</v>
      </c>
      <c r="E607" s="258">
        <f>Table6[[#This Row],[Date]]-DAY(Table6[[#This Row],[Date]])+1</f>
        <v>45778</v>
      </c>
      <c r="F607" s="259">
        <v>45783</v>
      </c>
      <c r="G607" s="35" t="s">
        <v>139</v>
      </c>
      <c r="H607" s="35" t="str">
        <f>IFERROR(_xlfn.XLOOKUP(Table6[[#This Row],[Affected WTG]],'Basic Data'!$A:$A,'Basic Data'!$B:$B),"")</f>
        <v>TQGXIIPL</v>
      </c>
      <c r="I607" s="35" t="str">
        <f>IFERROR(_xlfn.XLOOKUP(Table6[[#This Row],[Affected WTG]],'Basic Data'!$A:$A,'Basic Data'!$C:$C),"")</f>
        <v>GEDA</v>
      </c>
      <c r="J607" s="260">
        <f>IFERROR(_xlfn.XLOOKUP(Table6[[#This Row],[Affected WTG]],'Basic Data'!$A:$A,'Basic Data'!$E:$E),"")</f>
        <v>3.846153846153845E-2</v>
      </c>
      <c r="K607" s="102">
        <v>58</v>
      </c>
      <c r="L607" s="35" t="str">
        <f>IFERROR(_xlfn.XLOOKUP(Table6[[#This Row],[Error Code]],'Basic Data'!$AA:$AA,'Basic Data'!$AB:$AB),"Incorrect Error Code")</f>
        <v>Wind dir.dev. level 2</v>
      </c>
      <c r="M607" s="35" t="s">
        <v>278</v>
      </c>
      <c r="N607" s="264"/>
      <c r="O607" s="265">
        <v>0.62152777777777779</v>
      </c>
      <c r="P607" s="265">
        <v>0.62152777777777779</v>
      </c>
      <c r="Q607" s="266">
        <v>0.625</v>
      </c>
      <c r="R607" s="261">
        <f>IF(Table6[[#This Row],[Work Start TimeStamp]]="","",(Table6[[#This Row],[Work Start TimeStamp]]-Table6[[#This Row],[Fault Start TimeStamp]])*24)</f>
        <v>0</v>
      </c>
      <c r="S607" s="261">
        <f>(Table6[[#This Row],[Fault Clearance time]]-Table6[[#This Row],[Work Start TimeStamp]])*24</f>
        <v>8.3333333333333037E-2</v>
      </c>
      <c r="T607" s="261">
        <f>(Table6[[#This Row],[Fault Clearance time]]-Table6[[#This Row],[Fault Start TimeStamp]])*24</f>
        <v>8.3333333333333037E-2</v>
      </c>
      <c r="U607" s="35" t="s">
        <v>277</v>
      </c>
      <c r="V607" s="102" t="s">
        <v>268</v>
      </c>
      <c r="W607" s="267">
        <f>IFERROR(Table6[[#This Row],[Breakdown Time]]*Table6[[#This Row],[Plant Equivalent Weightage]],"")</f>
        <v>3.2051282051281929E-3</v>
      </c>
      <c r="X607" s="262" t="s">
        <v>269</v>
      </c>
      <c r="Y607" s="263" t="s">
        <v>115</v>
      </c>
      <c r="Z607" s="102">
        <v>10165</v>
      </c>
      <c r="AA607" s="257">
        <f>(Table6[[#This Row],[Paired WTG Generation for loss calculation]]/24)*Table6[[#This Row],[Breakdown Time]]</f>
        <v>35.295138888888765</v>
      </c>
      <c r="AB607" s="102"/>
      <c r="AC607" s="35"/>
      <c r="AD607" s="35"/>
    </row>
    <row r="608" spans="1:30">
      <c r="A608" s="102">
        <f t="shared" si="10"/>
        <v>607</v>
      </c>
      <c r="B608" s="257">
        <f>YEAR(Table6[[#This Row],[Date]])+IF(MONTH(Table6[[#This Row],[Date]])&gt;=4,1,0)</f>
        <v>2026</v>
      </c>
      <c r="C608" s="102">
        <f>YEAR(Table6[[#This Row],[Date]])</f>
        <v>2025</v>
      </c>
      <c r="D608" s="102" t="s">
        <v>265</v>
      </c>
      <c r="E608" s="258">
        <f>Table6[[#This Row],[Date]]-DAY(Table6[[#This Row],[Date]])+1</f>
        <v>45778</v>
      </c>
      <c r="F608" s="259">
        <v>45783</v>
      </c>
      <c r="G608" s="35" t="s">
        <v>140</v>
      </c>
      <c r="H608" s="35" t="str">
        <f>IFERROR(_xlfn.XLOOKUP(Table6[[#This Row],[Affected WTG]],'Basic Data'!$A:$A,'Basic Data'!$B:$B),"")</f>
        <v>TQGXIIPL</v>
      </c>
      <c r="I608" s="35" t="str">
        <f>IFERROR(_xlfn.XLOOKUP(Table6[[#This Row],[Affected WTG]],'Basic Data'!$A:$A,'Basic Data'!$C:$C),"")</f>
        <v>GEDA</v>
      </c>
      <c r="J608" s="260">
        <f>IFERROR(_xlfn.XLOOKUP(Table6[[#This Row],[Affected WTG]],'Basic Data'!$A:$A,'Basic Data'!$E:$E),"")</f>
        <v>3.846153846153845E-2</v>
      </c>
      <c r="K608" s="102">
        <v>6012</v>
      </c>
      <c r="L608" s="35" t="str">
        <f>IFERROR(_xlfn.XLOOKUP(Table6[[#This Row],[Error Code]],'Basic Data'!$AA:$AA,'Basic Data'!$AB:$AB),"Incorrect Error Code")</f>
        <v>Overload yaw motors group 2</v>
      </c>
      <c r="M608" s="35" t="s">
        <v>266</v>
      </c>
      <c r="N608" s="264"/>
      <c r="O608" s="265">
        <v>2.7777777777777776E-2</v>
      </c>
      <c r="P608" s="265">
        <v>9.930555555555555E-2</v>
      </c>
      <c r="Q608" s="266">
        <v>0.11666666666666667</v>
      </c>
      <c r="R608" s="261">
        <f>IF(Table6[[#This Row],[Work Start TimeStamp]]="","",(Table6[[#This Row],[Work Start TimeStamp]]-Table6[[#This Row],[Fault Start TimeStamp]])*24)</f>
        <v>1.7166666666666666</v>
      </c>
      <c r="S608" s="261">
        <f>(Table6[[#This Row],[Fault Clearance time]]-Table6[[#This Row],[Work Start TimeStamp]])*24</f>
        <v>0.41666666666666685</v>
      </c>
      <c r="T608" s="261">
        <f>(Table6[[#This Row],[Fault Clearance time]]-Table6[[#This Row],[Fault Start TimeStamp]])*24</f>
        <v>2.1333333333333333</v>
      </c>
      <c r="U608" s="35" t="s">
        <v>403</v>
      </c>
      <c r="V608" s="102" t="s">
        <v>268</v>
      </c>
      <c r="W608" s="267">
        <f>IFERROR(Table6[[#This Row],[Breakdown Time]]*Table6[[#This Row],[Plant Equivalent Weightage]],"")</f>
        <v>8.2051282051282023E-2</v>
      </c>
      <c r="X608" s="262" t="s">
        <v>296</v>
      </c>
      <c r="Y608" s="263" t="s">
        <v>115</v>
      </c>
      <c r="Z608" s="102">
        <v>10165</v>
      </c>
      <c r="AA608" s="257">
        <f>(Table6[[#This Row],[Paired WTG Generation for loss calculation]]/24)*Table6[[#This Row],[Breakdown Time]]</f>
        <v>903.55555555555554</v>
      </c>
      <c r="AB608" s="102"/>
      <c r="AC608" s="35"/>
      <c r="AD608" s="35"/>
    </row>
    <row r="609" spans="1:30">
      <c r="A609" s="102">
        <f t="shared" si="10"/>
        <v>608</v>
      </c>
      <c r="B609" s="257">
        <f>YEAR(Table6[[#This Row],[Date]])+IF(MONTH(Table6[[#This Row],[Date]])&gt;=4,1,0)</f>
        <v>2026</v>
      </c>
      <c r="C609" s="102">
        <f>YEAR(Table6[[#This Row],[Date]])</f>
        <v>2025</v>
      </c>
      <c r="D609" s="102" t="s">
        <v>265</v>
      </c>
      <c r="E609" s="258">
        <f>Table6[[#This Row],[Date]]-DAY(Table6[[#This Row],[Date]])+1</f>
        <v>45778</v>
      </c>
      <c r="F609" s="259">
        <v>45783</v>
      </c>
      <c r="G609" s="35" t="s">
        <v>140</v>
      </c>
      <c r="H609" s="35" t="str">
        <f>IFERROR(_xlfn.XLOOKUP(Table6[[#This Row],[Affected WTG]],'Basic Data'!$A:$A,'Basic Data'!$B:$B),"")</f>
        <v>TQGXIIPL</v>
      </c>
      <c r="I609" s="35" t="str">
        <f>IFERROR(_xlfn.XLOOKUP(Table6[[#This Row],[Affected WTG]],'Basic Data'!$A:$A,'Basic Data'!$C:$C),"")</f>
        <v>GEDA</v>
      </c>
      <c r="J609" s="260">
        <f>IFERROR(_xlfn.XLOOKUP(Table6[[#This Row],[Affected WTG]],'Basic Data'!$A:$A,'Basic Data'!$E:$E),"")</f>
        <v>3.846153846153845E-2</v>
      </c>
      <c r="K609" s="102">
        <v>700</v>
      </c>
      <c r="L609" s="35" t="str">
        <f>IFERROR(_xlfn.XLOOKUP(Table6[[#This Row],[Error Code]],'Basic Data'!$AA:$AA,'Basic Data'!$AB:$AB),"Incorrect Error Code")</f>
        <v>Batt. undervoltage/overvoltage</v>
      </c>
      <c r="M609" s="35" t="s">
        <v>266</v>
      </c>
      <c r="N609" s="264"/>
      <c r="O609" s="265">
        <v>0.30208333333333331</v>
      </c>
      <c r="P609" s="265">
        <v>0.30208333333333331</v>
      </c>
      <c r="Q609" s="266">
        <v>0.35902777777777778</v>
      </c>
      <c r="R609" s="261">
        <f>IF(Table6[[#This Row],[Work Start TimeStamp]]="","",(Table6[[#This Row],[Work Start TimeStamp]]-Table6[[#This Row],[Fault Start TimeStamp]])*24)</f>
        <v>0</v>
      </c>
      <c r="S609" s="261">
        <f>(Table6[[#This Row],[Fault Clearance time]]-Table6[[#This Row],[Work Start TimeStamp]])*24</f>
        <v>1.3666666666666671</v>
      </c>
      <c r="T609" s="261">
        <f>(Table6[[#This Row],[Fault Clearance time]]-Table6[[#This Row],[Fault Start TimeStamp]])*24</f>
        <v>1.3666666666666671</v>
      </c>
      <c r="U609" s="35" t="s">
        <v>404</v>
      </c>
      <c r="V609" s="102" t="s">
        <v>268</v>
      </c>
      <c r="W609" s="267">
        <f>IFERROR(Table6[[#This Row],[Breakdown Time]]*Table6[[#This Row],[Plant Equivalent Weightage]],"")</f>
        <v>5.2564102564102565E-2</v>
      </c>
      <c r="X609" s="262" t="s">
        <v>269</v>
      </c>
      <c r="Y609" s="263" t="s">
        <v>115</v>
      </c>
      <c r="Z609" s="102">
        <v>10165</v>
      </c>
      <c r="AA609" s="257">
        <f>(Table6[[#This Row],[Paired WTG Generation for loss calculation]]/24)*Table6[[#This Row],[Breakdown Time]]</f>
        <v>578.84027777777806</v>
      </c>
      <c r="AB609" s="102"/>
      <c r="AC609" s="35"/>
      <c r="AD609" s="35"/>
    </row>
    <row r="610" spans="1:30">
      <c r="A610" s="102">
        <f t="shared" si="10"/>
        <v>609</v>
      </c>
      <c r="B610" s="257">
        <f>YEAR(Table6[[#This Row],[Date]])+IF(MONTH(Table6[[#This Row],[Date]])&gt;=4,1,0)</f>
        <v>2026</v>
      </c>
      <c r="C610" s="102">
        <f>YEAR(Table6[[#This Row],[Date]])</f>
        <v>2025</v>
      </c>
      <c r="D610" s="102" t="s">
        <v>265</v>
      </c>
      <c r="E610" s="258">
        <f>Table6[[#This Row],[Date]]-DAY(Table6[[#This Row],[Date]])+1</f>
        <v>45778</v>
      </c>
      <c r="F610" s="259">
        <v>45784</v>
      </c>
      <c r="G610" s="35" t="s">
        <v>115</v>
      </c>
      <c r="H610" s="35" t="str">
        <f>IFERROR(_xlfn.XLOOKUP(Table6[[#This Row],[Affected WTG]],'Basic Data'!$A:$A,'Basic Data'!$B:$B),"")</f>
        <v>TQGXIIPL</v>
      </c>
      <c r="I610" s="35" t="str">
        <f>IFERROR(_xlfn.XLOOKUP(Table6[[#This Row],[Affected WTG]],'Basic Data'!$A:$A,'Basic Data'!$C:$C),"")</f>
        <v>GEDA</v>
      </c>
      <c r="J610" s="260">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266</v>
      </c>
      <c r="N610" s="264"/>
      <c r="O610" s="265">
        <v>8.9583333333333334E-2</v>
      </c>
      <c r="P610" s="265">
        <v>8.9583333333333334E-2</v>
      </c>
      <c r="Q610" s="266">
        <v>0.13750000000000001</v>
      </c>
      <c r="R610" s="261">
        <f>IF(Table6[[#This Row],[Work Start TimeStamp]]="","",(Table6[[#This Row],[Work Start TimeStamp]]-Table6[[#This Row],[Fault Start TimeStamp]])*24)</f>
        <v>0</v>
      </c>
      <c r="S610" s="261">
        <f>(Table6[[#This Row],[Fault Clearance time]]-Table6[[#This Row],[Work Start TimeStamp]])*24</f>
        <v>1.1500000000000004</v>
      </c>
      <c r="T610" s="261">
        <f>(Table6[[#This Row],[Fault Clearance time]]-Table6[[#This Row],[Fault Start TimeStamp]])*24</f>
        <v>1.1500000000000004</v>
      </c>
      <c r="U610" s="35" t="s">
        <v>405</v>
      </c>
      <c r="V610" s="102" t="s">
        <v>268</v>
      </c>
      <c r="W610" s="267">
        <f>IFERROR(Table6[[#This Row],[Breakdown Time]]*Table6[[#This Row],[Plant Equivalent Weightage]],"")</f>
        <v>4.4230769230769233E-2</v>
      </c>
      <c r="X610" s="262" t="s">
        <v>269</v>
      </c>
      <c r="Y610" s="263" t="s">
        <v>140</v>
      </c>
      <c r="Z610" s="102">
        <v>15166</v>
      </c>
      <c r="AA610" s="257">
        <f>(Table6[[#This Row],[Paired WTG Generation for loss calculation]]/24)*Table6[[#This Row],[Breakdown Time]]</f>
        <v>726.70416666666688</v>
      </c>
      <c r="AB610" s="102"/>
      <c r="AC610" s="35"/>
      <c r="AD610" s="35"/>
    </row>
    <row r="611" spans="1:30">
      <c r="A611" s="102">
        <f t="shared" si="10"/>
        <v>610</v>
      </c>
      <c r="B611" s="257">
        <f>YEAR(Table6[[#This Row],[Date]])+IF(MONTH(Table6[[#This Row],[Date]])&gt;=4,1,0)</f>
        <v>2026</v>
      </c>
      <c r="C611" s="102">
        <f>YEAR(Table6[[#This Row],[Date]])</f>
        <v>2025</v>
      </c>
      <c r="D611" s="102" t="s">
        <v>265</v>
      </c>
      <c r="E611" s="258">
        <f>Table6[[#This Row],[Date]]-DAY(Table6[[#This Row],[Date]])+1</f>
        <v>45778</v>
      </c>
      <c r="F611" s="259">
        <v>45784</v>
      </c>
      <c r="G611" s="35" t="s">
        <v>115</v>
      </c>
      <c r="H611" s="35" t="str">
        <f>IFERROR(_xlfn.XLOOKUP(Table6[[#This Row],[Affected WTG]],'Basic Data'!$A:$A,'Basic Data'!$B:$B),"")</f>
        <v>TQGXIIPL</v>
      </c>
      <c r="I611" s="35" t="str">
        <f>IFERROR(_xlfn.XLOOKUP(Table6[[#This Row],[Affected WTG]],'Basic Data'!$A:$A,'Basic Data'!$C:$C),"")</f>
        <v>GEDA</v>
      </c>
      <c r="J611" s="260">
        <f>IFERROR(_xlfn.XLOOKUP(Table6[[#This Row],[Affected WTG]],'Basic Data'!$A:$A,'Basic Data'!$E:$E),"")</f>
        <v>3.846153846153845E-2</v>
      </c>
      <c r="K611" s="102">
        <v>55</v>
      </c>
      <c r="L611" s="35" t="str">
        <f>IFERROR(_xlfn.XLOOKUP(Table6[[#This Row],[Error Code]],'Basic Data'!$AA:$AA,'Basic Data'!$AB:$AB),"Incorrect Error Code")</f>
        <v>WTG shut down</v>
      </c>
      <c r="M611" s="35" t="s">
        <v>300</v>
      </c>
      <c r="N611" s="264"/>
      <c r="O611" s="265">
        <v>0.51388888888888884</v>
      </c>
      <c r="P611" s="265">
        <v>0.51388888888888884</v>
      </c>
      <c r="Q611" s="266">
        <v>0.59583333333333333</v>
      </c>
      <c r="R611" s="261">
        <f>IF(Table6[[#This Row],[Work Start TimeStamp]]="","",(Table6[[#This Row],[Work Start TimeStamp]]-Table6[[#This Row],[Fault Start TimeStamp]])*24)</f>
        <v>0</v>
      </c>
      <c r="S611" s="261">
        <f>(Table6[[#This Row],[Fault Clearance time]]-Table6[[#This Row],[Work Start TimeStamp]])*24</f>
        <v>1.9666666666666677</v>
      </c>
      <c r="T611" s="261">
        <f>(Table6[[#This Row],[Fault Clearance time]]-Table6[[#This Row],[Fault Start TimeStamp]])*24</f>
        <v>1.9666666666666677</v>
      </c>
      <c r="U611" s="35" t="s">
        <v>385</v>
      </c>
      <c r="V611" s="102" t="s">
        <v>268</v>
      </c>
      <c r="W611" s="267">
        <f>IFERROR(Table6[[#This Row],[Breakdown Time]]*Table6[[#This Row],[Plant Equivalent Weightage]],"")</f>
        <v>7.564102564102565E-2</v>
      </c>
      <c r="X611" s="262" t="s">
        <v>269</v>
      </c>
      <c r="Y611" s="263" t="s">
        <v>140</v>
      </c>
      <c r="Z611" s="102">
        <v>15166</v>
      </c>
      <c r="AA611" s="257">
        <f>(Table6[[#This Row],[Paired WTG Generation for loss calculation]]/24)*Table6[[#This Row],[Breakdown Time]]</f>
        <v>1242.7694444444451</v>
      </c>
      <c r="AB611" s="102"/>
      <c r="AC611" s="35"/>
      <c r="AD611" s="35"/>
    </row>
    <row r="612" spans="1:30">
      <c r="A612" s="102">
        <f t="shared" si="10"/>
        <v>611</v>
      </c>
      <c r="B612" s="257">
        <f>YEAR(Table6[[#This Row],[Date]])+IF(MONTH(Table6[[#This Row],[Date]])&gt;=4,1,0)</f>
        <v>2026</v>
      </c>
      <c r="C612" s="102">
        <f>YEAR(Table6[[#This Row],[Date]])</f>
        <v>2025</v>
      </c>
      <c r="D612" s="102" t="s">
        <v>265</v>
      </c>
      <c r="E612" s="258">
        <f>Table6[[#This Row],[Date]]-DAY(Table6[[#This Row],[Date]])+1</f>
        <v>45778</v>
      </c>
      <c r="F612" s="259">
        <v>45784</v>
      </c>
      <c r="G612" s="35" t="s">
        <v>116</v>
      </c>
      <c r="H612" s="35" t="str">
        <f>IFERROR(_xlfn.XLOOKUP(Table6[[#This Row],[Affected WTG]],'Basic Data'!$A:$A,'Basic Data'!$B:$B),"")</f>
        <v>TQGXIIPL</v>
      </c>
      <c r="I612" s="35" t="str">
        <f>IFERROR(_xlfn.XLOOKUP(Table6[[#This Row],[Affected WTG]],'Basic Data'!$A:$A,'Basic Data'!$C:$C),"")</f>
        <v>GEDA</v>
      </c>
      <c r="J612" s="260">
        <f>IFERROR(_xlfn.XLOOKUP(Table6[[#This Row],[Affected WTG]],'Basic Data'!$A:$A,'Basic Data'!$E:$E),"")</f>
        <v>3.846153846153845E-2</v>
      </c>
      <c r="K612" s="102">
        <v>3420</v>
      </c>
      <c r="L612" s="35" t="str">
        <f>IFERROR(_xlfn.XLOOKUP(Table6[[#This Row],[Error Code]],'Basic Data'!$AA:$AA,'Basic Data'!$AB:$AB),"Incorrect Error Code")</f>
        <v>UPS buffer time too short</v>
      </c>
      <c r="M612" s="35" t="s">
        <v>266</v>
      </c>
      <c r="N612" s="264"/>
      <c r="O612" s="265">
        <v>9.0277777777777776E-2</v>
      </c>
      <c r="P612" s="265">
        <v>9.0277777777777776E-2</v>
      </c>
      <c r="Q612" s="266">
        <v>0.13819444444444445</v>
      </c>
      <c r="R612" s="261">
        <f>IF(Table6[[#This Row],[Work Start TimeStamp]]="","",(Table6[[#This Row],[Work Start TimeStamp]]-Table6[[#This Row],[Fault Start TimeStamp]])*24)</f>
        <v>0</v>
      </c>
      <c r="S612" s="261">
        <f>(Table6[[#This Row],[Fault Clearance time]]-Table6[[#This Row],[Work Start TimeStamp]])*24</f>
        <v>1.1500000000000004</v>
      </c>
      <c r="T612" s="261">
        <f>(Table6[[#This Row],[Fault Clearance time]]-Table6[[#This Row],[Fault Start TimeStamp]])*24</f>
        <v>1.1500000000000004</v>
      </c>
      <c r="U612" s="35" t="s">
        <v>406</v>
      </c>
      <c r="V612" s="102" t="s">
        <v>268</v>
      </c>
      <c r="W612" s="267">
        <f>IFERROR(Table6[[#This Row],[Breakdown Time]]*Table6[[#This Row],[Plant Equivalent Weightage]],"")</f>
        <v>4.4230769230769233E-2</v>
      </c>
      <c r="X612" s="262" t="s">
        <v>269</v>
      </c>
      <c r="Y612" s="263" t="s">
        <v>119</v>
      </c>
      <c r="Z612" s="102">
        <v>16886</v>
      </c>
      <c r="AA612" s="257">
        <f>(Table6[[#This Row],[Paired WTG Generation for loss calculation]]/24)*Table6[[#This Row],[Breakdown Time]]</f>
        <v>809.12083333333362</v>
      </c>
      <c r="AB612" s="102"/>
      <c r="AC612" s="35"/>
      <c r="AD612" s="35"/>
    </row>
    <row r="613" spans="1:30">
      <c r="A613" s="102">
        <f t="shared" si="10"/>
        <v>612</v>
      </c>
      <c r="B613" s="257">
        <f>YEAR(Table6[[#This Row],[Date]])+IF(MONTH(Table6[[#This Row],[Date]])&gt;=4,1,0)</f>
        <v>2026</v>
      </c>
      <c r="C613" s="102">
        <f>YEAR(Table6[[#This Row],[Date]])</f>
        <v>2025</v>
      </c>
      <c r="D613" s="102" t="s">
        <v>265</v>
      </c>
      <c r="E613" s="258">
        <f>Table6[[#This Row],[Date]]-DAY(Table6[[#This Row],[Date]])+1</f>
        <v>45778</v>
      </c>
      <c r="F613" s="259">
        <v>45784</v>
      </c>
      <c r="G613" s="35" t="s">
        <v>117</v>
      </c>
      <c r="H613" s="35" t="str">
        <f>IFERROR(_xlfn.XLOOKUP(Table6[[#This Row],[Affected WTG]],'Basic Data'!$A:$A,'Basic Data'!$B:$B),"")</f>
        <v>TQGXIIPL</v>
      </c>
      <c r="I613" s="35" t="str">
        <f>IFERROR(_xlfn.XLOOKUP(Table6[[#This Row],[Affected WTG]],'Basic Data'!$A:$A,'Basic Data'!$C:$C),"")</f>
        <v>GEDA</v>
      </c>
      <c r="J613" s="260">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291</v>
      </c>
      <c r="N613" s="264"/>
      <c r="O613" s="265">
        <v>0.2013888888888889</v>
      </c>
      <c r="P613" s="265">
        <v>0.2013888888888889</v>
      </c>
      <c r="Q613" s="266">
        <v>0.62152777777777779</v>
      </c>
      <c r="R613" s="261">
        <f>IF(Table6[[#This Row],[Work Start TimeStamp]]="","",(Table6[[#This Row],[Work Start TimeStamp]]-Table6[[#This Row],[Fault Start TimeStamp]])*24)</f>
        <v>0</v>
      </c>
      <c r="S613" s="261">
        <f>(Table6[[#This Row],[Fault Clearance time]]-Table6[[#This Row],[Work Start TimeStamp]])*24</f>
        <v>10.083333333333334</v>
      </c>
      <c r="T613" s="261">
        <f>(Table6[[#This Row],[Fault Clearance time]]-Table6[[#This Row],[Fault Start TimeStamp]])*24</f>
        <v>10.083333333333334</v>
      </c>
      <c r="U613" s="35" t="s">
        <v>407</v>
      </c>
      <c r="V613" s="102" t="s">
        <v>268</v>
      </c>
      <c r="W613" s="267">
        <f>IFERROR(Table6[[#This Row],[Breakdown Time]]*Table6[[#This Row],[Plant Equivalent Weightage]],"")</f>
        <v>0.38782051282051272</v>
      </c>
      <c r="X613" s="262" t="s">
        <v>296</v>
      </c>
      <c r="Y613" s="263" t="s">
        <v>123</v>
      </c>
      <c r="Z613" s="102">
        <v>15126</v>
      </c>
      <c r="AA613" s="257">
        <f>(Table6[[#This Row],[Paired WTG Generation for loss calculation]]/24)*Table6[[#This Row],[Breakdown Time]]</f>
        <v>6355.0208333333339</v>
      </c>
      <c r="AB613" s="102"/>
      <c r="AC613" s="35"/>
      <c r="AD613" s="35"/>
    </row>
    <row r="614" spans="1:30">
      <c r="A614" s="102">
        <f t="shared" si="10"/>
        <v>613</v>
      </c>
      <c r="B614" s="257">
        <f>YEAR(Table6[[#This Row],[Date]])+IF(MONTH(Table6[[#This Row],[Date]])&gt;=4,1,0)</f>
        <v>2026</v>
      </c>
      <c r="C614" s="102">
        <f>YEAR(Table6[[#This Row],[Date]])</f>
        <v>2025</v>
      </c>
      <c r="D614" s="102" t="s">
        <v>265</v>
      </c>
      <c r="E614" s="258">
        <f>Table6[[#This Row],[Date]]-DAY(Table6[[#This Row],[Date]])+1</f>
        <v>45778</v>
      </c>
      <c r="F614" s="259">
        <v>45784</v>
      </c>
      <c r="G614" s="35" t="s">
        <v>119</v>
      </c>
      <c r="H614" s="35" t="str">
        <f>IFERROR(_xlfn.XLOOKUP(Table6[[#This Row],[Affected WTG]],'Basic Data'!$A:$A,'Basic Data'!$B:$B),"")</f>
        <v>TQGXIIPL</v>
      </c>
      <c r="I614" s="35" t="str">
        <f>IFERROR(_xlfn.XLOOKUP(Table6[[#This Row],[Affected WTG]],'Basic Data'!$A:$A,'Basic Data'!$C:$C),"")</f>
        <v>GEDA</v>
      </c>
      <c r="J614" s="260">
        <f>IFERROR(_xlfn.XLOOKUP(Table6[[#This Row],[Affected WTG]],'Basic Data'!$A:$A,'Basic Data'!$E:$E),"")</f>
        <v>3.846153846153845E-2</v>
      </c>
      <c r="K614" s="102">
        <v>3420</v>
      </c>
      <c r="L614" s="35" t="str">
        <f>IFERROR(_xlfn.XLOOKUP(Table6[[#This Row],[Error Code]],'Basic Data'!$AA:$AA,'Basic Data'!$AB:$AB),"Incorrect Error Code")</f>
        <v>UPS buffer time too short</v>
      </c>
      <c r="M614" s="35" t="s">
        <v>266</v>
      </c>
      <c r="N614" s="264"/>
      <c r="O614" s="265">
        <v>0.10347222222222222</v>
      </c>
      <c r="P614" s="265">
        <v>0.10347222222222222</v>
      </c>
      <c r="Q614" s="266">
        <v>0.15277777777777779</v>
      </c>
      <c r="R614" s="261">
        <f>IF(Table6[[#This Row],[Work Start TimeStamp]]="","",(Table6[[#This Row],[Work Start TimeStamp]]-Table6[[#This Row],[Fault Start TimeStamp]])*24)</f>
        <v>0</v>
      </c>
      <c r="S614" s="261">
        <f>(Table6[[#This Row],[Fault Clearance time]]-Table6[[#This Row],[Work Start TimeStamp]])*24</f>
        <v>1.1833333333333338</v>
      </c>
      <c r="T614" s="261">
        <f>(Table6[[#This Row],[Fault Clearance time]]-Table6[[#This Row],[Fault Start TimeStamp]])*24</f>
        <v>1.1833333333333338</v>
      </c>
      <c r="U614" s="35" t="s">
        <v>406</v>
      </c>
      <c r="V614" s="102" t="s">
        <v>268</v>
      </c>
      <c r="W614" s="267">
        <f>IFERROR(Table6[[#This Row],[Breakdown Time]]*Table6[[#This Row],[Plant Equivalent Weightage]],"")</f>
        <v>4.5512820512820518E-2</v>
      </c>
      <c r="X614" s="262" t="s">
        <v>269</v>
      </c>
      <c r="Y614" s="263" t="s">
        <v>116</v>
      </c>
      <c r="Z614" s="102">
        <v>16965</v>
      </c>
      <c r="AA614" s="257">
        <f>(Table6[[#This Row],[Paired WTG Generation for loss calculation]]/24)*Table6[[#This Row],[Breakdown Time]]</f>
        <v>836.46875000000034</v>
      </c>
      <c r="AB614" s="102"/>
      <c r="AC614" s="35"/>
      <c r="AD614" s="35"/>
    </row>
    <row r="615" spans="1:30">
      <c r="A615" s="102">
        <f t="shared" si="10"/>
        <v>614</v>
      </c>
      <c r="B615" s="257">
        <f>YEAR(Table6[[#This Row],[Date]])+IF(MONTH(Table6[[#This Row],[Date]])&gt;=4,1,0)</f>
        <v>2026</v>
      </c>
      <c r="C615" s="102">
        <f>YEAR(Table6[[#This Row],[Date]])</f>
        <v>2025</v>
      </c>
      <c r="D615" s="102" t="s">
        <v>265</v>
      </c>
      <c r="E615" s="258">
        <f>Table6[[#This Row],[Date]]-DAY(Table6[[#This Row],[Date]])+1</f>
        <v>45778</v>
      </c>
      <c r="F615" s="259">
        <v>45784</v>
      </c>
      <c r="G615" s="35" t="s">
        <v>122</v>
      </c>
      <c r="H615" s="35" t="str">
        <f>IFERROR(_xlfn.XLOOKUP(Table6[[#This Row],[Affected WTG]],'Basic Data'!$A:$A,'Basic Data'!$B:$B),"")</f>
        <v>TQGXIIPL</v>
      </c>
      <c r="I615" s="35" t="str">
        <f>IFERROR(_xlfn.XLOOKUP(Table6[[#This Row],[Affected WTG]],'Basic Data'!$A:$A,'Basic Data'!$C:$C),"")</f>
        <v>GEDA</v>
      </c>
      <c r="J615" s="260">
        <f>IFERROR(_xlfn.XLOOKUP(Table6[[#This Row],[Affected WTG]],'Basic Data'!$A:$A,'Basic Data'!$E:$E),"")</f>
        <v>3.846153846153845E-2</v>
      </c>
      <c r="K615" s="102">
        <v>3420</v>
      </c>
      <c r="L615" s="35" t="str">
        <f>IFERROR(_xlfn.XLOOKUP(Table6[[#This Row],[Error Code]],'Basic Data'!$AA:$AA,'Basic Data'!$AB:$AB),"Incorrect Error Code")</f>
        <v>UPS buffer time too short</v>
      </c>
      <c r="M615" s="35" t="s">
        <v>266</v>
      </c>
      <c r="N615" s="264"/>
      <c r="O615" s="265">
        <v>9.0277777777777776E-2</v>
      </c>
      <c r="P615" s="265">
        <v>9.0277777777777776E-2</v>
      </c>
      <c r="Q615" s="266">
        <v>0.14027777777777778</v>
      </c>
      <c r="R615" s="261">
        <f>IF(Table6[[#This Row],[Work Start TimeStamp]]="","",(Table6[[#This Row],[Work Start TimeStamp]]-Table6[[#This Row],[Fault Start TimeStamp]])*24)</f>
        <v>0</v>
      </c>
      <c r="S615" s="261">
        <f>(Table6[[#This Row],[Fault Clearance time]]-Table6[[#This Row],[Work Start TimeStamp]])*24</f>
        <v>1.2000000000000002</v>
      </c>
      <c r="T615" s="261">
        <f>(Table6[[#This Row],[Fault Clearance time]]-Table6[[#This Row],[Fault Start TimeStamp]])*24</f>
        <v>1.2000000000000002</v>
      </c>
      <c r="U615" s="35" t="s">
        <v>408</v>
      </c>
      <c r="V615" s="102" t="s">
        <v>268</v>
      </c>
      <c r="W615" s="267">
        <f>IFERROR(Table6[[#This Row],[Breakdown Time]]*Table6[[#This Row],[Plant Equivalent Weightage]],"")</f>
        <v>4.6153846153846149E-2</v>
      </c>
      <c r="X615" s="262" t="s">
        <v>269</v>
      </c>
      <c r="Y615" s="263" t="s">
        <v>140</v>
      </c>
      <c r="Z615" s="102">
        <v>15166</v>
      </c>
      <c r="AA615" s="257">
        <f>(Table6[[#This Row],[Paired WTG Generation for loss calculation]]/24)*Table6[[#This Row],[Breakdown Time]]</f>
        <v>758.30000000000007</v>
      </c>
      <c r="AB615" s="102"/>
      <c r="AC615" s="35"/>
      <c r="AD615" s="35"/>
    </row>
    <row r="616" spans="1:30">
      <c r="A616" s="102">
        <f t="shared" si="10"/>
        <v>615</v>
      </c>
      <c r="B616" s="257">
        <f>YEAR(Table6[[#This Row],[Date]])+IF(MONTH(Table6[[#This Row],[Date]])&gt;=4,1,0)</f>
        <v>2026</v>
      </c>
      <c r="C616" s="102">
        <f>YEAR(Table6[[#This Row],[Date]])</f>
        <v>2025</v>
      </c>
      <c r="D616" s="102" t="s">
        <v>265</v>
      </c>
      <c r="E616" s="258">
        <f>Table6[[#This Row],[Date]]-DAY(Table6[[#This Row],[Date]])+1</f>
        <v>45778</v>
      </c>
      <c r="F616" s="259">
        <v>45784</v>
      </c>
      <c r="G616" s="35" t="s">
        <v>123</v>
      </c>
      <c r="H616" s="35" t="str">
        <f>IFERROR(_xlfn.XLOOKUP(Table6[[#This Row],[Affected WTG]],'Basic Data'!$A:$A,'Basic Data'!$B:$B),"")</f>
        <v>TQGXIIPL</v>
      </c>
      <c r="I616" s="35" t="str">
        <f>IFERROR(_xlfn.XLOOKUP(Table6[[#This Row],[Affected WTG]],'Basic Data'!$A:$A,'Basic Data'!$C:$C),"")</f>
        <v>GEDA</v>
      </c>
      <c r="J616" s="260">
        <f>IFERROR(_xlfn.XLOOKUP(Table6[[#This Row],[Affected WTG]],'Basic Data'!$A:$A,'Basic Data'!$E:$E),"")</f>
        <v>3.846153846153845E-2</v>
      </c>
      <c r="K616" s="102">
        <v>3420</v>
      </c>
      <c r="L616" s="35" t="str">
        <f>IFERROR(_xlfn.XLOOKUP(Table6[[#This Row],[Error Code]],'Basic Data'!$AA:$AA,'Basic Data'!$AB:$AB),"Incorrect Error Code")</f>
        <v>UPS buffer time too short</v>
      </c>
      <c r="M616" s="35" t="s">
        <v>266</v>
      </c>
      <c r="N616" s="264"/>
      <c r="O616" s="265">
        <v>9.0277777777777776E-2</v>
      </c>
      <c r="P616" s="265">
        <v>9.0277777777777776E-2</v>
      </c>
      <c r="Q616" s="266">
        <v>0.14166666666666666</v>
      </c>
      <c r="R616" s="261">
        <f>IF(Table6[[#This Row],[Work Start TimeStamp]]="","",(Table6[[#This Row],[Work Start TimeStamp]]-Table6[[#This Row],[Fault Start TimeStamp]])*24)</f>
        <v>0</v>
      </c>
      <c r="S616" s="261">
        <f>(Table6[[#This Row],[Fault Clearance time]]-Table6[[#This Row],[Work Start TimeStamp]])*24</f>
        <v>1.2333333333333334</v>
      </c>
      <c r="T616" s="261">
        <f>(Table6[[#This Row],[Fault Clearance time]]-Table6[[#This Row],[Fault Start TimeStamp]])*24</f>
        <v>1.2333333333333334</v>
      </c>
      <c r="U616" s="35" t="s">
        <v>408</v>
      </c>
      <c r="V616" s="102" t="s">
        <v>268</v>
      </c>
      <c r="W616" s="267">
        <f>IFERROR(Table6[[#This Row],[Breakdown Time]]*Table6[[#This Row],[Plant Equivalent Weightage]],"")</f>
        <v>4.7435897435897427E-2</v>
      </c>
      <c r="X616" s="262" t="s">
        <v>269</v>
      </c>
      <c r="Y616" s="263" t="s">
        <v>117</v>
      </c>
      <c r="Z616" s="102">
        <v>1852</v>
      </c>
      <c r="AA616" s="257">
        <f>(Table6[[#This Row],[Paired WTG Generation for loss calculation]]/24)*Table6[[#This Row],[Breakdown Time]]</f>
        <v>95.172222222222231</v>
      </c>
      <c r="AB616" s="102"/>
      <c r="AC616" s="35"/>
      <c r="AD616" s="35"/>
    </row>
    <row r="617" spans="1:30">
      <c r="A617" s="102">
        <f t="shared" si="10"/>
        <v>616</v>
      </c>
      <c r="B617" s="257">
        <f>YEAR(Table6[[#This Row],[Date]])+IF(MONTH(Table6[[#This Row],[Date]])&gt;=4,1,0)</f>
        <v>2026</v>
      </c>
      <c r="C617" s="102">
        <f>YEAR(Table6[[#This Row],[Date]])</f>
        <v>2025</v>
      </c>
      <c r="D617" s="102" t="s">
        <v>265</v>
      </c>
      <c r="E617" s="258">
        <f>Table6[[#This Row],[Date]]-DAY(Table6[[#This Row],[Date]])+1</f>
        <v>45778</v>
      </c>
      <c r="F617" s="259">
        <v>45784</v>
      </c>
      <c r="G617" s="35" t="s">
        <v>124</v>
      </c>
      <c r="H617" s="35" t="str">
        <f>IFERROR(_xlfn.XLOOKUP(Table6[[#This Row],[Affected WTG]],'Basic Data'!$A:$A,'Basic Data'!$B:$B),"")</f>
        <v>TQGXIIPL</v>
      </c>
      <c r="I617" s="35" t="str">
        <f>IFERROR(_xlfn.XLOOKUP(Table6[[#This Row],[Affected WTG]],'Basic Data'!$A:$A,'Basic Data'!$C:$C),"")</f>
        <v>GEDA</v>
      </c>
      <c r="J617" s="260">
        <f>IFERROR(_xlfn.XLOOKUP(Table6[[#This Row],[Affected WTG]],'Basic Data'!$A:$A,'Basic Data'!$E:$E),"")</f>
        <v>3.846153846153845E-2</v>
      </c>
      <c r="K617" s="102">
        <v>3420</v>
      </c>
      <c r="L617" s="35" t="str">
        <f>IFERROR(_xlfn.XLOOKUP(Table6[[#This Row],[Error Code]],'Basic Data'!$AA:$AA,'Basic Data'!$AB:$AB),"Incorrect Error Code")</f>
        <v>UPS buffer time too short</v>
      </c>
      <c r="M617" s="35" t="s">
        <v>266</v>
      </c>
      <c r="N617" s="264"/>
      <c r="O617" s="265">
        <v>9.0277777777777776E-2</v>
      </c>
      <c r="P617" s="265">
        <v>9.0277777777777776E-2</v>
      </c>
      <c r="Q617" s="266">
        <v>0.14444444444444443</v>
      </c>
      <c r="R617" s="261">
        <f>IF(Table6[[#This Row],[Work Start TimeStamp]]="","",(Table6[[#This Row],[Work Start TimeStamp]]-Table6[[#This Row],[Fault Start TimeStamp]])*24)</f>
        <v>0</v>
      </c>
      <c r="S617" s="261">
        <f>(Table6[[#This Row],[Fault Clearance time]]-Table6[[#This Row],[Work Start TimeStamp]])*24</f>
        <v>1.2999999999999998</v>
      </c>
      <c r="T617" s="261">
        <f>(Table6[[#This Row],[Fault Clearance time]]-Table6[[#This Row],[Fault Start TimeStamp]])*24</f>
        <v>1.2999999999999998</v>
      </c>
      <c r="U617" s="35" t="s">
        <v>408</v>
      </c>
      <c r="V617" s="102" t="s">
        <v>268</v>
      </c>
      <c r="W617" s="267">
        <f>IFERROR(Table6[[#This Row],[Breakdown Time]]*Table6[[#This Row],[Plant Equivalent Weightage]],"")</f>
        <v>4.9999999999999975E-2</v>
      </c>
      <c r="X617" s="262" t="s">
        <v>269</v>
      </c>
      <c r="Y617" s="263" t="s">
        <v>129</v>
      </c>
      <c r="Z617" s="102">
        <v>14641</v>
      </c>
      <c r="AA617" s="257">
        <f>(Table6[[#This Row],[Paired WTG Generation for loss calculation]]/24)*Table6[[#This Row],[Breakdown Time]]</f>
        <v>793.05416666666656</v>
      </c>
      <c r="AB617" s="102"/>
      <c r="AC617" s="35"/>
      <c r="AD617" s="35"/>
    </row>
    <row r="618" spans="1:30">
      <c r="A618" s="102">
        <f t="shared" si="10"/>
        <v>617</v>
      </c>
      <c r="B618" s="257">
        <f>YEAR(Table6[[#This Row],[Date]])+IF(MONTH(Table6[[#This Row],[Date]])&gt;=4,1,0)</f>
        <v>2026</v>
      </c>
      <c r="C618" s="102">
        <f>YEAR(Table6[[#This Row],[Date]])</f>
        <v>2025</v>
      </c>
      <c r="D618" s="102" t="s">
        <v>265</v>
      </c>
      <c r="E618" s="258">
        <f>Table6[[#This Row],[Date]]-DAY(Table6[[#This Row],[Date]])+1</f>
        <v>45778</v>
      </c>
      <c r="F618" s="259">
        <v>45784</v>
      </c>
      <c r="G618" s="35" t="s">
        <v>125</v>
      </c>
      <c r="H618" s="35" t="str">
        <f>IFERROR(_xlfn.XLOOKUP(Table6[[#This Row],[Affected WTG]],'Basic Data'!$A:$A,'Basic Data'!$B:$B),"")</f>
        <v>TQGXIIPL</v>
      </c>
      <c r="I618" s="35" t="str">
        <f>IFERROR(_xlfn.XLOOKUP(Table6[[#This Row],[Affected WTG]],'Basic Data'!$A:$A,'Basic Data'!$C:$C),"")</f>
        <v>GEDA</v>
      </c>
      <c r="J618" s="260">
        <f>IFERROR(_xlfn.XLOOKUP(Table6[[#This Row],[Affected WTG]],'Basic Data'!$A:$A,'Basic Data'!$E:$E),"")</f>
        <v>3.846153846153845E-2</v>
      </c>
      <c r="K618" s="102">
        <v>3420</v>
      </c>
      <c r="L618" s="35" t="str">
        <f>IFERROR(_xlfn.XLOOKUP(Table6[[#This Row],[Error Code]],'Basic Data'!$AA:$AA,'Basic Data'!$AB:$AB),"Incorrect Error Code")</f>
        <v>UPS buffer time too short</v>
      </c>
      <c r="M618" s="35" t="s">
        <v>266</v>
      </c>
      <c r="N618" s="264"/>
      <c r="O618" s="265">
        <v>9.0277777777777776E-2</v>
      </c>
      <c r="P618" s="265">
        <v>9.0277777777777776E-2</v>
      </c>
      <c r="Q618" s="266">
        <v>9.2361111111111116E-2</v>
      </c>
      <c r="R618" s="261">
        <f>IF(Table6[[#This Row],[Work Start TimeStamp]]="","",(Table6[[#This Row],[Work Start TimeStamp]]-Table6[[#This Row],[Fault Start TimeStamp]])*24)</f>
        <v>0</v>
      </c>
      <c r="S618" s="261">
        <f>(Table6[[#This Row],[Fault Clearance time]]-Table6[[#This Row],[Work Start TimeStamp]])*24</f>
        <v>5.0000000000000155E-2</v>
      </c>
      <c r="T618" s="261">
        <f>(Table6[[#This Row],[Fault Clearance time]]-Table6[[#This Row],[Fault Start TimeStamp]])*24</f>
        <v>5.0000000000000155E-2</v>
      </c>
      <c r="U618" s="35" t="s">
        <v>408</v>
      </c>
      <c r="V618" s="102" t="s">
        <v>268</v>
      </c>
      <c r="W618" s="267">
        <f>IFERROR(Table6[[#This Row],[Breakdown Time]]*Table6[[#This Row],[Plant Equivalent Weightage]],"")</f>
        <v>1.9230769230769284E-3</v>
      </c>
      <c r="X618" s="262" t="s">
        <v>269</v>
      </c>
      <c r="Y618" s="263" t="s">
        <v>126</v>
      </c>
      <c r="Z618" s="102">
        <v>11445</v>
      </c>
      <c r="AA618" s="257">
        <f>(Table6[[#This Row],[Paired WTG Generation for loss calculation]]/24)*Table6[[#This Row],[Breakdown Time]]</f>
        <v>23.843750000000075</v>
      </c>
      <c r="AB618" s="102"/>
      <c r="AC618" s="35"/>
      <c r="AD618" s="35"/>
    </row>
    <row r="619" spans="1:30">
      <c r="A619" s="102">
        <f t="shared" si="10"/>
        <v>618</v>
      </c>
      <c r="B619" s="257">
        <f>YEAR(Table6[[#This Row],[Date]])+IF(MONTH(Table6[[#This Row],[Date]])&gt;=4,1,0)</f>
        <v>2026</v>
      </c>
      <c r="C619" s="102">
        <f>YEAR(Table6[[#This Row],[Date]])</f>
        <v>2025</v>
      </c>
      <c r="D619" s="102" t="s">
        <v>265</v>
      </c>
      <c r="E619" s="258">
        <f>Table6[[#This Row],[Date]]-DAY(Table6[[#This Row],[Date]])+1</f>
        <v>45778</v>
      </c>
      <c r="F619" s="259">
        <v>45784</v>
      </c>
      <c r="G619" s="35" t="s">
        <v>125</v>
      </c>
      <c r="H619" s="35" t="str">
        <f>IFERROR(_xlfn.XLOOKUP(Table6[[#This Row],[Affected WTG]],'Basic Data'!$A:$A,'Basic Data'!$B:$B),"")</f>
        <v>TQGXIIPL</v>
      </c>
      <c r="I619" s="35" t="str">
        <f>IFERROR(_xlfn.XLOOKUP(Table6[[#This Row],[Affected WTG]],'Basic Data'!$A:$A,'Basic Data'!$C:$C),"")</f>
        <v>GEDA</v>
      </c>
      <c r="J619" s="260">
        <f>IFERROR(_xlfn.XLOOKUP(Table6[[#This Row],[Affected WTG]],'Basic Data'!$A:$A,'Basic Data'!$E:$E),"")</f>
        <v>3.846153846153845E-2</v>
      </c>
      <c r="K619" s="102">
        <v>3420</v>
      </c>
      <c r="L619" s="35" t="str">
        <f>IFERROR(_xlfn.XLOOKUP(Table6[[#This Row],[Error Code]],'Basic Data'!$AA:$AA,'Basic Data'!$AB:$AB),"Incorrect Error Code")</f>
        <v>UPS buffer time too short</v>
      </c>
      <c r="M619" s="35" t="s">
        <v>266</v>
      </c>
      <c r="N619" s="264"/>
      <c r="O619" s="265">
        <v>0.70694444444444449</v>
      </c>
      <c r="P619" s="265">
        <v>0.70694444444444449</v>
      </c>
      <c r="Q619" s="266">
        <v>0.72777777777777775</v>
      </c>
      <c r="R619" s="261">
        <f>IF(Table6[[#This Row],[Work Start TimeStamp]]="","",(Table6[[#This Row],[Work Start TimeStamp]]-Table6[[#This Row],[Fault Start TimeStamp]])*24)</f>
        <v>0</v>
      </c>
      <c r="S619" s="261">
        <f>(Table6[[#This Row],[Fault Clearance time]]-Table6[[#This Row],[Work Start TimeStamp]])*24</f>
        <v>0.49999999999999822</v>
      </c>
      <c r="T619" s="261">
        <f>(Table6[[#This Row],[Fault Clearance time]]-Table6[[#This Row],[Fault Start TimeStamp]])*24</f>
        <v>0.49999999999999822</v>
      </c>
      <c r="U619" s="35" t="s">
        <v>408</v>
      </c>
      <c r="V619" s="102" t="s">
        <v>268</v>
      </c>
      <c r="W619" s="267">
        <f>IFERROR(Table6[[#This Row],[Breakdown Time]]*Table6[[#This Row],[Plant Equivalent Weightage]],"")</f>
        <v>1.9230769230769156E-2</v>
      </c>
      <c r="X619" s="262" t="s">
        <v>269</v>
      </c>
      <c r="Y619" s="263" t="s">
        <v>126</v>
      </c>
      <c r="Z619" s="102">
        <v>11445</v>
      </c>
      <c r="AA619" s="257">
        <f>(Table6[[#This Row],[Paired WTG Generation for loss calculation]]/24)*Table6[[#This Row],[Breakdown Time]]</f>
        <v>238.43749999999915</v>
      </c>
      <c r="AB619" s="102"/>
      <c r="AC619" s="35"/>
      <c r="AD619" s="35"/>
    </row>
    <row r="620" spans="1:30">
      <c r="A620" s="102">
        <f t="shared" si="10"/>
        <v>619</v>
      </c>
      <c r="B620" s="257">
        <f>YEAR(Table6[[#This Row],[Date]])+IF(MONTH(Table6[[#This Row],[Date]])&gt;=4,1,0)</f>
        <v>2026</v>
      </c>
      <c r="C620" s="102">
        <f>YEAR(Table6[[#This Row],[Date]])</f>
        <v>2025</v>
      </c>
      <c r="D620" s="102" t="s">
        <v>265</v>
      </c>
      <c r="E620" s="258">
        <f>Table6[[#This Row],[Date]]-DAY(Table6[[#This Row],[Date]])+1</f>
        <v>45778</v>
      </c>
      <c r="F620" s="259">
        <v>45784</v>
      </c>
      <c r="G620" s="35" t="s">
        <v>126</v>
      </c>
      <c r="H620" s="35" t="str">
        <f>IFERROR(_xlfn.XLOOKUP(Table6[[#This Row],[Affected WTG]],'Basic Data'!$A:$A,'Basic Data'!$B:$B),"")</f>
        <v>TQGXIIPL</v>
      </c>
      <c r="I620" s="35" t="str">
        <f>IFERROR(_xlfn.XLOOKUP(Table6[[#This Row],[Affected WTG]],'Basic Data'!$A:$A,'Basic Data'!$C:$C),"")</f>
        <v>GEDA</v>
      </c>
      <c r="J620" s="260">
        <f>IFERROR(_xlfn.XLOOKUP(Table6[[#This Row],[Affected WTG]],'Basic Data'!$A:$A,'Basic Data'!$E:$E),"")</f>
        <v>3.846153846153845E-2</v>
      </c>
      <c r="K620" s="102">
        <v>3420</v>
      </c>
      <c r="L620" s="35" t="str">
        <f>IFERROR(_xlfn.XLOOKUP(Table6[[#This Row],[Error Code]],'Basic Data'!$AA:$AA,'Basic Data'!$AB:$AB),"Incorrect Error Code")</f>
        <v>UPS buffer time too short</v>
      </c>
      <c r="M620" s="35" t="s">
        <v>266</v>
      </c>
      <c r="N620" s="264"/>
      <c r="O620" s="265">
        <v>9.0277777777777776E-2</v>
      </c>
      <c r="P620" s="265">
        <v>9.0277777777777776E-2</v>
      </c>
      <c r="Q620" s="266">
        <v>9.7222222222222224E-2</v>
      </c>
      <c r="R620" s="261">
        <f>IF(Table6[[#This Row],[Work Start TimeStamp]]="","",(Table6[[#This Row],[Work Start TimeStamp]]-Table6[[#This Row],[Fault Start TimeStamp]])*24)</f>
        <v>0</v>
      </c>
      <c r="S620" s="261">
        <f>(Table6[[#This Row],[Fault Clearance time]]-Table6[[#This Row],[Work Start TimeStamp]])*24</f>
        <v>0.16666666666666674</v>
      </c>
      <c r="T620" s="261">
        <f>(Table6[[#This Row],[Fault Clearance time]]-Table6[[#This Row],[Fault Start TimeStamp]])*24</f>
        <v>0.16666666666666674</v>
      </c>
      <c r="U620" s="35" t="s">
        <v>408</v>
      </c>
      <c r="V620" s="102" t="s">
        <v>268</v>
      </c>
      <c r="W620" s="267">
        <f>IFERROR(Table6[[#This Row],[Breakdown Time]]*Table6[[#This Row],[Plant Equivalent Weightage]],"")</f>
        <v>6.4102564102564109E-3</v>
      </c>
      <c r="X620" s="262" t="s">
        <v>269</v>
      </c>
      <c r="Y620" s="263" t="s">
        <v>128</v>
      </c>
      <c r="Z620" s="102">
        <v>14856</v>
      </c>
      <c r="AA620" s="257">
        <f>(Table6[[#This Row],[Paired WTG Generation for loss calculation]]/24)*Table6[[#This Row],[Breakdown Time]]</f>
        <v>103.16666666666671</v>
      </c>
      <c r="AB620" s="102"/>
      <c r="AC620" s="35"/>
      <c r="AD620" s="35"/>
    </row>
    <row r="621" spans="1:30">
      <c r="A621" s="102">
        <f t="shared" si="10"/>
        <v>620</v>
      </c>
      <c r="B621" s="257">
        <f>YEAR(Table6[[#This Row],[Date]])+IF(MONTH(Table6[[#This Row],[Date]])&gt;=4,1,0)</f>
        <v>2026</v>
      </c>
      <c r="C621" s="102">
        <f>YEAR(Table6[[#This Row],[Date]])</f>
        <v>2025</v>
      </c>
      <c r="D621" s="102" t="s">
        <v>265</v>
      </c>
      <c r="E621" s="258">
        <f>Table6[[#This Row],[Date]]-DAY(Table6[[#This Row],[Date]])+1</f>
        <v>45778</v>
      </c>
      <c r="F621" s="259">
        <v>45784</v>
      </c>
      <c r="G621" s="35" t="s">
        <v>126</v>
      </c>
      <c r="H621" s="35" t="str">
        <f>IFERROR(_xlfn.XLOOKUP(Table6[[#This Row],[Affected WTG]],'Basic Data'!$A:$A,'Basic Data'!$B:$B),"")</f>
        <v>TQGXIIPL</v>
      </c>
      <c r="I621" s="35" t="str">
        <f>IFERROR(_xlfn.XLOOKUP(Table6[[#This Row],[Affected WTG]],'Basic Data'!$A:$A,'Basic Data'!$C:$C),"")</f>
        <v>GEDA</v>
      </c>
      <c r="J621" s="260">
        <f>IFERROR(_xlfn.XLOOKUP(Table6[[#This Row],[Affected WTG]],'Basic Data'!$A:$A,'Basic Data'!$E:$E),"")</f>
        <v>3.846153846153845E-2</v>
      </c>
      <c r="K621" s="102">
        <v>5516</v>
      </c>
      <c r="L621" s="35" t="str">
        <f>IFERROR(_xlfn.XLOOKUP(Table6[[#This Row],[Error Code]],'Basic Data'!$AA:$AA,'Basic Data'!$AB:$AB),"Incorrect Error Code")</f>
        <v>Rot.br. press. low</v>
      </c>
      <c r="M621" s="35" t="s">
        <v>266</v>
      </c>
      <c r="N621" s="264"/>
      <c r="O621" s="265">
        <v>0.15486111111111112</v>
      </c>
      <c r="P621" s="265">
        <v>0.15486111111111112</v>
      </c>
      <c r="Q621" s="266">
        <v>0.3611111111111111</v>
      </c>
      <c r="R621" s="261">
        <f>IF(Table6[[#This Row],[Work Start TimeStamp]]="","",(Table6[[#This Row],[Work Start TimeStamp]]-Table6[[#This Row],[Fault Start TimeStamp]])*24)</f>
        <v>0</v>
      </c>
      <c r="S621" s="261">
        <f>(Table6[[#This Row],[Fault Clearance time]]-Table6[[#This Row],[Work Start TimeStamp]])*24</f>
        <v>4.9499999999999993</v>
      </c>
      <c r="T621" s="261">
        <f>(Table6[[#This Row],[Fault Clearance time]]-Table6[[#This Row],[Fault Start TimeStamp]])*24</f>
        <v>4.9499999999999993</v>
      </c>
      <c r="U621" s="35" t="s">
        <v>409</v>
      </c>
      <c r="V621" s="102" t="s">
        <v>268</v>
      </c>
      <c r="W621" s="267">
        <f>IFERROR(Table6[[#This Row],[Breakdown Time]]*Table6[[#This Row],[Plant Equivalent Weightage]],"")</f>
        <v>0.19038461538461529</v>
      </c>
      <c r="X621" s="262" t="s">
        <v>269</v>
      </c>
      <c r="Y621" s="263" t="s">
        <v>128</v>
      </c>
      <c r="Z621" s="102">
        <v>14856</v>
      </c>
      <c r="AA621" s="257">
        <f>(Table6[[#This Row],[Paired WTG Generation for loss calculation]]/24)*Table6[[#This Row],[Breakdown Time]]</f>
        <v>3064.0499999999997</v>
      </c>
      <c r="AB621" s="102"/>
      <c r="AC621" s="35"/>
      <c r="AD621" s="35"/>
    </row>
    <row r="622" spans="1:30">
      <c r="A622" s="102">
        <f t="shared" si="10"/>
        <v>621</v>
      </c>
      <c r="B622" s="257">
        <f>YEAR(Table6[[#This Row],[Date]])+IF(MONTH(Table6[[#This Row],[Date]])&gt;=4,1,0)</f>
        <v>2026</v>
      </c>
      <c r="C622" s="102">
        <f>YEAR(Table6[[#This Row],[Date]])</f>
        <v>2025</v>
      </c>
      <c r="D622" s="102" t="s">
        <v>265</v>
      </c>
      <c r="E622" s="258">
        <f>Table6[[#This Row],[Date]]-DAY(Table6[[#This Row],[Date]])+1</f>
        <v>45778</v>
      </c>
      <c r="F622" s="259">
        <v>45784</v>
      </c>
      <c r="G622" s="35" t="s">
        <v>126</v>
      </c>
      <c r="H622" s="35" t="str">
        <f>IFERROR(_xlfn.XLOOKUP(Table6[[#This Row],[Affected WTG]],'Basic Data'!$A:$A,'Basic Data'!$B:$B),"")</f>
        <v>TQGXIIPL</v>
      </c>
      <c r="I622" s="35" t="str">
        <f>IFERROR(_xlfn.XLOOKUP(Table6[[#This Row],[Affected WTG]],'Basic Data'!$A:$A,'Basic Data'!$C:$C),"")</f>
        <v>GEDA</v>
      </c>
      <c r="J622" s="260">
        <f>IFERROR(_xlfn.XLOOKUP(Table6[[#This Row],[Affected WTG]],'Basic Data'!$A:$A,'Basic Data'!$E:$E),"")</f>
        <v>3.846153846153845E-2</v>
      </c>
      <c r="K622" s="102">
        <v>5516</v>
      </c>
      <c r="L622" s="35" t="str">
        <f>IFERROR(_xlfn.XLOOKUP(Table6[[#This Row],[Error Code]],'Basic Data'!$AA:$AA,'Basic Data'!$AB:$AB),"Incorrect Error Code")</f>
        <v>Rot.br. press. low</v>
      </c>
      <c r="M622" s="35" t="s">
        <v>266</v>
      </c>
      <c r="N622" s="264"/>
      <c r="O622" s="265">
        <v>0.3611111111111111</v>
      </c>
      <c r="P622" s="265">
        <v>0.3611111111111111</v>
      </c>
      <c r="Q622" s="266">
        <v>0.37638888888888888</v>
      </c>
      <c r="R622" s="261">
        <f>IF(Table6[[#This Row],[Work Start TimeStamp]]="","",(Table6[[#This Row],[Work Start TimeStamp]]-Table6[[#This Row],[Fault Start TimeStamp]])*24)</f>
        <v>0</v>
      </c>
      <c r="S622" s="261">
        <f>(Table6[[#This Row],[Fault Clearance time]]-Table6[[#This Row],[Work Start TimeStamp]])*24</f>
        <v>0.3666666666666667</v>
      </c>
      <c r="T622" s="261">
        <f>(Table6[[#This Row],[Fault Clearance time]]-Table6[[#This Row],[Fault Start TimeStamp]])*24</f>
        <v>0.3666666666666667</v>
      </c>
      <c r="U622" s="35" t="s">
        <v>410</v>
      </c>
      <c r="V622" s="102" t="s">
        <v>268</v>
      </c>
      <c r="W622" s="267">
        <f>IFERROR(Table6[[#This Row],[Breakdown Time]]*Table6[[#This Row],[Plant Equivalent Weightage]],"")</f>
        <v>1.4102564102564099E-2</v>
      </c>
      <c r="X622" s="262" t="s">
        <v>269</v>
      </c>
      <c r="Y622" s="263" t="s">
        <v>128</v>
      </c>
      <c r="Z622" s="102">
        <v>14856</v>
      </c>
      <c r="AA622" s="257">
        <f>(Table6[[#This Row],[Paired WTG Generation for loss calculation]]/24)*Table6[[#This Row],[Breakdown Time]]</f>
        <v>226.9666666666667</v>
      </c>
      <c r="AB622" s="102"/>
      <c r="AC622" s="35"/>
      <c r="AD622" s="35"/>
    </row>
    <row r="623" spans="1:30">
      <c r="A623" s="102">
        <f t="shared" si="10"/>
        <v>622</v>
      </c>
      <c r="B623" s="257">
        <f>YEAR(Table6[[#This Row],[Date]])+IF(MONTH(Table6[[#This Row],[Date]])&gt;=4,1,0)</f>
        <v>2026</v>
      </c>
      <c r="C623" s="102">
        <f>YEAR(Table6[[#This Row],[Date]])</f>
        <v>2025</v>
      </c>
      <c r="D623" s="102" t="s">
        <v>265</v>
      </c>
      <c r="E623" s="258">
        <f>Table6[[#This Row],[Date]]-DAY(Table6[[#This Row],[Date]])+1</f>
        <v>45778</v>
      </c>
      <c r="F623" s="259">
        <v>45784</v>
      </c>
      <c r="G623" s="35" t="s">
        <v>126</v>
      </c>
      <c r="H623" s="35" t="str">
        <f>IFERROR(_xlfn.XLOOKUP(Table6[[#This Row],[Affected WTG]],'Basic Data'!$A:$A,'Basic Data'!$B:$B),"")</f>
        <v>TQGXIIPL</v>
      </c>
      <c r="I623" s="35" t="str">
        <f>IFERROR(_xlfn.XLOOKUP(Table6[[#This Row],[Affected WTG]],'Basic Data'!$A:$A,'Basic Data'!$C:$C),"")</f>
        <v>GEDA</v>
      </c>
      <c r="J623" s="260">
        <f>IFERROR(_xlfn.XLOOKUP(Table6[[#This Row],[Affected WTG]],'Basic Data'!$A:$A,'Basic Data'!$E:$E),"")</f>
        <v>3.846153846153845E-2</v>
      </c>
      <c r="K623" s="102">
        <v>175</v>
      </c>
      <c r="L623" s="35" t="str">
        <f>IFERROR(_xlfn.XLOOKUP(Table6[[#This Row],[Error Code]],'Basic Data'!$AA:$AA,'Basic Data'!$AB:$AB),"Incorrect Error Code")</f>
        <v>SLC error</v>
      </c>
      <c r="M623" s="35" t="s">
        <v>266</v>
      </c>
      <c r="N623" s="264"/>
      <c r="O623" s="265">
        <v>9.7222222222222224E-2</v>
      </c>
      <c r="P623" s="265">
        <v>9.7222222222222224E-2</v>
      </c>
      <c r="Q623" s="266">
        <v>0.11527777777777778</v>
      </c>
      <c r="R623" s="261">
        <f>IF(Table6[[#This Row],[Work Start TimeStamp]]="","",(Table6[[#This Row],[Work Start TimeStamp]]-Table6[[#This Row],[Fault Start TimeStamp]])*24)</f>
        <v>0</v>
      </c>
      <c r="S623" s="261">
        <f>(Table6[[#This Row],[Fault Clearance time]]-Table6[[#This Row],[Work Start TimeStamp]])*24</f>
        <v>0.43333333333333346</v>
      </c>
      <c r="T623" s="261">
        <f>(Table6[[#This Row],[Fault Clearance time]]-Table6[[#This Row],[Fault Start TimeStamp]])*24</f>
        <v>0.43333333333333346</v>
      </c>
      <c r="U623" s="35" t="s">
        <v>408</v>
      </c>
      <c r="V623" s="102" t="s">
        <v>268</v>
      </c>
      <c r="W623" s="267">
        <f>IFERROR(Table6[[#This Row],[Breakdown Time]]*Table6[[#This Row],[Plant Equivalent Weightage]],"")</f>
        <v>1.6666666666666666E-2</v>
      </c>
      <c r="X623" s="262" t="s">
        <v>269</v>
      </c>
      <c r="Y623" s="263" t="s">
        <v>128</v>
      </c>
      <c r="Z623" s="102">
        <v>14856</v>
      </c>
      <c r="AA623" s="257">
        <f>(Table6[[#This Row],[Paired WTG Generation for loss calculation]]/24)*Table6[[#This Row],[Breakdown Time]]</f>
        <v>268.23333333333341</v>
      </c>
      <c r="AB623" s="102"/>
      <c r="AC623" s="35"/>
      <c r="AD623" s="35"/>
    </row>
    <row r="624" spans="1:30">
      <c r="A624" s="102">
        <f t="shared" si="10"/>
        <v>623</v>
      </c>
      <c r="B624" s="257">
        <f>YEAR(Table6[[#This Row],[Date]])+IF(MONTH(Table6[[#This Row],[Date]])&gt;=4,1,0)</f>
        <v>2026</v>
      </c>
      <c r="C624" s="102">
        <f>YEAR(Table6[[#This Row],[Date]])</f>
        <v>2025</v>
      </c>
      <c r="D624" s="102" t="s">
        <v>265</v>
      </c>
      <c r="E624" s="258">
        <f>Table6[[#This Row],[Date]]-DAY(Table6[[#This Row],[Date]])+1</f>
        <v>45778</v>
      </c>
      <c r="F624" s="259">
        <v>45784</v>
      </c>
      <c r="G624" s="35" t="s">
        <v>126</v>
      </c>
      <c r="H624" s="35" t="str">
        <f>IFERROR(_xlfn.XLOOKUP(Table6[[#This Row],[Affected WTG]],'Basic Data'!$A:$A,'Basic Data'!$B:$B),"")</f>
        <v>TQGXIIPL</v>
      </c>
      <c r="I624" s="35" t="str">
        <f>IFERROR(_xlfn.XLOOKUP(Table6[[#This Row],[Affected WTG]],'Basic Data'!$A:$A,'Basic Data'!$C:$C),"")</f>
        <v>GEDA</v>
      </c>
      <c r="J624" s="260">
        <f>IFERROR(_xlfn.XLOOKUP(Table6[[#This Row],[Affected WTG]],'Basic Data'!$A:$A,'Basic Data'!$E:$E),"")</f>
        <v>3.846153846153845E-2</v>
      </c>
      <c r="K624" s="102">
        <v>175</v>
      </c>
      <c r="L624" s="35" t="str">
        <f>IFERROR(_xlfn.XLOOKUP(Table6[[#This Row],[Error Code]],'Basic Data'!$AA:$AA,'Basic Data'!$AB:$AB),"Incorrect Error Code")</f>
        <v>SLC error</v>
      </c>
      <c r="M624" s="35" t="s">
        <v>266</v>
      </c>
      <c r="N624" s="264"/>
      <c r="O624" s="265">
        <v>0.70694444444444449</v>
      </c>
      <c r="P624" s="265">
        <v>0.70694444444444449</v>
      </c>
      <c r="Q624" s="266">
        <v>0.72847222222222219</v>
      </c>
      <c r="R624" s="261">
        <f>IF(Table6[[#This Row],[Work Start TimeStamp]]="","",(Table6[[#This Row],[Work Start TimeStamp]]-Table6[[#This Row],[Fault Start TimeStamp]])*24)</f>
        <v>0</v>
      </c>
      <c r="S624" s="261">
        <f>(Table6[[#This Row],[Fault Clearance time]]-Table6[[#This Row],[Work Start TimeStamp]])*24</f>
        <v>0.51666666666666483</v>
      </c>
      <c r="T624" s="261">
        <f>(Table6[[#This Row],[Fault Clearance time]]-Table6[[#This Row],[Fault Start TimeStamp]])*24</f>
        <v>0.51666666666666483</v>
      </c>
      <c r="U624" s="35" t="s">
        <v>408</v>
      </c>
      <c r="V624" s="102" t="s">
        <v>268</v>
      </c>
      <c r="W624" s="267">
        <f>IFERROR(Table6[[#This Row],[Breakdown Time]]*Table6[[#This Row],[Plant Equivalent Weightage]],"")</f>
        <v>1.9871794871794794E-2</v>
      </c>
      <c r="X624" s="262" t="s">
        <v>269</v>
      </c>
      <c r="Y624" s="263" t="s">
        <v>128</v>
      </c>
      <c r="Z624" s="102">
        <v>14856</v>
      </c>
      <c r="AA624" s="257">
        <f>(Table6[[#This Row],[Paired WTG Generation for loss calculation]]/24)*Table6[[#This Row],[Breakdown Time]]</f>
        <v>319.81666666666553</v>
      </c>
      <c r="AB624" s="102"/>
      <c r="AC624" s="35"/>
      <c r="AD624" s="35"/>
    </row>
    <row r="625" spans="1:30">
      <c r="A625" s="102">
        <f t="shared" si="10"/>
        <v>624</v>
      </c>
      <c r="B625" s="257">
        <f>YEAR(Table6[[#This Row],[Date]])+IF(MONTH(Table6[[#This Row],[Date]])&gt;=4,1,0)</f>
        <v>2026</v>
      </c>
      <c r="C625" s="102">
        <f>YEAR(Table6[[#This Row],[Date]])</f>
        <v>2025</v>
      </c>
      <c r="D625" s="102" t="s">
        <v>265</v>
      </c>
      <c r="E625" s="258">
        <f>Table6[[#This Row],[Date]]-DAY(Table6[[#This Row],[Date]])+1</f>
        <v>45778</v>
      </c>
      <c r="F625" s="259">
        <v>45784</v>
      </c>
      <c r="G625" s="35" t="s">
        <v>126</v>
      </c>
      <c r="H625" s="35" t="str">
        <f>IFERROR(_xlfn.XLOOKUP(Table6[[#This Row],[Affected WTG]],'Basic Data'!$A:$A,'Basic Data'!$B:$B),"")</f>
        <v>TQGXIIPL</v>
      </c>
      <c r="I625" s="35" t="str">
        <f>IFERROR(_xlfn.XLOOKUP(Table6[[#This Row],[Affected WTG]],'Basic Data'!$A:$A,'Basic Data'!$C:$C),"")</f>
        <v>GEDA</v>
      </c>
      <c r="J625" s="260">
        <f>IFERROR(_xlfn.XLOOKUP(Table6[[#This Row],[Affected WTG]],'Basic Data'!$A:$A,'Basic Data'!$E:$E),"")</f>
        <v>3.846153846153845E-2</v>
      </c>
      <c r="K625" s="102">
        <v>5516</v>
      </c>
      <c r="L625" s="35" t="str">
        <f>IFERROR(_xlfn.XLOOKUP(Table6[[#This Row],[Error Code]],'Basic Data'!$AA:$AA,'Basic Data'!$AB:$AB),"Incorrect Error Code")</f>
        <v>Rot.br. press. low</v>
      </c>
      <c r="M625" s="35" t="s">
        <v>266</v>
      </c>
      <c r="N625" s="264"/>
      <c r="O625" s="265">
        <v>0.72847222222222219</v>
      </c>
      <c r="P625" s="265">
        <v>0.72847222222222219</v>
      </c>
      <c r="Q625" s="266">
        <v>0.73055555555555551</v>
      </c>
      <c r="R625" s="261">
        <f>IF(Table6[[#This Row],[Work Start TimeStamp]]="","",(Table6[[#This Row],[Work Start TimeStamp]]-Table6[[#This Row],[Fault Start TimeStamp]])*24)</f>
        <v>0</v>
      </c>
      <c r="S625" s="261">
        <f>(Table6[[#This Row],[Fault Clearance time]]-Table6[[#This Row],[Work Start TimeStamp]])*24</f>
        <v>4.9999999999999822E-2</v>
      </c>
      <c r="T625" s="261">
        <f>(Table6[[#This Row],[Fault Clearance time]]-Table6[[#This Row],[Fault Start TimeStamp]])*24</f>
        <v>4.9999999999999822E-2</v>
      </c>
      <c r="U625" s="35" t="s">
        <v>277</v>
      </c>
      <c r="V625" s="102" t="s">
        <v>268</v>
      </c>
      <c r="W625" s="267">
        <f>IFERROR(Table6[[#This Row],[Breakdown Time]]*Table6[[#This Row],[Plant Equivalent Weightage]],"")</f>
        <v>1.9230769230769156E-3</v>
      </c>
      <c r="X625" s="262" t="s">
        <v>269</v>
      </c>
      <c r="Y625" s="263" t="s">
        <v>128</v>
      </c>
      <c r="Z625" s="102">
        <v>14856</v>
      </c>
      <c r="AA625" s="257">
        <f>(Table6[[#This Row],[Paired WTG Generation for loss calculation]]/24)*Table6[[#This Row],[Breakdown Time]]</f>
        <v>30.949999999999889</v>
      </c>
      <c r="AB625" s="102"/>
      <c r="AC625" s="35"/>
      <c r="AD625" s="35"/>
    </row>
    <row r="626" spans="1:30">
      <c r="A626" s="102">
        <f t="shared" si="10"/>
        <v>625</v>
      </c>
      <c r="B626" s="257">
        <f>YEAR(Table6[[#This Row],[Date]])+IF(MONTH(Table6[[#This Row],[Date]])&gt;=4,1,0)</f>
        <v>2026</v>
      </c>
      <c r="C626" s="102">
        <f>YEAR(Table6[[#This Row],[Date]])</f>
        <v>2025</v>
      </c>
      <c r="D626" s="102" t="s">
        <v>265</v>
      </c>
      <c r="E626" s="258">
        <f>Table6[[#This Row],[Date]]-DAY(Table6[[#This Row],[Date]])+1</f>
        <v>45778</v>
      </c>
      <c r="F626" s="259">
        <v>45784</v>
      </c>
      <c r="G626" s="35" t="s">
        <v>127</v>
      </c>
      <c r="H626" s="35" t="str">
        <f>IFERROR(_xlfn.XLOOKUP(Table6[[#This Row],[Affected WTG]],'Basic Data'!$A:$A,'Basic Data'!$B:$B),"")</f>
        <v>TQGXIIPL</v>
      </c>
      <c r="I626" s="35" t="str">
        <f>IFERROR(_xlfn.XLOOKUP(Table6[[#This Row],[Affected WTG]],'Basic Data'!$A:$A,'Basic Data'!$C:$C),"")</f>
        <v>GEDA</v>
      </c>
      <c r="J626" s="260">
        <f>IFERROR(_xlfn.XLOOKUP(Table6[[#This Row],[Affected WTG]],'Basic Data'!$A:$A,'Basic Data'!$E:$E),"")</f>
        <v>3.846153846153845E-2</v>
      </c>
      <c r="K626" s="102">
        <v>175</v>
      </c>
      <c r="L626" s="35" t="str">
        <f>IFERROR(_xlfn.XLOOKUP(Table6[[#This Row],[Error Code]],'Basic Data'!$AA:$AA,'Basic Data'!$AB:$AB),"Incorrect Error Code")</f>
        <v>SLC error</v>
      </c>
      <c r="M626" s="35" t="s">
        <v>266</v>
      </c>
      <c r="N626" s="264"/>
      <c r="O626" s="265">
        <v>9.930555555555555E-2</v>
      </c>
      <c r="P626" s="265">
        <v>9.930555555555555E-2</v>
      </c>
      <c r="Q626" s="266">
        <v>0.14583333333333334</v>
      </c>
      <c r="R626" s="261">
        <f>IF(Table6[[#This Row],[Work Start TimeStamp]]="","",(Table6[[#This Row],[Work Start TimeStamp]]-Table6[[#This Row],[Fault Start TimeStamp]])*24)</f>
        <v>0</v>
      </c>
      <c r="S626" s="261">
        <f>(Table6[[#This Row],[Fault Clearance time]]-Table6[[#This Row],[Work Start TimeStamp]])*24</f>
        <v>1.1166666666666671</v>
      </c>
      <c r="T626" s="261">
        <f>(Table6[[#This Row],[Fault Clearance time]]-Table6[[#This Row],[Fault Start TimeStamp]])*24</f>
        <v>1.1166666666666671</v>
      </c>
      <c r="U626" s="35" t="s">
        <v>408</v>
      </c>
      <c r="V626" s="102" t="s">
        <v>268</v>
      </c>
      <c r="W626" s="267">
        <f>IFERROR(Table6[[#This Row],[Breakdown Time]]*Table6[[#This Row],[Plant Equivalent Weightage]],"")</f>
        <v>4.2948717948717956E-2</v>
      </c>
      <c r="X626" s="262" t="s">
        <v>269</v>
      </c>
      <c r="Y626" s="263" t="s">
        <v>125</v>
      </c>
      <c r="Z626" s="102">
        <v>14545</v>
      </c>
      <c r="AA626" s="257">
        <f>(Table6[[#This Row],[Paired WTG Generation for loss calculation]]/24)*Table6[[#This Row],[Breakdown Time]]</f>
        <v>676.74652777777806</v>
      </c>
      <c r="AB626" s="102"/>
      <c r="AC626" s="35"/>
      <c r="AD626" s="35"/>
    </row>
    <row r="627" spans="1:30">
      <c r="A627" s="102">
        <f t="shared" si="10"/>
        <v>626</v>
      </c>
      <c r="B627" s="257">
        <f>YEAR(Table6[[#This Row],[Date]])+IF(MONTH(Table6[[#This Row],[Date]])&gt;=4,1,0)</f>
        <v>2026</v>
      </c>
      <c r="C627" s="102">
        <f>YEAR(Table6[[#This Row],[Date]])</f>
        <v>2025</v>
      </c>
      <c r="D627" s="102" t="s">
        <v>265</v>
      </c>
      <c r="E627" s="258">
        <f>Table6[[#This Row],[Date]]-DAY(Table6[[#This Row],[Date]])+1</f>
        <v>45778</v>
      </c>
      <c r="F627" s="259">
        <v>45784</v>
      </c>
      <c r="G627" s="35" t="s">
        <v>127</v>
      </c>
      <c r="H627" s="35" t="str">
        <f>IFERROR(_xlfn.XLOOKUP(Table6[[#This Row],[Affected WTG]],'Basic Data'!$A:$A,'Basic Data'!$B:$B),"")</f>
        <v>TQGXIIPL</v>
      </c>
      <c r="I627" s="35" t="str">
        <f>IFERROR(_xlfn.XLOOKUP(Table6[[#This Row],[Affected WTG]],'Basic Data'!$A:$A,'Basic Data'!$C:$C),"")</f>
        <v>GEDA</v>
      </c>
      <c r="J627" s="260">
        <f>IFERROR(_xlfn.XLOOKUP(Table6[[#This Row],[Affected WTG]],'Basic Data'!$A:$A,'Basic Data'!$E:$E),"")</f>
        <v>3.846153846153845E-2</v>
      </c>
      <c r="K627" s="102">
        <v>175</v>
      </c>
      <c r="L627" s="35" t="str">
        <f>IFERROR(_xlfn.XLOOKUP(Table6[[#This Row],[Error Code]],'Basic Data'!$AA:$AA,'Basic Data'!$AB:$AB),"Incorrect Error Code")</f>
        <v>SLC error</v>
      </c>
      <c r="M627" s="35" t="s">
        <v>266</v>
      </c>
      <c r="N627" s="264"/>
      <c r="O627" s="265">
        <v>0.70694444444444449</v>
      </c>
      <c r="P627" s="265">
        <v>0.70694444444444449</v>
      </c>
      <c r="Q627" s="266">
        <v>0.72847222222222219</v>
      </c>
      <c r="R627" s="261">
        <f>IF(Table6[[#This Row],[Work Start TimeStamp]]="","",(Table6[[#This Row],[Work Start TimeStamp]]-Table6[[#This Row],[Fault Start TimeStamp]])*24)</f>
        <v>0</v>
      </c>
      <c r="S627" s="261">
        <f>(Table6[[#This Row],[Fault Clearance time]]-Table6[[#This Row],[Work Start TimeStamp]])*24</f>
        <v>0.51666666666666483</v>
      </c>
      <c r="T627" s="261">
        <f>(Table6[[#This Row],[Fault Clearance time]]-Table6[[#This Row],[Fault Start TimeStamp]])*24</f>
        <v>0.51666666666666483</v>
      </c>
      <c r="U627" s="35" t="s">
        <v>408</v>
      </c>
      <c r="V627" s="102" t="s">
        <v>268</v>
      </c>
      <c r="W627" s="267">
        <f>IFERROR(Table6[[#This Row],[Breakdown Time]]*Table6[[#This Row],[Plant Equivalent Weightage]],"")</f>
        <v>1.9871794871794794E-2</v>
      </c>
      <c r="X627" s="262" t="s">
        <v>269</v>
      </c>
      <c r="Y627" s="263" t="s">
        <v>125</v>
      </c>
      <c r="Z627" s="102">
        <v>14545</v>
      </c>
      <c r="AA627" s="257">
        <f>(Table6[[#This Row],[Paired WTG Generation for loss calculation]]/24)*Table6[[#This Row],[Breakdown Time]]</f>
        <v>313.12152777777663</v>
      </c>
      <c r="AB627" s="102"/>
      <c r="AC627" s="35"/>
      <c r="AD627" s="35"/>
    </row>
    <row r="628" spans="1:30">
      <c r="A628" s="102">
        <f t="shared" si="10"/>
        <v>627</v>
      </c>
      <c r="B628" s="257">
        <f>YEAR(Table6[[#This Row],[Date]])+IF(MONTH(Table6[[#This Row],[Date]])&gt;=4,1,0)</f>
        <v>2026</v>
      </c>
      <c r="C628" s="102">
        <f>YEAR(Table6[[#This Row],[Date]])</f>
        <v>2025</v>
      </c>
      <c r="D628" s="102" t="s">
        <v>265</v>
      </c>
      <c r="E628" s="258">
        <f>Table6[[#This Row],[Date]]-DAY(Table6[[#This Row],[Date]])+1</f>
        <v>45778</v>
      </c>
      <c r="F628" s="259">
        <v>45784</v>
      </c>
      <c r="G628" s="35" t="s">
        <v>128</v>
      </c>
      <c r="H628" s="35" t="str">
        <f>IFERROR(_xlfn.XLOOKUP(Table6[[#This Row],[Affected WTG]],'Basic Data'!$A:$A,'Basic Data'!$B:$B),"")</f>
        <v>TQGXIIPL</v>
      </c>
      <c r="I628" s="35" t="str">
        <f>IFERROR(_xlfn.XLOOKUP(Table6[[#This Row],[Affected WTG]],'Basic Data'!$A:$A,'Basic Data'!$C:$C),"")</f>
        <v>GEDA</v>
      </c>
      <c r="J628" s="260">
        <f>IFERROR(_xlfn.XLOOKUP(Table6[[#This Row],[Affected WTG]],'Basic Data'!$A:$A,'Basic Data'!$E:$E),"")</f>
        <v>3.846153846153845E-2</v>
      </c>
      <c r="K628" s="102">
        <v>175</v>
      </c>
      <c r="L628" s="35" t="str">
        <f>IFERROR(_xlfn.XLOOKUP(Table6[[#This Row],[Error Code]],'Basic Data'!$AA:$AA,'Basic Data'!$AB:$AB),"Incorrect Error Code")</f>
        <v>SLC error</v>
      </c>
      <c r="M628" s="35" t="s">
        <v>266</v>
      </c>
      <c r="N628" s="264"/>
      <c r="O628" s="265">
        <v>0.10555555555555556</v>
      </c>
      <c r="P628" s="265">
        <v>0.10555555555555556</v>
      </c>
      <c r="Q628" s="266">
        <v>0.14652777777777778</v>
      </c>
      <c r="R628" s="261">
        <f>IF(Table6[[#This Row],[Work Start TimeStamp]]="","",(Table6[[#This Row],[Work Start TimeStamp]]-Table6[[#This Row],[Fault Start TimeStamp]])*24)</f>
        <v>0</v>
      </c>
      <c r="S628" s="261">
        <f>(Table6[[#This Row],[Fault Clearance time]]-Table6[[#This Row],[Work Start TimeStamp]])*24</f>
        <v>0.9833333333333335</v>
      </c>
      <c r="T628" s="261">
        <f>(Table6[[#This Row],[Fault Clearance time]]-Table6[[#This Row],[Fault Start TimeStamp]])*24</f>
        <v>0.9833333333333335</v>
      </c>
      <c r="U628" s="35" t="s">
        <v>408</v>
      </c>
      <c r="V628" s="102" t="s">
        <v>268</v>
      </c>
      <c r="W628" s="267">
        <f>IFERROR(Table6[[#This Row],[Breakdown Time]]*Table6[[#This Row],[Plant Equivalent Weightage]],"")</f>
        <v>3.7820512820512818E-2</v>
      </c>
      <c r="X628" s="262" t="s">
        <v>269</v>
      </c>
      <c r="Y628" s="263" t="s">
        <v>126</v>
      </c>
      <c r="Z628" s="102">
        <v>11445</v>
      </c>
      <c r="AA628" s="257">
        <f>(Table6[[#This Row],[Paired WTG Generation for loss calculation]]/24)*Table6[[#This Row],[Breakdown Time]]</f>
        <v>468.92708333333343</v>
      </c>
      <c r="AB628" s="102"/>
      <c r="AC628" s="35"/>
      <c r="AD628" s="35"/>
    </row>
    <row r="629" spans="1:30">
      <c r="A629" s="102">
        <f t="shared" si="10"/>
        <v>628</v>
      </c>
      <c r="B629" s="257">
        <f>YEAR(Table6[[#This Row],[Date]])+IF(MONTH(Table6[[#This Row],[Date]])&gt;=4,1,0)</f>
        <v>2026</v>
      </c>
      <c r="C629" s="102">
        <f>YEAR(Table6[[#This Row],[Date]])</f>
        <v>2025</v>
      </c>
      <c r="D629" s="102" t="s">
        <v>265</v>
      </c>
      <c r="E629" s="258">
        <f>Table6[[#This Row],[Date]]-DAY(Table6[[#This Row],[Date]])+1</f>
        <v>45778</v>
      </c>
      <c r="F629" s="259">
        <v>45784</v>
      </c>
      <c r="G629" s="35" t="s">
        <v>128</v>
      </c>
      <c r="H629" s="35" t="str">
        <f>IFERROR(_xlfn.XLOOKUP(Table6[[#This Row],[Affected WTG]],'Basic Data'!$A:$A,'Basic Data'!$B:$B),"")</f>
        <v>TQGXIIPL</v>
      </c>
      <c r="I629" s="35" t="str">
        <f>IFERROR(_xlfn.XLOOKUP(Table6[[#This Row],[Affected WTG]],'Basic Data'!$A:$A,'Basic Data'!$C:$C),"")</f>
        <v>GEDA</v>
      </c>
      <c r="J629" s="260">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266</v>
      </c>
      <c r="N629" s="264"/>
      <c r="O629" s="265">
        <v>0.70694444444444449</v>
      </c>
      <c r="P629" s="265">
        <v>0.70694444444444449</v>
      </c>
      <c r="Q629" s="266">
        <v>0.72916666666666663</v>
      </c>
      <c r="R629" s="261">
        <f>IF(Table6[[#This Row],[Work Start TimeStamp]]="","",(Table6[[#This Row],[Work Start TimeStamp]]-Table6[[#This Row],[Fault Start TimeStamp]])*24)</f>
        <v>0</v>
      </c>
      <c r="S629" s="261">
        <f>(Table6[[#This Row],[Fault Clearance time]]-Table6[[#This Row],[Work Start TimeStamp]])*24</f>
        <v>0.53333333333333144</v>
      </c>
      <c r="T629" s="261">
        <f>(Table6[[#This Row],[Fault Clearance time]]-Table6[[#This Row],[Fault Start TimeStamp]])*24</f>
        <v>0.53333333333333144</v>
      </c>
      <c r="U629" s="35" t="s">
        <v>411</v>
      </c>
      <c r="V629" s="102" t="s">
        <v>268</v>
      </c>
      <c r="W629" s="267">
        <f>IFERROR(Table6[[#This Row],[Breakdown Time]]*Table6[[#This Row],[Plant Equivalent Weightage]],"")</f>
        <v>2.0512820512820433E-2</v>
      </c>
      <c r="X629" s="262" t="s">
        <v>269</v>
      </c>
      <c r="Y629" s="263" t="s">
        <v>126</v>
      </c>
      <c r="Z629" s="102">
        <v>11445</v>
      </c>
      <c r="AA629" s="257">
        <f>(Table6[[#This Row],[Paired WTG Generation for loss calculation]]/24)*Table6[[#This Row],[Breakdown Time]]</f>
        <v>254.33333333333243</v>
      </c>
      <c r="AB629" s="102"/>
      <c r="AC629" s="35"/>
      <c r="AD629" s="35"/>
    </row>
    <row r="630" spans="1:30">
      <c r="A630" s="102">
        <f t="shared" si="10"/>
        <v>629</v>
      </c>
      <c r="B630" s="257">
        <f>YEAR(Table6[[#This Row],[Date]])+IF(MONTH(Table6[[#This Row],[Date]])&gt;=4,1,0)</f>
        <v>2026</v>
      </c>
      <c r="C630" s="102">
        <f>YEAR(Table6[[#This Row],[Date]])</f>
        <v>2025</v>
      </c>
      <c r="D630" s="102" t="s">
        <v>265</v>
      </c>
      <c r="E630" s="258">
        <f>Table6[[#This Row],[Date]]-DAY(Table6[[#This Row],[Date]])+1</f>
        <v>45778</v>
      </c>
      <c r="F630" s="259">
        <v>45784</v>
      </c>
      <c r="G630" s="35" t="s">
        <v>128</v>
      </c>
      <c r="H630" s="35" t="str">
        <f>IFERROR(_xlfn.XLOOKUP(Table6[[#This Row],[Affected WTG]],'Basic Data'!$A:$A,'Basic Data'!$B:$B),"")</f>
        <v>TQGXIIPL</v>
      </c>
      <c r="I630" s="35" t="str">
        <f>IFERROR(_xlfn.XLOOKUP(Table6[[#This Row],[Affected WTG]],'Basic Data'!$A:$A,'Basic Data'!$C:$C),"")</f>
        <v>GEDA</v>
      </c>
      <c r="J630" s="260">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266</v>
      </c>
      <c r="N630" s="264"/>
      <c r="O630" s="265">
        <v>0.72916666666666663</v>
      </c>
      <c r="P630" s="265">
        <v>0.72916666666666663</v>
      </c>
      <c r="Q630" s="266">
        <v>0.74791666666666667</v>
      </c>
      <c r="R630" s="261">
        <f>IF(Table6[[#This Row],[Work Start TimeStamp]]="","",(Table6[[#This Row],[Work Start TimeStamp]]-Table6[[#This Row],[Fault Start TimeStamp]])*24)</f>
        <v>0</v>
      </c>
      <c r="S630" s="261">
        <f>(Table6[[#This Row],[Fault Clearance time]]-Table6[[#This Row],[Work Start TimeStamp]])*24</f>
        <v>0.45000000000000107</v>
      </c>
      <c r="T630" s="261">
        <f>(Table6[[#This Row],[Fault Clearance time]]-Table6[[#This Row],[Fault Start TimeStamp]])*24</f>
        <v>0.45000000000000107</v>
      </c>
      <c r="U630" s="35" t="s">
        <v>408</v>
      </c>
      <c r="V630" s="102" t="s">
        <v>268</v>
      </c>
      <c r="W630" s="267">
        <f>IFERROR(Table6[[#This Row],[Breakdown Time]]*Table6[[#This Row],[Plant Equivalent Weightage]],"")</f>
        <v>1.7307692307692343E-2</v>
      </c>
      <c r="X630" s="262" t="s">
        <v>269</v>
      </c>
      <c r="Y630" s="263" t="s">
        <v>126</v>
      </c>
      <c r="Z630" s="102">
        <v>11445</v>
      </c>
      <c r="AA630" s="257">
        <f>(Table6[[#This Row],[Paired WTG Generation for loss calculation]]/24)*Table6[[#This Row],[Breakdown Time]]</f>
        <v>214.59375000000051</v>
      </c>
      <c r="AB630" s="102"/>
      <c r="AC630" s="35"/>
      <c r="AD630" s="35"/>
    </row>
    <row r="631" spans="1:30">
      <c r="A631" s="102">
        <f t="shared" si="10"/>
        <v>630</v>
      </c>
      <c r="B631" s="257">
        <f>YEAR(Table6[[#This Row],[Date]])+IF(MONTH(Table6[[#This Row],[Date]])&gt;=4,1,0)</f>
        <v>2026</v>
      </c>
      <c r="C631" s="102">
        <f>YEAR(Table6[[#This Row],[Date]])</f>
        <v>2025</v>
      </c>
      <c r="D631" s="102" t="s">
        <v>265</v>
      </c>
      <c r="E631" s="258">
        <f>Table6[[#This Row],[Date]]-DAY(Table6[[#This Row],[Date]])+1</f>
        <v>45778</v>
      </c>
      <c r="F631" s="259">
        <v>45784</v>
      </c>
      <c r="G631" s="35" t="s">
        <v>129</v>
      </c>
      <c r="H631" s="35" t="str">
        <f>IFERROR(_xlfn.XLOOKUP(Table6[[#This Row],[Affected WTG]],'Basic Data'!$A:$A,'Basic Data'!$B:$B),"")</f>
        <v>TQGXIIPL</v>
      </c>
      <c r="I631" s="35" t="str">
        <f>IFERROR(_xlfn.XLOOKUP(Table6[[#This Row],[Affected WTG]],'Basic Data'!$A:$A,'Basic Data'!$C:$C),"")</f>
        <v>GEDA</v>
      </c>
      <c r="J631" s="260">
        <f>IFERROR(_xlfn.XLOOKUP(Table6[[#This Row],[Affected WTG]],'Basic Data'!$A:$A,'Basic Data'!$E:$E),"")</f>
        <v>3.846153846153845E-2</v>
      </c>
      <c r="K631" s="102">
        <v>175</v>
      </c>
      <c r="L631" s="35" t="str">
        <f>IFERROR(_xlfn.XLOOKUP(Table6[[#This Row],[Error Code]],'Basic Data'!$AA:$AA,'Basic Data'!$AB:$AB),"Incorrect Error Code")</f>
        <v>SLC error</v>
      </c>
      <c r="M631" s="35" t="s">
        <v>266</v>
      </c>
      <c r="N631" s="264"/>
      <c r="O631" s="265">
        <v>9.0277777777777776E-2</v>
      </c>
      <c r="P631" s="265">
        <v>9.0277777777777776E-2</v>
      </c>
      <c r="Q631" s="266">
        <v>0.1451388888888889</v>
      </c>
      <c r="R631" s="261">
        <f>IF(Table6[[#This Row],[Work Start TimeStamp]]="","",(Table6[[#This Row],[Work Start TimeStamp]]-Table6[[#This Row],[Fault Start TimeStamp]])*24)</f>
        <v>0</v>
      </c>
      <c r="S631" s="261">
        <f>(Table6[[#This Row],[Fault Clearance time]]-Table6[[#This Row],[Work Start TimeStamp]])*24</f>
        <v>1.3166666666666669</v>
      </c>
      <c r="T631" s="261">
        <f>(Table6[[#This Row],[Fault Clearance time]]-Table6[[#This Row],[Fault Start TimeStamp]])*24</f>
        <v>1.3166666666666669</v>
      </c>
      <c r="U631" s="35" t="s">
        <v>408</v>
      </c>
      <c r="V631" s="102" t="s">
        <v>268</v>
      </c>
      <c r="W631" s="267">
        <f>IFERROR(Table6[[#This Row],[Breakdown Time]]*Table6[[#This Row],[Plant Equivalent Weightage]],"")</f>
        <v>5.0641025641025635E-2</v>
      </c>
      <c r="X631" s="262" t="s">
        <v>269</v>
      </c>
      <c r="Y631" s="263" t="s">
        <v>124</v>
      </c>
      <c r="Z631" s="102">
        <v>14677</v>
      </c>
      <c r="AA631" s="257">
        <f>(Table6[[#This Row],[Paired WTG Generation for loss calculation]]/24)*Table6[[#This Row],[Breakdown Time]]</f>
        <v>805.19652777777787</v>
      </c>
      <c r="AB631" s="102"/>
      <c r="AC631" s="35"/>
      <c r="AD631" s="35"/>
    </row>
    <row r="632" spans="1:30">
      <c r="A632" s="102">
        <f t="shared" si="10"/>
        <v>631</v>
      </c>
      <c r="B632" s="257">
        <f>YEAR(Table6[[#This Row],[Date]])+IF(MONTH(Table6[[#This Row],[Date]])&gt;=4,1,0)</f>
        <v>2026</v>
      </c>
      <c r="C632" s="102">
        <f>YEAR(Table6[[#This Row],[Date]])</f>
        <v>2025</v>
      </c>
      <c r="D632" s="102" t="s">
        <v>265</v>
      </c>
      <c r="E632" s="258">
        <f>Table6[[#This Row],[Date]]-DAY(Table6[[#This Row],[Date]])+1</f>
        <v>45778</v>
      </c>
      <c r="F632" s="259">
        <v>45784</v>
      </c>
      <c r="G632" s="35" t="s">
        <v>129</v>
      </c>
      <c r="H632" s="35" t="str">
        <f>IFERROR(_xlfn.XLOOKUP(Table6[[#This Row],[Affected WTG]],'Basic Data'!$A:$A,'Basic Data'!$B:$B),"")</f>
        <v>TQGXIIPL</v>
      </c>
      <c r="I632" s="35" t="str">
        <f>IFERROR(_xlfn.XLOOKUP(Table6[[#This Row],[Affected WTG]],'Basic Data'!$A:$A,'Basic Data'!$C:$C),"")</f>
        <v>GEDA</v>
      </c>
      <c r="J632" s="260">
        <f>IFERROR(_xlfn.XLOOKUP(Table6[[#This Row],[Affected WTG]],'Basic Data'!$A:$A,'Basic Data'!$E:$E),"")</f>
        <v>3.846153846153845E-2</v>
      </c>
      <c r="K632" s="102">
        <v>175</v>
      </c>
      <c r="L632" s="35" t="str">
        <f>IFERROR(_xlfn.XLOOKUP(Table6[[#This Row],[Error Code]],'Basic Data'!$AA:$AA,'Basic Data'!$AB:$AB),"Incorrect Error Code")</f>
        <v>SLC error</v>
      </c>
      <c r="M632" s="35" t="s">
        <v>266</v>
      </c>
      <c r="N632" s="264"/>
      <c r="O632" s="265">
        <v>0.70694444444444449</v>
      </c>
      <c r="P632" s="265">
        <v>0.70694444444444449</v>
      </c>
      <c r="Q632" s="266">
        <v>0.72986111111111107</v>
      </c>
      <c r="R632" s="261">
        <f>IF(Table6[[#This Row],[Work Start TimeStamp]]="","",(Table6[[#This Row],[Work Start TimeStamp]]-Table6[[#This Row],[Fault Start TimeStamp]])*24)</f>
        <v>0</v>
      </c>
      <c r="S632" s="261">
        <f>(Table6[[#This Row],[Fault Clearance time]]-Table6[[#This Row],[Work Start TimeStamp]])*24</f>
        <v>0.54999999999999805</v>
      </c>
      <c r="T632" s="261">
        <f>(Table6[[#This Row],[Fault Clearance time]]-Table6[[#This Row],[Fault Start TimeStamp]])*24</f>
        <v>0.54999999999999805</v>
      </c>
      <c r="U632" s="35" t="s">
        <v>412</v>
      </c>
      <c r="V632" s="102" t="s">
        <v>268</v>
      </c>
      <c r="W632" s="267">
        <f>IFERROR(Table6[[#This Row],[Breakdown Time]]*Table6[[#This Row],[Plant Equivalent Weightage]],"")</f>
        <v>2.1153846153846072E-2</v>
      </c>
      <c r="X632" s="262" t="s">
        <v>269</v>
      </c>
      <c r="Y632" s="263" t="s">
        <v>124</v>
      </c>
      <c r="Z632" s="102">
        <v>14677</v>
      </c>
      <c r="AA632" s="257">
        <f>(Table6[[#This Row],[Paired WTG Generation for loss calculation]]/24)*Table6[[#This Row],[Breakdown Time]]</f>
        <v>336.34791666666547</v>
      </c>
      <c r="AB632" s="102"/>
      <c r="AC632" s="35"/>
      <c r="AD632" s="35"/>
    </row>
    <row r="633" spans="1:30">
      <c r="A633" s="102">
        <f t="shared" si="10"/>
        <v>632</v>
      </c>
      <c r="B633" s="257">
        <f>YEAR(Table6[[#This Row],[Date]])+IF(MONTH(Table6[[#This Row],[Date]])&gt;=4,1,0)</f>
        <v>2026</v>
      </c>
      <c r="C633" s="102">
        <f>YEAR(Table6[[#This Row],[Date]])</f>
        <v>2025</v>
      </c>
      <c r="D633" s="102" t="s">
        <v>265</v>
      </c>
      <c r="E633" s="258">
        <f>Table6[[#This Row],[Date]]-DAY(Table6[[#This Row],[Date]])+1</f>
        <v>45778</v>
      </c>
      <c r="F633" s="259">
        <v>45784</v>
      </c>
      <c r="G633" s="35" t="s">
        <v>129</v>
      </c>
      <c r="H633" s="35" t="str">
        <f>IFERROR(_xlfn.XLOOKUP(Table6[[#This Row],[Affected WTG]],'Basic Data'!$A:$A,'Basic Data'!$B:$B),"")</f>
        <v>TQGXIIPL</v>
      </c>
      <c r="I633" s="35" t="str">
        <f>IFERROR(_xlfn.XLOOKUP(Table6[[#This Row],[Affected WTG]],'Basic Data'!$A:$A,'Basic Data'!$C:$C),"")</f>
        <v>GEDA</v>
      </c>
      <c r="J633" s="260">
        <f>IFERROR(_xlfn.XLOOKUP(Table6[[#This Row],[Affected WTG]],'Basic Data'!$A:$A,'Basic Data'!$E:$E),"")</f>
        <v>3.846153846153845E-2</v>
      </c>
      <c r="K633" s="102">
        <v>741</v>
      </c>
      <c r="L633" s="35" t="str">
        <f>IFERROR(_xlfn.XLOOKUP(Table6[[#This Row],[Error Code]],'Basic Data'!$AA:$AA,'Basic Data'!$AB:$AB),"Incorrect Error Code")</f>
        <v>Battery drive trigger by HC</v>
      </c>
      <c r="M633" s="35" t="s">
        <v>266</v>
      </c>
      <c r="N633" s="264"/>
      <c r="O633" s="265">
        <v>0.73263888888888884</v>
      </c>
      <c r="P633" s="265">
        <v>0.73263888888888884</v>
      </c>
      <c r="Q633" s="266">
        <v>0.80069444444444449</v>
      </c>
      <c r="R633" s="261">
        <f>IF(Table6[[#This Row],[Work Start TimeStamp]]="","",(Table6[[#This Row],[Work Start TimeStamp]]-Table6[[#This Row],[Fault Start TimeStamp]])*24)</f>
        <v>0</v>
      </c>
      <c r="S633" s="261">
        <f>(Table6[[#This Row],[Fault Clearance time]]-Table6[[#This Row],[Work Start TimeStamp]])*24</f>
        <v>1.6333333333333355</v>
      </c>
      <c r="T633" s="261">
        <f>(Table6[[#This Row],[Fault Clearance time]]-Table6[[#This Row],[Fault Start TimeStamp]])*24</f>
        <v>1.6333333333333355</v>
      </c>
      <c r="U633" s="35" t="s">
        <v>413</v>
      </c>
      <c r="V633" s="102" t="s">
        <v>268</v>
      </c>
      <c r="W633" s="267">
        <f>IFERROR(Table6[[#This Row],[Breakdown Time]]*Table6[[#This Row],[Plant Equivalent Weightage]],"")</f>
        <v>6.2820512820512889E-2</v>
      </c>
      <c r="X633" s="262" t="s">
        <v>269</v>
      </c>
      <c r="Y633" s="263" t="s">
        <v>124</v>
      </c>
      <c r="Z633" s="102">
        <v>14677</v>
      </c>
      <c r="AA633" s="257">
        <f>(Table6[[#This Row],[Paired WTG Generation for loss calculation]]/24)*Table6[[#This Row],[Breakdown Time]]</f>
        <v>998.85138888889014</v>
      </c>
      <c r="AB633" s="102"/>
      <c r="AC633" s="35"/>
      <c r="AD633" s="35"/>
    </row>
    <row r="634" spans="1:30">
      <c r="A634" s="102">
        <f t="shared" si="10"/>
        <v>633</v>
      </c>
      <c r="B634" s="257">
        <f>YEAR(Table6[[#This Row],[Date]])+IF(MONTH(Table6[[#This Row],[Date]])&gt;=4,1,0)</f>
        <v>2026</v>
      </c>
      <c r="C634" s="102">
        <f>YEAR(Table6[[#This Row],[Date]])</f>
        <v>2025</v>
      </c>
      <c r="D634" s="102" t="s">
        <v>265</v>
      </c>
      <c r="E634" s="258">
        <f>Table6[[#This Row],[Date]]-DAY(Table6[[#This Row],[Date]])+1</f>
        <v>45778</v>
      </c>
      <c r="F634" s="259">
        <v>45784</v>
      </c>
      <c r="G634" s="35" t="s">
        <v>130</v>
      </c>
      <c r="H634" s="35" t="str">
        <f>IFERROR(_xlfn.XLOOKUP(Table6[[#This Row],[Affected WTG]],'Basic Data'!$A:$A,'Basic Data'!$B:$B),"")</f>
        <v>TQGXIIPL</v>
      </c>
      <c r="I634" s="35" t="str">
        <f>IFERROR(_xlfn.XLOOKUP(Table6[[#This Row],[Affected WTG]],'Basic Data'!$A:$A,'Basic Data'!$C:$C),"")</f>
        <v>GEDA</v>
      </c>
      <c r="J634" s="260">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291</v>
      </c>
      <c r="N634" s="264"/>
      <c r="O634" s="265">
        <v>0</v>
      </c>
      <c r="P634" s="265">
        <v>0</v>
      </c>
      <c r="Q634" s="266">
        <v>0.73958333333333337</v>
      </c>
      <c r="R634" s="261">
        <f>IF(Table6[[#This Row],[Work Start TimeStamp]]="","",(Table6[[#This Row],[Work Start TimeStamp]]-Table6[[#This Row],[Fault Start TimeStamp]])*24)</f>
        <v>0</v>
      </c>
      <c r="S634" s="261">
        <f>(Table6[[#This Row],[Fault Clearance time]]-Table6[[#This Row],[Work Start TimeStamp]])*24</f>
        <v>17.75</v>
      </c>
      <c r="T634" s="261">
        <f>(Table6[[#This Row],[Fault Clearance time]]-Table6[[#This Row],[Fault Start TimeStamp]])*24</f>
        <v>17.75</v>
      </c>
      <c r="U634" s="35" t="s">
        <v>414</v>
      </c>
      <c r="V634" s="102" t="s">
        <v>268</v>
      </c>
      <c r="W634" s="267">
        <f>IFERROR(Table6[[#This Row],[Breakdown Time]]*Table6[[#This Row],[Plant Equivalent Weightage]],"")</f>
        <v>0.68269230769230749</v>
      </c>
      <c r="X634" s="262" t="s">
        <v>296</v>
      </c>
      <c r="Y634" s="263" t="s">
        <v>135</v>
      </c>
      <c r="Z634" s="102">
        <v>21725</v>
      </c>
      <c r="AA634" s="257">
        <f>(Table6[[#This Row],[Paired WTG Generation for loss calculation]]/24)*Table6[[#This Row],[Breakdown Time]]</f>
        <v>16067.447916666668</v>
      </c>
      <c r="AB634" s="102"/>
      <c r="AC634" s="35"/>
      <c r="AD634" s="35"/>
    </row>
    <row r="635" spans="1:30">
      <c r="A635" s="102">
        <f t="shared" si="10"/>
        <v>634</v>
      </c>
      <c r="B635" s="257">
        <f>YEAR(Table6[[#This Row],[Date]])+IF(MONTH(Table6[[#This Row],[Date]])&gt;=4,1,0)</f>
        <v>2026</v>
      </c>
      <c r="C635" s="102">
        <f>YEAR(Table6[[#This Row],[Date]])</f>
        <v>2025</v>
      </c>
      <c r="D635" s="102" t="s">
        <v>265</v>
      </c>
      <c r="E635" s="258">
        <f>Table6[[#This Row],[Date]]-DAY(Table6[[#This Row],[Date]])+1</f>
        <v>45778</v>
      </c>
      <c r="F635" s="259">
        <v>45784</v>
      </c>
      <c r="G635" s="35" t="s">
        <v>131</v>
      </c>
      <c r="H635" s="35" t="str">
        <f>IFERROR(_xlfn.XLOOKUP(Table6[[#This Row],[Affected WTG]],'Basic Data'!$A:$A,'Basic Data'!$B:$B),"")</f>
        <v>TQGXIIPL</v>
      </c>
      <c r="I635" s="35" t="str">
        <f>IFERROR(_xlfn.XLOOKUP(Table6[[#This Row],[Affected WTG]],'Basic Data'!$A:$A,'Basic Data'!$C:$C),"")</f>
        <v>GEDA</v>
      </c>
      <c r="J635" s="260">
        <f>IFERROR(_xlfn.XLOOKUP(Table6[[#This Row],[Affected WTG]],'Basic Data'!$A:$A,'Basic Data'!$E:$E),"")</f>
        <v>3.846153846153845E-2</v>
      </c>
      <c r="K635" s="102">
        <v>3110</v>
      </c>
      <c r="L635" s="35" t="str">
        <f>IFERROR(_xlfn.XLOOKUP(Table6[[#This Row],[Error Code]],'Basic Data'!$AA:$AA,'Basic Data'!$AB:$AB),"Incorrect Error Code")</f>
        <v>Frequency converter error</v>
      </c>
      <c r="M635" s="35" t="s">
        <v>266</v>
      </c>
      <c r="N635" s="264"/>
      <c r="O635" s="265">
        <v>0.80972222222222223</v>
      </c>
      <c r="P635" s="265">
        <v>0.80972222222222223</v>
      </c>
      <c r="Q635" s="266">
        <v>0.94097222222222221</v>
      </c>
      <c r="R635" s="261">
        <f>IF(Table6[[#This Row],[Work Start TimeStamp]]="","",(Table6[[#This Row],[Work Start TimeStamp]]-Table6[[#This Row],[Fault Start TimeStamp]])*24)</f>
        <v>0</v>
      </c>
      <c r="S635" s="261">
        <f>(Table6[[#This Row],[Fault Clearance time]]-Table6[[#This Row],[Work Start TimeStamp]])*24</f>
        <v>3.1499999999999995</v>
      </c>
      <c r="T635" s="261">
        <f>(Table6[[#This Row],[Fault Clearance time]]-Table6[[#This Row],[Fault Start TimeStamp]])*24</f>
        <v>3.1499999999999995</v>
      </c>
      <c r="U635" s="35" t="s">
        <v>415</v>
      </c>
      <c r="V635" s="102" t="s">
        <v>268</v>
      </c>
      <c r="W635" s="267">
        <f>IFERROR(Table6[[#This Row],[Breakdown Time]]*Table6[[#This Row],[Plant Equivalent Weightage]],"")</f>
        <v>0.1211538461538461</v>
      </c>
      <c r="X635" s="262" t="s">
        <v>269</v>
      </c>
      <c r="Y635" s="263" t="s">
        <v>136</v>
      </c>
      <c r="Z635" s="102">
        <v>19485</v>
      </c>
      <c r="AA635" s="257">
        <f>(Table6[[#This Row],[Paired WTG Generation for loss calculation]]/24)*Table6[[#This Row],[Breakdown Time]]</f>
        <v>2557.4062499999995</v>
      </c>
      <c r="AB635" s="102"/>
      <c r="AC635" s="35"/>
      <c r="AD635" s="35"/>
    </row>
    <row r="636" spans="1:30">
      <c r="A636" s="102">
        <f t="shared" si="10"/>
        <v>635</v>
      </c>
      <c r="B636" s="257">
        <f>YEAR(Table6[[#This Row],[Date]])+IF(MONTH(Table6[[#This Row],[Date]])&gt;=4,1,0)</f>
        <v>2026</v>
      </c>
      <c r="C636" s="102">
        <f>YEAR(Table6[[#This Row],[Date]])</f>
        <v>2025</v>
      </c>
      <c r="D636" s="102" t="s">
        <v>265</v>
      </c>
      <c r="E636" s="258">
        <f>Table6[[#This Row],[Date]]-DAY(Table6[[#This Row],[Date]])+1</f>
        <v>45778</v>
      </c>
      <c r="F636" s="259">
        <v>45784</v>
      </c>
      <c r="G636" s="35" t="s">
        <v>134</v>
      </c>
      <c r="H636" s="35" t="str">
        <f>IFERROR(_xlfn.XLOOKUP(Table6[[#This Row],[Affected WTG]],'Basic Data'!$A:$A,'Basic Data'!$B:$B),"")</f>
        <v>TQGXIIPL</v>
      </c>
      <c r="I636" s="35" t="str">
        <f>IFERROR(_xlfn.XLOOKUP(Table6[[#This Row],[Affected WTG]],'Basic Data'!$A:$A,'Basic Data'!$C:$C),"")</f>
        <v>GEDA</v>
      </c>
      <c r="J636" s="260">
        <f>IFERROR(_xlfn.XLOOKUP(Table6[[#This Row],[Affected WTG]],'Basic Data'!$A:$A,'Basic Data'!$E:$E),"")</f>
        <v>3.846153846153845E-2</v>
      </c>
      <c r="K636" s="102">
        <v>55</v>
      </c>
      <c r="L636" s="35" t="str">
        <f>IFERROR(_xlfn.XLOOKUP(Table6[[#This Row],[Error Code]],'Basic Data'!$AA:$AA,'Basic Data'!$AB:$AB),"Incorrect Error Code")</f>
        <v>WTG shut down</v>
      </c>
      <c r="M636" s="35" t="s">
        <v>291</v>
      </c>
      <c r="N636" s="264"/>
      <c r="O636" s="265">
        <v>0.71875</v>
      </c>
      <c r="P636" s="265">
        <v>0.71875</v>
      </c>
      <c r="Q636" s="266">
        <v>0.97880787037037043</v>
      </c>
      <c r="R636" s="261">
        <f>IF(Table6[[#This Row],[Work Start TimeStamp]]="","",(Table6[[#This Row],[Work Start TimeStamp]]-Table6[[#This Row],[Fault Start TimeStamp]])*24)</f>
        <v>0</v>
      </c>
      <c r="S636" s="261">
        <f>(Table6[[#This Row],[Fault Clearance time]]-Table6[[#This Row],[Work Start TimeStamp]])*24</f>
        <v>6.2413888888888902</v>
      </c>
      <c r="T636" s="261">
        <f>(Table6[[#This Row],[Fault Clearance time]]-Table6[[#This Row],[Fault Start TimeStamp]])*24</f>
        <v>6.2413888888888902</v>
      </c>
      <c r="U636" s="35" t="s">
        <v>416</v>
      </c>
      <c r="V636" s="102" t="s">
        <v>289</v>
      </c>
      <c r="W636" s="267">
        <f>IFERROR(Table6[[#This Row],[Breakdown Time]]*Table6[[#This Row],[Plant Equivalent Weightage]],"")</f>
        <v>0.24005341880341879</v>
      </c>
      <c r="X636" s="262" t="s">
        <v>296</v>
      </c>
      <c r="Y636" s="263" t="s">
        <v>138</v>
      </c>
      <c r="Z636" s="102">
        <v>10416</v>
      </c>
      <c r="AA636" s="257">
        <f>(Table6[[#This Row],[Paired WTG Generation for loss calculation]]/24)*Table6[[#This Row],[Breakdown Time]]</f>
        <v>2708.7627777777784</v>
      </c>
      <c r="AB636" s="102"/>
      <c r="AC636" s="35"/>
      <c r="AD636" s="35"/>
    </row>
    <row r="637" spans="1:30">
      <c r="A637" s="102">
        <f t="shared" si="10"/>
        <v>636</v>
      </c>
      <c r="B637" s="257">
        <f>YEAR(Table6[[#This Row],[Date]])+IF(MONTH(Table6[[#This Row],[Date]])&gt;=4,1,0)</f>
        <v>2026</v>
      </c>
      <c r="C637" s="102">
        <f>YEAR(Table6[[#This Row],[Date]])</f>
        <v>2025</v>
      </c>
      <c r="D637" s="102" t="s">
        <v>265</v>
      </c>
      <c r="E637" s="258">
        <f>Table6[[#This Row],[Date]]-DAY(Table6[[#This Row],[Date]])+1</f>
        <v>45778</v>
      </c>
      <c r="F637" s="259">
        <v>45784</v>
      </c>
      <c r="G637" s="35" t="s">
        <v>137</v>
      </c>
      <c r="H637" s="35" t="str">
        <f>IFERROR(_xlfn.XLOOKUP(Table6[[#This Row],[Affected WTG]],'Basic Data'!$A:$A,'Basic Data'!$B:$B),"")</f>
        <v>TQGXIIPL</v>
      </c>
      <c r="I637" s="35" t="str">
        <f>IFERROR(_xlfn.XLOOKUP(Table6[[#This Row],[Affected WTG]],'Basic Data'!$A:$A,'Basic Data'!$C:$C),"")</f>
        <v>GEDA</v>
      </c>
      <c r="J637" s="260">
        <f>IFERROR(_xlfn.XLOOKUP(Table6[[#This Row],[Affected WTG]],'Basic Data'!$A:$A,'Basic Data'!$E:$E),"")</f>
        <v>3.846153846153845E-2</v>
      </c>
      <c r="K637" s="102">
        <v>3420</v>
      </c>
      <c r="L637" s="35" t="str">
        <f>IFERROR(_xlfn.XLOOKUP(Table6[[#This Row],[Error Code]],'Basic Data'!$AA:$AA,'Basic Data'!$AB:$AB),"Incorrect Error Code")</f>
        <v>UPS buffer time too short</v>
      </c>
      <c r="M637" s="35" t="s">
        <v>266</v>
      </c>
      <c r="N637" s="264"/>
      <c r="O637" s="265">
        <v>9.0277777777777776E-2</v>
      </c>
      <c r="P637" s="265">
        <v>9.0277777777777776E-2</v>
      </c>
      <c r="Q637" s="266">
        <v>0.1423611111111111</v>
      </c>
      <c r="R637" s="261">
        <f>IF(Table6[[#This Row],[Work Start TimeStamp]]="","",(Table6[[#This Row],[Work Start TimeStamp]]-Table6[[#This Row],[Fault Start TimeStamp]])*24)</f>
        <v>0</v>
      </c>
      <c r="S637" s="261">
        <f>(Table6[[#This Row],[Fault Clearance time]]-Table6[[#This Row],[Work Start TimeStamp]])*24</f>
        <v>1.25</v>
      </c>
      <c r="T637" s="261">
        <f>(Table6[[#This Row],[Fault Clearance time]]-Table6[[#This Row],[Fault Start TimeStamp]])*24</f>
        <v>1.25</v>
      </c>
      <c r="U637" s="35" t="s">
        <v>408</v>
      </c>
      <c r="V637" s="102" t="s">
        <v>268</v>
      </c>
      <c r="W637" s="267">
        <f>IFERROR(Table6[[#This Row],[Breakdown Time]]*Table6[[#This Row],[Plant Equivalent Weightage]],"")</f>
        <v>4.8076923076923059E-2</v>
      </c>
      <c r="X637" s="262" t="s">
        <v>269</v>
      </c>
      <c r="Y637" s="263" t="s">
        <v>125</v>
      </c>
      <c r="Z637" s="102">
        <v>14545</v>
      </c>
      <c r="AA637" s="257">
        <f>(Table6[[#This Row],[Paired WTG Generation for loss calculation]]/24)*Table6[[#This Row],[Breakdown Time]]</f>
        <v>757.55208333333326</v>
      </c>
      <c r="AB637" s="102"/>
      <c r="AC637" s="35"/>
      <c r="AD637" s="35"/>
    </row>
    <row r="638" spans="1:30">
      <c r="A638" s="102">
        <f t="shared" si="10"/>
        <v>637</v>
      </c>
      <c r="B638" s="257">
        <f>YEAR(Table6[[#This Row],[Date]])+IF(MONTH(Table6[[#This Row],[Date]])&gt;=4,1,0)</f>
        <v>2026</v>
      </c>
      <c r="C638" s="102">
        <f>YEAR(Table6[[#This Row],[Date]])</f>
        <v>2025</v>
      </c>
      <c r="D638" s="102" t="s">
        <v>265</v>
      </c>
      <c r="E638" s="258">
        <f>Table6[[#This Row],[Date]]-DAY(Table6[[#This Row],[Date]])+1</f>
        <v>45778</v>
      </c>
      <c r="F638" s="259">
        <v>45784</v>
      </c>
      <c r="G638" s="35" t="s">
        <v>137</v>
      </c>
      <c r="H638" s="35" t="str">
        <f>IFERROR(_xlfn.XLOOKUP(Table6[[#This Row],[Affected WTG]],'Basic Data'!$A:$A,'Basic Data'!$B:$B),"")</f>
        <v>TQGXIIPL</v>
      </c>
      <c r="I638" s="35" t="str">
        <f>IFERROR(_xlfn.XLOOKUP(Table6[[#This Row],[Affected WTG]],'Basic Data'!$A:$A,'Basic Data'!$C:$C),"")</f>
        <v>GEDA</v>
      </c>
      <c r="J638" s="260">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266</v>
      </c>
      <c r="N638" s="264"/>
      <c r="O638" s="265">
        <v>0.26944444444444443</v>
      </c>
      <c r="P638" s="265">
        <v>0.26944444444444443</v>
      </c>
      <c r="Q638" s="266">
        <v>0.37569444444444444</v>
      </c>
      <c r="R638" s="261">
        <f>IF(Table6[[#This Row],[Work Start TimeStamp]]="","",(Table6[[#This Row],[Work Start TimeStamp]]-Table6[[#This Row],[Fault Start TimeStamp]])*24)</f>
        <v>0</v>
      </c>
      <c r="S638" s="261">
        <f>(Table6[[#This Row],[Fault Clearance time]]-Table6[[#This Row],[Work Start TimeStamp]])*24</f>
        <v>2.5500000000000003</v>
      </c>
      <c r="T638" s="261">
        <f>(Table6[[#This Row],[Fault Clearance time]]-Table6[[#This Row],[Fault Start TimeStamp]])*24</f>
        <v>2.5500000000000003</v>
      </c>
      <c r="U638" s="35" t="s">
        <v>417</v>
      </c>
      <c r="V638" s="102" t="s">
        <v>268</v>
      </c>
      <c r="W638" s="267">
        <f>IFERROR(Table6[[#This Row],[Breakdown Time]]*Table6[[#This Row],[Plant Equivalent Weightage]],"")</f>
        <v>9.8076923076923062E-2</v>
      </c>
      <c r="X638" s="262" t="s">
        <v>269</v>
      </c>
      <c r="Y638" s="263" t="s">
        <v>125</v>
      </c>
      <c r="Z638" s="102">
        <v>14545</v>
      </c>
      <c r="AA638" s="257">
        <f>(Table6[[#This Row],[Paired WTG Generation for loss calculation]]/24)*Table6[[#This Row],[Breakdown Time]]</f>
        <v>1545.40625</v>
      </c>
      <c r="AB638" s="102"/>
      <c r="AC638" s="35"/>
      <c r="AD638" s="35"/>
    </row>
    <row r="639" spans="1:30">
      <c r="A639" s="102">
        <f t="shared" si="10"/>
        <v>638</v>
      </c>
      <c r="B639" s="257">
        <f>YEAR(Table6[[#This Row],[Date]])+IF(MONTH(Table6[[#This Row],[Date]])&gt;=4,1,0)</f>
        <v>2026</v>
      </c>
      <c r="C639" s="102">
        <f>YEAR(Table6[[#This Row],[Date]])</f>
        <v>2025</v>
      </c>
      <c r="D639" s="102" t="s">
        <v>265</v>
      </c>
      <c r="E639" s="258">
        <f>Table6[[#This Row],[Date]]-DAY(Table6[[#This Row],[Date]])+1</f>
        <v>45778</v>
      </c>
      <c r="F639" s="259">
        <v>45784</v>
      </c>
      <c r="G639" s="35" t="s">
        <v>137</v>
      </c>
      <c r="H639" s="35" t="str">
        <f>IFERROR(_xlfn.XLOOKUP(Table6[[#This Row],[Affected WTG]],'Basic Data'!$A:$A,'Basic Data'!$B:$B),"")</f>
        <v>TQGXIIPL</v>
      </c>
      <c r="I639" s="35" t="str">
        <f>IFERROR(_xlfn.XLOOKUP(Table6[[#This Row],[Affected WTG]],'Basic Data'!$A:$A,'Basic Data'!$C:$C),"")</f>
        <v>GEDA</v>
      </c>
      <c r="J639" s="260">
        <f>IFERROR(_xlfn.XLOOKUP(Table6[[#This Row],[Affected WTG]],'Basic Data'!$A:$A,'Basic Data'!$E:$E),"")</f>
        <v>3.846153846153845E-2</v>
      </c>
      <c r="K639" s="102">
        <v>175</v>
      </c>
      <c r="L639" s="35" t="str">
        <f>IFERROR(_xlfn.XLOOKUP(Table6[[#This Row],[Error Code]],'Basic Data'!$AA:$AA,'Basic Data'!$AB:$AB),"Incorrect Error Code")</f>
        <v>SLC error</v>
      </c>
      <c r="M639" s="35" t="s">
        <v>266</v>
      </c>
      <c r="N639" s="264"/>
      <c r="O639" s="265">
        <v>0.70694444444444449</v>
      </c>
      <c r="P639" s="265">
        <v>0.70694444444444449</v>
      </c>
      <c r="Q639" s="266">
        <v>0.73263888888888884</v>
      </c>
      <c r="R639" s="261">
        <f>IF(Table6[[#This Row],[Work Start TimeStamp]]="","",(Table6[[#This Row],[Work Start TimeStamp]]-Table6[[#This Row],[Fault Start TimeStamp]])*24)</f>
        <v>0</v>
      </c>
      <c r="S639" s="261">
        <f>(Table6[[#This Row],[Fault Clearance time]]-Table6[[#This Row],[Work Start TimeStamp]])*24</f>
        <v>0.61666666666666448</v>
      </c>
      <c r="T639" s="261">
        <f>(Table6[[#This Row],[Fault Clearance time]]-Table6[[#This Row],[Fault Start TimeStamp]])*24</f>
        <v>0.61666666666666448</v>
      </c>
      <c r="U639" s="35" t="s">
        <v>408</v>
      </c>
      <c r="V639" s="102" t="s">
        <v>268</v>
      </c>
      <c r="W639" s="267">
        <f>IFERROR(Table6[[#This Row],[Breakdown Time]]*Table6[[#This Row],[Plant Equivalent Weightage]],"")</f>
        <v>2.3717948717948627E-2</v>
      </c>
      <c r="X639" s="262" t="s">
        <v>269</v>
      </c>
      <c r="Y639" s="263" t="s">
        <v>125</v>
      </c>
      <c r="Z639" s="102">
        <v>14545</v>
      </c>
      <c r="AA639" s="257">
        <f>(Table6[[#This Row],[Paired WTG Generation for loss calculation]]/24)*Table6[[#This Row],[Breakdown Time]]</f>
        <v>373.72569444444309</v>
      </c>
      <c r="AB639" s="102"/>
      <c r="AC639" s="35"/>
      <c r="AD639" s="35"/>
    </row>
    <row r="640" spans="1:30">
      <c r="A640" s="102">
        <f t="shared" si="10"/>
        <v>639</v>
      </c>
      <c r="B640" s="257">
        <f>YEAR(Table6[[#This Row],[Date]])+IF(MONTH(Table6[[#This Row],[Date]])&gt;=4,1,0)</f>
        <v>2026</v>
      </c>
      <c r="C640" s="102">
        <f>YEAR(Table6[[#This Row],[Date]])</f>
        <v>2025</v>
      </c>
      <c r="D640" s="102" t="s">
        <v>265</v>
      </c>
      <c r="E640" s="258">
        <f>Table6[[#This Row],[Date]]-DAY(Table6[[#This Row],[Date]])+1</f>
        <v>45778</v>
      </c>
      <c r="F640" s="259">
        <v>45784</v>
      </c>
      <c r="G640" s="35" t="s">
        <v>138</v>
      </c>
      <c r="H640" s="35" t="str">
        <f>IFERROR(_xlfn.XLOOKUP(Table6[[#This Row],[Affected WTG]],'Basic Data'!$A:$A,'Basic Data'!$B:$B),"")</f>
        <v>TQGXIIPL</v>
      </c>
      <c r="I640" s="35" t="str">
        <f>IFERROR(_xlfn.XLOOKUP(Table6[[#This Row],[Affected WTG]],'Basic Data'!$A:$A,'Basic Data'!$C:$C),"")</f>
        <v>GEDA</v>
      </c>
      <c r="J640" s="260">
        <f>IFERROR(_xlfn.XLOOKUP(Table6[[#This Row],[Affected WTG]],'Basic Data'!$A:$A,'Basic Data'!$E:$E),"")</f>
        <v>3.846153846153845E-2</v>
      </c>
      <c r="K640" s="102">
        <v>5506</v>
      </c>
      <c r="L640" s="35" t="str">
        <f>IFERROR(_xlfn.XLOOKUP(Table6[[#This Row],[Error Code]],'Basic Data'!$AA:$AA,'Basic Data'!$AB:$AB),"Incorrect Error Code")</f>
        <v>Rot.br. press. high</v>
      </c>
      <c r="M640" s="35" t="s">
        <v>291</v>
      </c>
      <c r="N640" s="264"/>
      <c r="O640" s="265">
        <v>0</v>
      </c>
      <c r="P640" s="265">
        <v>0</v>
      </c>
      <c r="Q640" s="266">
        <v>0.46597222222222223</v>
      </c>
      <c r="R640" s="261">
        <f>IF(Table6[[#This Row],[Work Start TimeStamp]]="","",(Table6[[#This Row],[Work Start TimeStamp]]-Table6[[#This Row],[Fault Start TimeStamp]])*24)</f>
        <v>0</v>
      </c>
      <c r="S640" s="261">
        <f>(Table6[[#This Row],[Fault Clearance time]]-Table6[[#This Row],[Work Start TimeStamp]])*24</f>
        <v>11.183333333333334</v>
      </c>
      <c r="T640" s="261">
        <f>(Table6[[#This Row],[Fault Clearance time]]-Table6[[#This Row],[Fault Start TimeStamp]])*24</f>
        <v>11.183333333333334</v>
      </c>
      <c r="U640" s="35" t="s">
        <v>418</v>
      </c>
      <c r="V640" s="102" t="s">
        <v>268</v>
      </c>
      <c r="W640" s="267">
        <f>IFERROR(Table6[[#This Row],[Breakdown Time]]*Table6[[#This Row],[Plant Equivalent Weightage]],"")</f>
        <v>0.43012820512820499</v>
      </c>
      <c r="X640" s="262" t="s">
        <v>269</v>
      </c>
      <c r="Y640" s="263" t="s">
        <v>134</v>
      </c>
      <c r="Z640" s="102">
        <v>19397</v>
      </c>
      <c r="AA640" s="257">
        <f>(Table6[[#This Row],[Paired WTG Generation for loss calculation]]/24)*Table6[[#This Row],[Breakdown Time]]</f>
        <v>9038.4631944444445</v>
      </c>
      <c r="AB640" s="102"/>
      <c r="AC640" s="35"/>
      <c r="AD640" s="35"/>
    </row>
    <row r="641" spans="1:30">
      <c r="A641" s="102">
        <f t="shared" si="10"/>
        <v>640</v>
      </c>
      <c r="B641" s="257">
        <f>YEAR(Table6[[#This Row],[Date]])+IF(MONTH(Table6[[#This Row],[Date]])&gt;=4,1,0)</f>
        <v>2026</v>
      </c>
      <c r="C641" s="102">
        <f>YEAR(Table6[[#This Row],[Date]])</f>
        <v>2025</v>
      </c>
      <c r="D641" s="102" t="s">
        <v>265</v>
      </c>
      <c r="E641" s="258">
        <f>Table6[[#This Row],[Date]]-DAY(Table6[[#This Row],[Date]])+1</f>
        <v>45778</v>
      </c>
      <c r="F641" s="259">
        <v>45784</v>
      </c>
      <c r="G641" s="35" t="s">
        <v>139</v>
      </c>
      <c r="H641" s="35" t="str">
        <f>IFERROR(_xlfn.XLOOKUP(Table6[[#This Row],[Affected WTG]],'Basic Data'!$A:$A,'Basic Data'!$B:$B),"")</f>
        <v>TQGXIIPL</v>
      </c>
      <c r="I641" s="35" t="str">
        <f>IFERROR(_xlfn.XLOOKUP(Table6[[#This Row],[Affected WTG]],'Basic Data'!$A:$A,'Basic Data'!$C:$C),"")</f>
        <v>GEDA</v>
      </c>
      <c r="J641" s="260">
        <f>IFERROR(_xlfn.XLOOKUP(Table6[[#This Row],[Affected WTG]],'Basic Data'!$A:$A,'Basic Data'!$E:$E),"")</f>
        <v>3.846153846153845E-2</v>
      </c>
      <c r="K641" s="102">
        <v>3420</v>
      </c>
      <c r="L641" s="35" t="str">
        <f>IFERROR(_xlfn.XLOOKUP(Table6[[#This Row],[Error Code]],'Basic Data'!$AA:$AA,'Basic Data'!$AB:$AB),"Incorrect Error Code")</f>
        <v>UPS buffer time too short</v>
      </c>
      <c r="M641" s="35" t="s">
        <v>266</v>
      </c>
      <c r="N641" s="264"/>
      <c r="O641" s="265">
        <v>0.70694444444444449</v>
      </c>
      <c r="P641" s="265">
        <v>0.70694444444444449</v>
      </c>
      <c r="Q641" s="266">
        <v>0.73472222222222228</v>
      </c>
      <c r="R641" s="261">
        <f>IF(Table6[[#This Row],[Work Start TimeStamp]]="","",(Table6[[#This Row],[Work Start TimeStamp]]-Table6[[#This Row],[Fault Start TimeStamp]])*24)</f>
        <v>0</v>
      </c>
      <c r="S641" s="261">
        <f>(Table6[[#This Row],[Fault Clearance time]]-Table6[[#This Row],[Work Start TimeStamp]])*24</f>
        <v>0.66666666666666696</v>
      </c>
      <c r="T641" s="261">
        <f>(Table6[[#This Row],[Fault Clearance time]]-Table6[[#This Row],[Fault Start TimeStamp]])*24</f>
        <v>0.66666666666666696</v>
      </c>
      <c r="U641" s="35" t="s">
        <v>408</v>
      </c>
      <c r="V641" s="102" t="s">
        <v>268</v>
      </c>
      <c r="W641" s="267">
        <f>IFERROR(Table6[[#This Row],[Breakdown Time]]*Table6[[#This Row],[Plant Equivalent Weightage]],"")</f>
        <v>2.5641025641025644E-2</v>
      </c>
      <c r="X641" s="262" t="s">
        <v>269</v>
      </c>
      <c r="Y641" s="263" t="s">
        <v>115</v>
      </c>
      <c r="Z641" s="102">
        <v>11319</v>
      </c>
      <c r="AA641" s="257">
        <f>(Table6[[#This Row],[Paired WTG Generation for loss calculation]]/24)*Table6[[#This Row],[Breakdown Time]]</f>
        <v>314.4166666666668</v>
      </c>
      <c r="AB641" s="102"/>
      <c r="AC641" s="35"/>
      <c r="AD641" s="35"/>
    </row>
    <row r="642" spans="1:30">
      <c r="A642" s="102">
        <f t="shared" si="10"/>
        <v>641</v>
      </c>
      <c r="B642" s="257">
        <f>YEAR(Table6[[#This Row],[Date]])+IF(MONTH(Table6[[#This Row],[Date]])&gt;=4,1,0)</f>
        <v>2026</v>
      </c>
      <c r="C642" s="102">
        <f>YEAR(Table6[[#This Row],[Date]])</f>
        <v>2025</v>
      </c>
      <c r="D642" s="102" t="s">
        <v>265</v>
      </c>
      <c r="E642" s="258">
        <f>Table6[[#This Row],[Date]]-DAY(Table6[[#This Row],[Date]])+1</f>
        <v>45778</v>
      </c>
      <c r="F642" s="259">
        <v>45784</v>
      </c>
      <c r="G642" s="35" t="s">
        <v>139</v>
      </c>
      <c r="H642" s="35" t="str">
        <f>IFERROR(_xlfn.XLOOKUP(Table6[[#This Row],[Affected WTG]],'Basic Data'!$A:$A,'Basic Data'!$B:$B),"")</f>
        <v>TQGXIIPL</v>
      </c>
      <c r="I642" s="35" t="str">
        <f>IFERROR(_xlfn.XLOOKUP(Table6[[#This Row],[Affected WTG]],'Basic Data'!$A:$A,'Basic Data'!$C:$C),"")</f>
        <v>GEDA</v>
      </c>
      <c r="J642" s="260">
        <f>IFERROR(_xlfn.XLOOKUP(Table6[[#This Row],[Affected WTG]],'Basic Data'!$A:$A,'Basic Data'!$E:$E),"")</f>
        <v>3.846153846153845E-2</v>
      </c>
      <c r="K642" s="102">
        <v>5510</v>
      </c>
      <c r="L642" s="35" t="str">
        <f>IFERROR(_xlfn.XLOOKUP(Table6[[#This Row],[Error Code]],'Basic Data'!$AA:$AA,'Basic Data'!$AB:$AB),"Incorrect Error Code")</f>
        <v>Low hydraulic pressure</v>
      </c>
      <c r="M642" s="35" t="s">
        <v>266</v>
      </c>
      <c r="N642" s="264"/>
      <c r="O642" s="265">
        <v>0.13194444444444445</v>
      </c>
      <c r="P642" s="265">
        <v>0.13194444444444445</v>
      </c>
      <c r="Q642" s="266">
        <v>0.14930555555555555</v>
      </c>
      <c r="R642" s="261">
        <f>IF(Table6[[#This Row],[Work Start TimeStamp]]="","",(Table6[[#This Row],[Work Start TimeStamp]]-Table6[[#This Row],[Fault Start TimeStamp]])*24)</f>
        <v>0</v>
      </c>
      <c r="S642" s="261">
        <f>(Table6[[#This Row],[Fault Clearance time]]-Table6[[#This Row],[Work Start TimeStamp]])*24</f>
        <v>0.41666666666666652</v>
      </c>
      <c r="T642" s="261">
        <f>(Table6[[#This Row],[Fault Clearance time]]-Table6[[#This Row],[Fault Start TimeStamp]])*24</f>
        <v>0.41666666666666652</v>
      </c>
      <c r="U642" s="35" t="s">
        <v>419</v>
      </c>
      <c r="V642" s="102" t="s">
        <v>268</v>
      </c>
      <c r="W642" s="267">
        <f>IFERROR(Table6[[#This Row],[Breakdown Time]]*Table6[[#This Row],[Plant Equivalent Weightage]],"")</f>
        <v>1.6025641025641014E-2</v>
      </c>
      <c r="X642" s="262" t="s">
        <v>269</v>
      </c>
      <c r="Y642" s="263" t="s">
        <v>115</v>
      </c>
      <c r="Z642" s="102">
        <v>11319</v>
      </c>
      <c r="AA642" s="257">
        <f>(Table6[[#This Row],[Paired WTG Generation for loss calculation]]/24)*Table6[[#This Row],[Breakdown Time]]</f>
        <v>196.5104166666666</v>
      </c>
      <c r="AB642" s="102"/>
      <c r="AC642" s="35"/>
      <c r="AD642" s="35"/>
    </row>
    <row r="643" spans="1:30">
      <c r="A643" s="102">
        <f t="shared" si="10"/>
        <v>642</v>
      </c>
      <c r="B643" s="257">
        <f>YEAR(Table6[[#This Row],[Date]])+IF(MONTH(Table6[[#This Row],[Date]])&gt;=4,1,0)</f>
        <v>2026</v>
      </c>
      <c r="C643" s="102">
        <f>YEAR(Table6[[#This Row],[Date]])</f>
        <v>2025</v>
      </c>
      <c r="D643" s="102" t="s">
        <v>265</v>
      </c>
      <c r="E643" s="258">
        <f>Table6[[#This Row],[Date]]-DAY(Table6[[#This Row],[Date]])+1</f>
        <v>45778</v>
      </c>
      <c r="F643" s="259">
        <v>45784</v>
      </c>
      <c r="G643" s="35" t="s">
        <v>139</v>
      </c>
      <c r="H643" s="35" t="str">
        <f>IFERROR(_xlfn.XLOOKUP(Table6[[#This Row],[Affected WTG]],'Basic Data'!$A:$A,'Basic Data'!$B:$B),"")</f>
        <v>TQGXIIPL</v>
      </c>
      <c r="I643" s="35" t="str">
        <f>IFERROR(_xlfn.XLOOKUP(Table6[[#This Row],[Affected WTG]],'Basic Data'!$A:$A,'Basic Data'!$C:$C),"")</f>
        <v>GEDA</v>
      </c>
      <c r="J643" s="260">
        <f>IFERROR(_xlfn.XLOOKUP(Table6[[#This Row],[Affected WTG]],'Basic Data'!$A:$A,'Basic Data'!$E:$E),"")</f>
        <v>3.846153846153845E-2</v>
      </c>
      <c r="K643" s="102">
        <v>55</v>
      </c>
      <c r="L643" s="35" t="str">
        <f>IFERROR(_xlfn.XLOOKUP(Table6[[#This Row],[Error Code]],'Basic Data'!$AA:$AA,'Basic Data'!$AB:$AB),"Incorrect Error Code")</f>
        <v>WTG shut down</v>
      </c>
      <c r="M643" s="35" t="s">
        <v>300</v>
      </c>
      <c r="N643" s="264"/>
      <c r="O643" s="265">
        <v>0.51736111111111116</v>
      </c>
      <c r="P643" s="265">
        <v>0.51736111111111116</v>
      </c>
      <c r="Q643" s="266">
        <v>0.53541666666666665</v>
      </c>
      <c r="R643" s="261">
        <f>IF(Table6[[#This Row],[Work Start TimeStamp]]="","",(Table6[[#This Row],[Work Start TimeStamp]]-Table6[[#This Row],[Fault Start TimeStamp]])*24)</f>
        <v>0</v>
      </c>
      <c r="S643" s="261">
        <f>(Table6[[#This Row],[Fault Clearance time]]-Table6[[#This Row],[Work Start TimeStamp]])*24</f>
        <v>0.43333333333333179</v>
      </c>
      <c r="T643" s="261">
        <f>(Table6[[#This Row],[Fault Clearance time]]-Table6[[#This Row],[Fault Start TimeStamp]])*24</f>
        <v>0.43333333333333179</v>
      </c>
      <c r="U643" s="35" t="s">
        <v>385</v>
      </c>
      <c r="V643" s="102" t="s">
        <v>268</v>
      </c>
      <c r="W643" s="267">
        <f>IFERROR(Table6[[#This Row],[Breakdown Time]]*Table6[[#This Row],[Plant Equivalent Weightage]],"")</f>
        <v>1.6666666666666604E-2</v>
      </c>
      <c r="X643" s="262" t="s">
        <v>269</v>
      </c>
      <c r="Y643" s="263" t="s">
        <v>115</v>
      </c>
      <c r="Z643" s="102">
        <v>11319</v>
      </c>
      <c r="AA643" s="257">
        <f>(Table6[[#This Row],[Paired WTG Generation for loss calculation]]/24)*Table6[[#This Row],[Breakdown Time]]</f>
        <v>204.3708333333326</v>
      </c>
      <c r="AB643" s="102"/>
      <c r="AC643" s="35"/>
      <c r="AD643" s="35"/>
    </row>
    <row r="644" spans="1:30">
      <c r="A644" s="102">
        <f t="shared" si="10"/>
        <v>643</v>
      </c>
      <c r="B644" s="257">
        <f>YEAR(Table6[[#This Row],[Date]])+IF(MONTH(Table6[[#This Row],[Date]])&gt;=4,1,0)</f>
        <v>2026</v>
      </c>
      <c r="C644" s="102">
        <f>YEAR(Table6[[#This Row],[Date]])</f>
        <v>2025</v>
      </c>
      <c r="D644" s="102" t="s">
        <v>265</v>
      </c>
      <c r="E644" s="258">
        <f>Table6[[#This Row],[Date]]-DAY(Table6[[#This Row],[Date]])+1</f>
        <v>45778</v>
      </c>
      <c r="F644" s="259">
        <v>45784</v>
      </c>
      <c r="G644" s="35" t="s">
        <v>140</v>
      </c>
      <c r="H644" s="35" t="str">
        <f>IFERROR(_xlfn.XLOOKUP(Table6[[#This Row],[Affected WTG]],'Basic Data'!$A:$A,'Basic Data'!$B:$B),"")</f>
        <v>TQGXIIPL</v>
      </c>
      <c r="I644" s="35" t="str">
        <f>IFERROR(_xlfn.XLOOKUP(Table6[[#This Row],[Affected WTG]],'Basic Data'!$A:$A,'Basic Data'!$C:$C),"")</f>
        <v>GEDA</v>
      </c>
      <c r="J644" s="260">
        <f>IFERROR(_xlfn.XLOOKUP(Table6[[#This Row],[Affected WTG]],'Basic Data'!$A:$A,'Basic Data'!$E:$E),"")</f>
        <v>3.846153846153845E-2</v>
      </c>
      <c r="K644" s="102">
        <v>675</v>
      </c>
      <c r="L644" s="35" t="str">
        <f>IFERROR(_xlfn.XLOOKUP(Table6[[#This Row],[Error Code]],'Basic Data'!$AA:$AA,'Basic Data'!$AB:$AB),"Incorrect Error Code")</f>
        <v>Pitch measuring system 1&gt;&lt;2</v>
      </c>
      <c r="M644" s="35" t="s">
        <v>266</v>
      </c>
      <c r="N644" s="264"/>
      <c r="O644" s="265">
        <v>0.70694444444444449</v>
      </c>
      <c r="P644" s="265">
        <v>0.70694444444444449</v>
      </c>
      <c r="Q644" s="266">
        <v>0.73541666666666672</v>
      </c>
      <c r="R644" s="261">
        <f>IF(Table6[[#This Row],[Work Start TimeStamp]]="","",(Table6[[#This Row],[Work Start TimeStamp]]-Table6[[#This Row],[Fault Start TimeStamp]])*24)</f>
        <v>0</v>
      </c>
      <c r="S644" s="261">
        <f>(Table6[[#This Row],[Fault Clearance time]]-Table6[[#This Row],[Work Start TimeStamp]])*24</f>
        <v>0.68333333333333357</v>
      </c>
      <c r="T644" s="261">
        <f>(Table6[[#This Row],[Fault Clearance time]]-Table6[[#This Row],[Fault Start TimeStamp]])*24</f>
        <v>0.68333333333333357</v>
      </c>
      <c r="U644" s="35" t="s">
        <v>408</v>
      </c>
      <c r="V644" s="102" t="s">
        <v>268</v>
      </c>
      <c r="W644" s="267">
        <f>IFERROR(Table6[[#This Row],[Breakdown Time]]*Table6[[#This Row],[Plant Equivalent Weightage]],"")</f>
        <v>2.6282051282051282E-2</v>
      </c>
      <c r="X644" s="262" t="s">
        <v>269</v>
      </c>
      <c r="Y644" s="263" t="s">
        <v>115</v>
      </c>
      <c r="Z644" s="102">
        <v>11319</v>
      </c>
      <c r="AA644" s="257">
        <f>(Table6[[#This Row],[Paired WTG Generation for loss calculation]]/24)*Table6[[#This Row],[Breakdown Time]]</f>
        <v>322.27708333333345</v>
      </c>
      <c r="AB644" s="102"/>
      <c r="AC644" s="35"/>
      <c r="AD644" s="35"/>
    </row>
    <row r="645" spans="1:30">
      <c r="A645" s="102">
        <f t="shared" si="10"/>
        <v>644</v>
      </c>
      <c r="B645" s="257">
        <f>YEAR(Table6[[#This Row],[Date]])+IF(MONTH(Table6[[#This Row],[Date]])&gt;=4,1,0)</f>
        <v>2026</v>
      </c>
      <c r="C645" s="102">
        <f>YEAR(Table6[[#This Row],[Date]])</f>
        <v>2025</v>
      </c>
      <c r="D645" s="102" t="s">
        <v>265</v>
      </c>
      <c r="E645" s="258">
        <f>Table6[[#This Row],[Date]]-DAY(Table6[[#This Row],[Date]])+1</f>
        <v>45778</v>
      </c>
      <c r="F645" s="259">
        <v>45785</v>
      </c>
      <c r="G645" s="35" t="s">
        <v>117</v>
      </c>
      <c r="H645" s="35" t="str">
        <f>IFERROR(_xlfn.XLOOKUP(Table6[[#This Row],[Affected WTG]],'Basic Data'!$A:$A,'Basic Data'!$B:$B),"")</f>
        <v>TQGXIIPL</v>
      </c>
      <c r="I645" s="35" t="str">
        <f>IFERROR(_xlfn.XLOOKUP(Table6[[#This Row],[Affected WTG]],'Basic Data'!$A:$A,'Basic Data'!$C:$C),"")</f>
        <v>GEDA</v>
      </c>
      <c r="J645" s="260">
        <f>IFERROR(_xlfn.XLOOKUP(Table6[[#This Row],[Affected WTG]],'Basic Data'!$A:$A,'Basic Data'!$E:$E),"")</f>
        <v>3.846153846153845E-2</v>
      </c>
      <c r="K645" s="102">
        <v>175</v>
      </c>
      <c r="L645" s="35" t="str">
        <f>IFERROR(_xlfn.XLOOKUP(Table6[[#This Row],[Error Code]],'Basic Data'!$AA:$AA,'Basic Data'!$AB:$AB),"Incorrect Error Code")</f>
        <v>SLC error</v>
      </c>
      <c r="M645" s="35" t="s">
        <v>278</v>
      </c>
      <c r="N645" s="264"/>
      <c r="O645" s="265">
        <v>0.79166666666666663</v>
      </c>
      <c r="P645" s="265">
        <v>0.79166666666666663</v>
      </c>
      <c r="Q645" s="266">
        <v>0.79374999999999996</v>
      </c>
      <c r="R645" s="261">
        <f>IF(Table6[[#This Row],[Work Start TimeStamp]]="","",(Table6[[#This Row],[Work Start TimeStamp]]-Table6[[#This Row],[Fault Start TimeStamp]])*24)</f>
        <v>0</v>
      </c>
      <c r="S645" s="261">
        <f>(Table6[[#This Row],[Fault Clearance time]]-Table6[[#This Row],[Work Start TimeStamp]])*24</f>
        <v>4.9999999999999822E-2</v>
      </c>
      <c r="T645" s="261">
        <f>(Table6[[#This Row],[Fault Clearance time]]-Table6[[#This Row],[Fault Start TimeStamp]])*24</f>
        <v>4.9999999999999822E-2</v>
      </c>
      <c r="U645" s="35" t="s">
        <v>420</v>
      </c>
      <c r="V645" s="102" t="s">
        <v>268</v>
      </c>
      <c r="W645" s="267">
        <f>IFERROR(Table6[[#This Row],[Breakdown Time]]*Table6[[#This Row],[Plant Equivalent Weightage]],"")</f>
        <v>1.9230769230769156E-3</v>
      </c>
      <c r="X645" s="262" t="s">
        <v>269</v>
      </c>
      <c r="Y645" s="263" t="s">
        <v>123</v>
      </c>
      <c r="Z645" s="102">
        <v>6464</v>
      </c>
      <c r="AA645" s="257">
        <f>(Table6[[#This Row],[Paired WTG Generation for loss calculation]]/24)*Table6[[#This Row],[Breakdown Time]]</f>
        <v>13.466666666666617</v>
      </c>
      <c r="AB645" s="102"/>
      <c r="AC645" s="35"/>
      <c r="AD645" s="35"/>
    </row>
    <row r="646" spans="1:30">
      <c r="A646" s="102">
        <f t="shared" si="10"/>
        <v>645</v>
      </c>
      <c r="B646" s="257">
        <f>YEAR(Table6[[#This Row],[Date]])+IF(MONTH(Table6[[#This Row],[Date]])&gt;=4,1,0)</f>
        <v>2026</v>
      </c>
      <c r="C646" s="102">
        <f>YEAR(Table6[[#This Row],[Date]])</f>
        <v>2025</v>
      </c>
      <c r="D646" s="102" t="s">
        <v>265</v>
      </c>
      <c r="E646" s="258">
        <f>Table6[[#This Row],[Date]]-DAY(Table6[[#This Row],[Date]])+1</f>
        <v>45778</v>
      </c>
      <c r="F646" s="259">
        <v>45785</v>
      </c>
      <c r="G646" s="35" t="s">
        <v>127</v>
      </c>
      <c r="H646" s="35" t="str">
        <f>IFERROR(_xlfn.XLOOKUP(Table6[[#This Row],[Affected WTG]],'Basic Data'!$A:$A,'Basic Data'!$B:$B),"")</f>
        <v>TQGXIIPL</v>
      </c>
      <c r="I646" s="35" t="str">
        <f>IFERROR(_xlfn.XLOOKUP(Table6[[#This Row],[Affected WTG]],'Basic Data'!$A:$A,'Basic Data'!$C:$C),"")</f>
        <v>GEDA</v>
      </c>
      <c r="J646" s="260">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278</v>
      </c>
      <c r="N646" s="264"/>
      <c r="O646" s="265">
        <v>0.84097222222222223</v>
      </c>
      <c r="P646" s="265">
        <v>0.84097222222222223</v>
      </c>
      <c r="Q646" s="266">
        <v>0.84236111111111112</v>
      </c>
      <c r="R646" s="261">
        <f>IF(Table6[[#This Row],[Work Start TimeStamp]]="","",(Table6[[#This Row],[Work Start TimeStamp]]-Table6[[#This Row],[Fault Start TimeStamp]])*24)</f>
        <v>0</v>
      </c>
      <c r="S646" s="261">
        <f>(Table6[[#This Row],[Fault Clearance time]]-Table6[[#This Row],[Work Start TimeStamp]])*24</f>
        <v>3.3333333333333215E-2</v>
      </c>
      <c r="T646" s="261">
        <f>(Table6[[#This Row],[Fault Clearance time]]-Table6[[#This Row],[Fault Start TimeStamp]])*24</f>
        <v>3.3333333333333215E-2</v>
      </c>
      <c r="U646" s="35" t="s">
        <v>420</v>
      </c>
      <c r="V646" s="102" t="s">
        <v>268</v>
      </c>
      <c r="W646" s="267">
        <f>IFERROR(Table6[[#This Row],[Breakdown Time]]*Table6[[#This Row],[Plant Equivalent Weightage]],"")</f>
        <v>1.2820512820512771E-3</v>
      </c>
      <c r="X646" s="262" t="s">
        <v>269</v>
      </c>
      <c r="Y646" s="263" t="s">
        <v>125</v>
      </c>
      <c r="Z646" s="102">
        <v>7094</v>
      </c>
      <c r="AA646" s="257">
        <f>(Table6[[#This Row],[Paired WTG Generation for loss calculation]]/24)*Table6[[#This Row],[Breakdown Time]]</f>
        <v>9.8527777777777423</v>
      </c>
      <c r="AB646" s="102"/>
      <c r="AC646" s="35"/>
      <c r="AD646" s="35"/>
    </row>
    <row r="647" spans="1:30">
      <c r="A647" s="102">
        <f t="shared" si="10"/>
        <v>646</v>
      </c>
      <c r="B647" s="257">
        <f>YEAR(Table6[[#This Row],[Date]])+IF(MONTH(Table6[[#This Row],[Date]])&gt;=4,1,0)</f>
        <v>2026</v>
      </c>
      <c r="C647" s="102">
        <f>YEAR(Table6[[#This Row],[Date]])</f>
        <v>2025</v>
      </c>
      <c r="D647" s="102" t="s">
        <v>265</v>
      </c>
      <c r="E647" s="258">
        <f>Table6[[#This Row],[Date]]-DAY(Table6[[#This Row],[Date]])+1</f>
        <v>45778</v>
      </c>
      <c r="F647" s="259">
        <v>45785</v>
      </c>
      <c r="G647" s="35" t="s">
        <v>128</v>
      </c>
      <c r="H647" s="35" t="str">
        <f>IFERROR(_xlfn.XLOOKUP(Table6[[#This Row],[Affected WTG]],'Basic Data'!$A:$A,'Basic Data'!$B:$B),"")</f>
        <v>TQGXIIPL</v>
      </c>
      <c r="I647" s="35" t="str">
        <f>IFERROR(_xlfn.XLOOKUP(Table6[[#This Row],[Affected WTG]],'Basic Data'!$A:$A,'Basic Data'!$C:$C),"")</f>
        <v>GEDA</v>
      </c>
      <c r="J647" s="260">
        <f>IFERROR(_xlfn.XLOOKUP(Table6[[#This Row],[Affected WTG]],'Basic Data'!$A:$A,'Basic Data'!$E:$E),"")</f>
        <v>3.846153846153845E-2</v>
      </c>
      <c r="K647" s="102">
        <v>72</v>
      </c>
      <c r="L647" s="35" t="str">
        <f>IFERROR(_xlfn.XLOOKUP(Table6[[#This Row],[Error Code]],'Basic Data'!$AA:$AA,'Basic Data'!$AB:$AB),"Incorrect Error Code")</f>
        <v>Outdoor temperature high</v>
      </c>
      <c r="M647" s="35" t="s">
        <v>266</v>
      </c>
      <c r="N647" s="264"/>
      <c r="O647" s="265">
        <v>0.84236111111111112</v>
      </c>
      <c r="P647" s="265">
        <v>0.84236111111111112</v>
      </c>
      <c r="Q647" s="266">
        <v>0.8569444444444444</v>
      </c>
      <c r="R647" s="261">
        <f>IF(Table6[[#This Row],[Work Start TimeStamp]]="","",(Table6[[#This Row],[Work Start TimeStamp]]-Table6[[#This Row],[Fault Start TimeStamp]])*24)</f>
        <v>0</v>
      </c>
      <c r="S647" s="261">
        <f>(Table6[[#This Row],[Fault Clearance time]]-Table6[[#This Row],[Work Start TimeStamp]])*24</f>
        <v>0.34999999999999876</v>
      </c>
      <c r="T647" s="261">
        <f>(Table6[[#This Row],[Fault Clearance time]]-Table6[[#This Row],[Fault Start TimeStamp]])*24</f>
        <v>0.34999999999999876</v>
      </c>
      <c r="U647" s="35" t="s">
        <v>421</v>
      </c>
      <c r="V647" s="102" t="s">
        <v>268</v>
      </c>
      <c r="W647" s="267">
        <f>IFERROR(Table6[[#This Row],[Breakdown Time]]*Table6[[#This Row],[Plant Equivalent Weightage]],"")</f>
        <v>1.346153846153841E-2</v>
      </c>
      <c r="X647" s="262" t="s">
        <v>269</v>
      </c>
      <c r="Y647" s="263" t="s">
        <v>126</v>
      </c>
      <c r="Z647" s="102">
        <v>6716</v>
      </c>
      <c r="AA647" s="257">
        <f>(Table6[[#This Row],[Paired WTG Generation for loss calculation]]/24)*Table6[[#This Row],[Breakdown Time]]</f>
        <v>97.941666666666308</v>
      </c>
      <c r="AB647" s="102"/>
      <c r="AC647" s="35"/>
      <c r="AD647" s="35"/>
    </row>
    <row r="648" spans="1:30">
      <c r="A648" s="102">
        <f t="shared" si="10"/>
        <v>647</v>
      </c>
      <c r="B648" s="257">
        <f>YEAR(Table6[[#This Row],[Date]])+IF(MONTH(Table6[[#This Row],[Date]])&gt;=4,1,0)</f>
        <v>2026</v>
      </c>
      <c r="C648" s="102">
        <f>YEAR(Table6[[#This Row],[Date]])</f>
        <v>2025</v>
      </c>
      <c r="D648" s="102" t="s">
        <v>265</v>
      </c>
      <c r="E648" s="258">
        <f>Table6[[#This Row],[Date]]-DAY(Table6[[#This Row],[Date]])+1</f>
        <v>45778</v>
      </c>
      <c r="F648" s="259">
        <v>45785</v>
      </c>
      <c r="G648" s="35" t="s">
        <v>130</v>
      </c>
      <c r="H648" s="35" t="str">
        <f>IFERROR(_xlfn.XLOOKUP(Table6[[#This Row],[Affected WTG]],'Basic Data'!$A:$A,'Basic Data'!$B:$B),"")</f>
        <v>TQGXIIPL</v>
      </c>
      <c r="I648" s="35" t="str">
        <f>IFERROR(_xlfn.XLOOKUP(Table6[[#This Row],[Affected WTG]],'Basic Data'!$A:$A,'Basic Data'!$C:$C),"")</f>
        <v>GEDA</v>
      </c>
      <c r="J648" s="260">
        <f>IFERROR(_xlfn.XLOOKUP(Table6[[#This Row],[Affected WTG]],'Basic Data'!$A:$A,'Basic Data'!$E:$E),"")</f>
        <v>3.846153846153845E-2</v>
      </c>
      <c r="K648" s="102">
        <v>55</v>
      </c>
      <c r="L648" s="35" t="str">
        <f>IFERROR(_xlfn.XLOOKUP(Table6[[#This Row],[Error Code]],'Basic Data'!$AA:$AA,'Basic Data'!$AB:$AB),"Incorrect Error Code")</f>
        <v>WTG shut down</v>
      </c>
      <c r="M648" s="35" t="s">
        <v>266</v>
      </c>
      <c r="N648" s="264"/>
      <c r="O648" s="265">
        <v>0.65625</v>
      </c>
      <c r="P648" s="265">
        <v>0.65625</v>
      </c>
      <c r="Q648" s="266">
        <v>0.67638888888888893</v>
      </c>
      <c r="R648" s="261">
        <f>IF(Table6[[#This Row],[Work Start TimeStamp]]="","",(Table6[[#This Row],[Work Start TimeStamp]]-Table6[[#This Row],[Fault Start TimeStamp]])*24)</f>
        <v>0</v>
      </c>
      <c r="S648" s="261">
        <f>(Table6[[#This Row],[Fault Clearance time]]-Table6[[#This Row],[Work Start TimeStamp]])*24</f>
        <v>0.48333333333333428</v>
      </c>
      <c r="T648" s="261">
        <f>(Table6[[#This Row],[Fault Clearance time]]-Table6[[#This Row],[Fault Start TimeStamp]])*24</f>
        <v>0.48333333333333428</v>
      </c>
      <c r="U648" s="35" t="s">
        <v>422</v>
      </c>
      <c r="V648" s="102" t="s">
        <v>268</v>
      </c>
      <c r="W648" s="267">
        <f>IFERROR(Table6[[#This Row],[Breakdown Time]]*Table6[[#This Row],[Plant Equivalent Weightage]],"")</f>
        <v>1.8589743589743621E-2</v>
      </c>
      <c r="X648" s="262" t="s">
        <v>296</v>
      </c>
      <c r="Y648" s="263" t="s">
        <v>135</v>
      </c>
      <c r="Z648" s="102">
        <v>7764</v>
      </c>
      <c r="AA648" s="257">
        <f>(Table6[[#This Row],[Paired WTG Generation for loss calculation]]/24)*Table6[[#This Row],[Breakdown Time]]</f>
        <v>156.35833333333363</v>
      </c>
      <c r="AB648" s="102"/>
      <c r="AC648" s="35"/>
      <c r="AD648" s="35"/>
    </row>
    <row r="649" spans="1:30">
      <c r="A649" s="102">
        <f t="shared" si="10"/>
        <v>648</v>
      </c>
      <c r="B649" s="257">
        <f>YEAR(Table6[[#This Row],[Date]])+IF(MONTH(Table6[[#This Row],[Date]])&gt;=4,1,0)</f>
        <v>2026</v>
      </c>
      <c r="C649" s="102">
        <f>YEAR(Table6[[#This Row],[Date]])</f>
        <v>2025</v>
      </c>
      <c r="D649" s="102" t="s">
        <v>265</v>
      </c>
      <c r="E649" s="258">
        <f>Table6[[#This Row],[Date]]-DAY(Table6[[#This Row],[Date]])+1</f>
        <v>45778</v>
      </c>
      <c r="F649" s="259">
        <v>45785</v>
      </c>
      <c r="G649" s="35" t="s">
        <v>131</v>
      </c>
      <c r="H649" s="35" t="str">
        <f>IFERROR(_xlfn.XLOOKUP(Table6[[#This Row],[Affected WTG]],'Basic Data'!$A:$A,'Basic Data'!$B:$B),"")</f>
        <v>TQGXIIPL</v>
      </c>
      <c r="I649" s="35" t="str">
        <f>IFERROR(_xlfn.XLOOKUP(Table6[[#This Row],[Affected WTG]],'Basic Data'!$A:$A,'Basic Data'!$C:$C),"")</f>
        <v>GEDA</v>
      </c>
      <c r="J649" s="260">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278</v>
      </c>
      <c r="N649" s="264"/>
      <c r="O649" s="265">
        <v>0.50277777777777777</v>
      </c>
      <c r="P649" s="265">
        <v>0.50277777777777777</v>
      </c>
      <c r="Q649" s="266">
        <v>0.50486111111111109</v>
      </c>
      <c r="R649" s="261">
        <f>IF(Table6[[#This Row],[Work Start TimeStamp]]="","",(Table6[[#This Row],[Work Start TimeStamp]]-Table6[[#This Row],[Fault Start TimeStamp]])*24)</f>
        <v>0</v>
      </c>
      <c r="S649" s="261">
        <f>(Table6[[#This Row],[Fault Clearance time]]-Table6[[#This Row],[Work Start TimeStamp]])*24</f>
        <v>4.9999999999999822E-2</v>
      </c>
      <c r="T649" s="261">
        <f>(Table6[[#This Row],[Fault Clearance time]]-Table6[[#This Row],[Fault Start TimeStamp]])*24</f>
        <v>4.9999999999999822E-2</v>
      </c>
      <c r="U649" s="35" t="s">
        <v>420</v>
      </c>
      <c r="V649" s="102" t="s">
        <v>268</v>
      </c>
      <c r="W649" s="267">
        <f>IFERROR(Table6[[#This Row],[Breakdown Time]]*Table6[[#This Row],[Plant Equivalent Weightage]],"")</f>
        <v>1.9230769230769156E-3</v>
      </c>
      <c r="X649" s="262" t="s">
        <v>269</v>
      </c>
      <c r="Y649" s="263" t="s">
        <v>136</v>
      </c>
      <c r="Z649" s="102">
        <v>7733</v>
      </c>
      <c r="AA649" s="257">
        <f>(Table6[[#This Row],[Paired WTG Generation for loss calculation]]/24)*Table6[[#This Row],[Breakdown Time]]</f>
        <v>16.110416666666609</v>
      </c>
      <c r="AB649" s="102"/>
      <c r="AC649" s="35"/>
      <c r="AD649" s="35"/>
    </row>
    <row r="650" spans="1:30">
      <c r="A650" s="102">
        <f t="shared" si="10"/>
        <v>649</v>
      </c>
      <c r="B650" s="257">
        <f>YEAR(Table6[[#This Row],[Date]])+IF(MONTH(Table6[[#This Row],[Date]])&gt;=4,1,0)</f>
        <v>2026</v>
      </c>
      <c r="C650" s="102">
        <f>YEAR(Table6[[#This Row],[Date]])</f>
        <v>2025</v>
      </c>
      <c r="D650" s="102" t="s">
        <v>265</v>
      </c>
      <c r="E650" s="258">
        <f>Table6[[#This Row],[Date]]-DAY(Table6[[#This Row],[Date]])+1</f>
        <v>45778</v>
      </c>
      <c r="F650" s="259">
        <v>45785</v>
      </c>
      <c r="G650" s="35" t="s">
        <v>134</v>
      </c>
      <c r="H650" s="35" t="str">
        <f>IFERROR(_xlfn.XLOOKUP(Table6[[#This Row],[Affected WTG]],'Basic Data'!$A:$A,'Basic Data'!$B:$B),"")</f>
        <v>TQGXIIPL</v>
      </c>
      <c r="I650" s="35" t="str">
        <f>IFERROR(_xlfn.XLOOKUP(Table6[[#This Row],[Affected WTG]],'Basic Data'!$A:$A,'Basic Data'!$C:$C),"")</f>
        <v>GEDA</v>
      </c>
      <c r="J650" s="260">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266</v>
      </c>
      <c r="N650" s="264"/>
      <c r="O650" s="265">
        <v>0</v>
      </c>
      <c r="P650" s="265">
        <v>0</v>
      </c>
      <c r="Q650" s="266">
        <v>0.15555555555555556</v>
      </c>
      <c r="R650" s="261">
        <f>IF(Table6[[#This Row],[Work Start TimeStamp]]="","",(Table6[[#This Row],[Work Start TimeStamp]]-Table6[[#This Row],[Fault Start TimeStamp]])*24)</f>
        <v>0</v>
      </c>
      <c r="S650" s="261">
        <f>(Table6[[#This Row],[Fault Clearance time]]-Table6[[#This Row],[Work Start TimeStamp]])*24</f>
        <v>3.7333333333333334</v>
      </c>
      <c r="T650" s="261">
        <f>(Table6[[#This Row],[Fault Clearance time]]-Table6[[#This Row],[Fault Start TimeStamp]])*24</f>
        <v>3.7333333333333334</v>
      </c>
      <c r="U650" s="35" t="s">
        <v>423</v>
      </c>
      <c r="V650" s="102" t="s">
        <v>268</v>
      </c>
      <c r="W650" s="267">
        <f>IFERROR(Table6[[#This Row],[Breakdown Time]]*Table6[[#This Row],[Plant Equivalent Weightage]],"")</f>
        <v>0.14358974358974355</v>
      </c>
      <c r="X650" s="262" t="s">
        <v>296</v>
      </c>
      <c r="Y650" s="263" t="s">
        <v>138</v>
      </c>
      <c r="Z650" s="102">
        <v>9370</v>
      </c>
      <c r="AA650" s="257">
        <f>(Table6[[#This Row],[Paired WTG Generation for loss calculation]]/24)*Table6[[#This Row],[Breakdown Time]]</f>
        <v>1457.5555555555557</v>
      </c>
      <c r="AB650" s="102"/>
      <c r="AC650" s="35"/>
      <c r="AD650" s="35"/>
    </row>
    <row r="651" spans="1:30">
      <c r="A651" s="102">
        <f t="shared" si="10"/>
        <v>650</v>
      </c>
      <c r="B651" s="257">
        <f>YEAR(Table6[[#This Row],[Date]])+IF(MONTH(Table6[[#This Row],[Date]])&gt;=4,1,0)</f>
        <v>2026</v>
      </c>
      <c r="C651" s="102">
        <f>YEAR(Table6[[#This Row],[Date]])</f>
        <v>2025</v>
      </c>
      <c r="D651" s="102" t="s">
        <v>265</v>
      </c>
      <c r="E651" s="258">
        <f>Table6[[#This Row],[Date]]-DAY(Table6[[#This Row],[Date]])+1</f>
        <v>45778</v>
      </c>
      <c r="F651" s="259">
        <v>45785</v>
      </c>
      <c r="G651" s="35" t="s">
        <v>134</v>
      </c>
      <c r="H651" s="35" t="str">
        <f>IFERROR(_xlfn.XLOOKUP(Table6[[#This Row],[Affected WTG]],'Basic Data'!$A:$A,'Basic Data'!$B:$B),"")</f>
        <v>TQGXIIPL</v>
      </c>
      <c r="I651" s="35" t="str">
        <f>IFERROR(_xlfn.XLOOKUP(Table6[[#This Row],[Affected WTG]],'Basic Data'!$A:$A,'Basic Data'!$C:$C),"")</f>
        <v>GEDA</v>
      </c>
      <c r="J651" s="260">
        <f>IFERROR(_xlfn.XLOOKUP(Table6[[#This Row],[Affected WTG]],'Basic Data'!$A:$A,'Basic Data'!$E:$E),"")</f>
        <v>3.846153846153845E-2</v>
      </c>
      <c r="K651" s="102">
        <v>55</v>
      </c>
      <c r="L651" s="35" t="str">
        <f>IFERROR(_xlfn.XLOOKUP(Table6[[#This Row],[Error Code]],'Basic Data'!$AA:$AA,'Basic Data'!$AB:$AB),"Incorrect Error Code")</f>
        <v>WTG shut down</v>
      </c>
      <c r="M651" s="35" t="s">
        <v>266</v>
      </c>
      <c r="N651" s="264"/>
      <c r="O651" s="265">
        <v>0.63888888888888884</v>
      </c>
      <c r="P651" s="265">
        <v>0.63888888888888884</v>
      </c>
      <c r="Q651" s="266">
        <v>0.69861111111111107</v>
      </c>
      <c r="R651" s="261">
        <f>IF(Table6[[#This Row],[Work Start TimeStamp]]="","",(Table6[[#This Row],[Work Start TimeStamp]]-Table6[[#This Row],[Fault Start TimeStamp]])*24)</f>
        <v>0</v>
      </c>
      <c r="S651" s="261">
        <f>(Table6[[#This Row],[Fault Clearance time]]-Table6[[#This Row],[Work Start TimeStamp]])*24</f>
        <v>1.4333333333333336</v>
      </c>
      <c r="T651" s="261">
        <f>(Table6[[#This Row],[Fault Clearance time]]-Table6[[#This Row],[Fault Start TimeStamp]])*24</f>
        <v>1.4333333333333336</v>
      </c>
      <c r="U651" s="35" t="s">
        <v>422</v>
      </c>
      <c r="V651" s="102" t="s">
        <v>268</v>
      </c>
      <c r="W651" s="267">
        <f>IFERROR(Table6[[#This Row],[Breakdown Time]]*Table6[[#This Row],[Plant Equivalent Weightage]],"")</f>
        <v>5.512820512820512E-2</v>
      </c>
      <c r="X651" s="262" t="s">
        <v>296</v>
      </c>
      <c r="Y651" s="263" t="s">
        <v>138</v>
      </c>
      <c r="Z651" s="102">
        <v>9370</v>
      </c>
      <c r="AA651" s="257">
        <f>(Table6[[#This Row],[Paired WTG Generation for loss calculation]]/24)*Table6[[#This Row],[Breakdown Time]]</f>
        <v>559.59722222222229</v>
      </c>
      <c r="AB651" s="102"/>
      <c r="AC651" s="35"/>
      <c r="AD651" s="35"/>
    </row>
    <row r="652" spans="1:30">
      <c r="A652" s="102">
        <f t="shared" si="10"/>
        <v>651</v>
      </c>
      <c r="B652" s="257">
        <f>YEAR(Table6[[#This Row],[Date]])+IF(MONTH(Table6[[#This Row],[Date]])&gt;=4,1,0)</f>
        <v>2026</v>
      </c>
      <c r="C652" s="102">
        <f>YEAR(Table6[[#This Row],[Date]])</f>
        <v>2025</v>
      </c>
      <c r="D652" s="102" t="s">
        <v>265</v>
      </c>
      <c r="E652" s="258">
        <f>Table6[[#This Row],[Date]]-DAY(Table6[[#This Row],[Date]])+1</f>
        <v>45778</v>
      </c>
      <c r="F652" s="259">
        <v>45785</v>
      </c>
      <c r="G652" s="35" t="s">
        <v>137</v>
      </c>
      <c r="H652" s="35" t="str">
        <f>IFERROR(_xlfn.XLOOKUP(Table6[[#This Row],[Affected WTG]],'Basic Data'!$A:$A,'Basic Data'!$B:$B),"")</f>
        <v>TQGXIIPL</v>
      </c>
      <c r="I652" s="35" t="str">
        <f>IFERROR(_xlfn.XLOOKUP(Table6[[#This Row],[Affected WTG]],'Basic Data'!$A:$A,'Basic Data'!$C:$C),"")</f>
        <v>GEDA</v>
      </c>
      <c r="J652" s="260">
        <f>IFERROR(_xlfn.XLOOKUP(Table6[[#This Row],[Affected WTG]],'Basic Data'!$A:$A,'Basic Data'!$E:$E),"")</f>
        <v>3.846153846153845E-2</v>
      </c>
      <c r="K652" s="102">
        <v>700</v>
      </c>
      <c r="L652" s="35" t="str">
        <f>IFERROR(_xlfn.XLOOKUP(Table6[[#This Row],[Error Code]],'Basic Data'!$AA:$AA,'Basic Data'!$AB:$AB),"Incorrect Error Code")</f>
        <v>Batt. undervoltage/overvoltage</v>
      </c>
      <c r="M652" s="35" t="s">
        <v>266</v>
      </c>
      <c r="N652" s="264"/>
      <c r="O652" s="265">
        <v>0.79166666666666663</v>
      </c>
      <c r="P652" s="265">
        <v>0.90763888888888888</v>
      </c>
      <c r="Q652" s="266">
        <v>0.96805555555555556</v>
      </c>
      <c r="R652" s="261">
        <f>IF(Table6[[#This Row],[Work Start TimeStamp]]="","",(Table6[[#This Row],[Work Start TimeStamp]]-Table6[[#This Row],[Fault Start TimeStamp]])*24)</f>
        <v>2.7833333333333341</v>
      </c>
      <c r="S652" s="261">
        <f>(Table6[[#This Row],[Fault Clearance time]]-Table6[[#This Row],[Work Start TimeStamp]])*24</f>
        <v>1.4500000000000002</v>
      </c>
      <c r="T652" s="261">
        <f>(Table6[[#This Row],[Fault Clearance time]]-Table6[[#This Row],[Fault Start TimeStamp]])*24</f>
        <v>4.2333333333333343</v>
      </c>
      <c r="U652" s="35" t="s">
        <v>424</v>
      </c>
      <c r="V652" s="102" t="s">
        <v>268</v>
      </c>
      <c r="W652" s="267">
        <f>IFERROR(Table6[[#This Row],[Breakdown Time]]*Table6[[#This Row],[Plant Equivalent Weightage]],"")</f>
        <v>0.1628205128205128</v>
      </c>
      <c r="X652" s="262" t="s">
        <v>296</v>
      </c>
      <c r="Y652" s="263" t="s">
        <v>125</v>
      </c>
      <c r="Z652" s="102">
        <v>7094</v>
      </c>
      <c r="AA652" s="257">
        <f>(Table6[[#This Row],[Paired WTG Generation for loss calculation]]/24)*Table6[[#This Row],[Breakdown Time]]</f>
        <v>1251.3027777777779</v>
      </c>
      <c r="AB652" s="102"/>
      <c r="AC652" s="35"/>
      <c r="AD652" s="35"/>
    </row>
    <row r="653" spans="1:30">
      <c r="A653" s="102">
        <f t="shared" si="10"/>
        <v>652</v>
      </c>
      <c r="B653" s="257">
        <f>YEAR(Table6[[#This Row],[Date]])+IF(MONTH(Table6[[#This Row],[Date]])&gt;=4,1,0)</f>
        <v>2026</v>
      </c>
      <c r="C653" s="102">
        <f>YEAR(Table6[[#This Row],[Date]])</f>
        <v>2025</v>
      </c>
      <c r="D653" s="102" t="s">
        <v>265</v>
      </c>
      <c r="E653" s="258">
        <f>Table6[[#This Row],[Date]]-DAY(Table6[[#This Row],[Date]])+1</f>
        <v>45778</v>
      </c>
      <c r="F653" s="259">
        <v>45785</v>
      </c>
      <c r="G653" s="35" t="s">
        <v>140</v>
      </c>
      <c r="H653" s="35" t="str">
        <f>IFERROR(_xlfn.XLOOKUP(Table6[[#This Row],[Affected WTG]],'Basic Data'!$A:$A,'Basic Data'!$B:$B),"")</f>
        <v>TQGXIIPL</v>
      </c>
      <c r="I653" s="35" t="str">
        <f>IFERROR(_xlfn.XLOOKUP(Table6[[#This Row],[Affected WTG]],'Basic Data'!$A:$A,'Basic Data'!$C:$C),"")</f>
        <v>GEDA</v>
      </c>
      <c r="J653" s="260">
        <f>IFERROR(_xlfn.XLOOKUP(Table6[[#This Row],[Affected WTG]],'Basic Data'!$A:$A,'Basic Data'!$E:$E),"")</f>
        <v>3.846153846153845E-2</v>
      </c>
      <c r="K653" s="102">
        <v>5510</v>
      </c>
      <c r="L653" s="35" t="str">
        <f>IFERROR(_xlfn.XLOOKUP(Table6[[#This Row],[Error Code]],'Basic Data'!$AA:$AA,'Basic Data'!$AB:$AB),"Incorrect Error Code")</f>
        <v>Low hydraulic pressure</v>
      </c>
      <c r="M653" s="35" t="s">
        <v>278</v>
      </c>
      <c r="N653" s="264"/>
      <c r="O653" s="265">
        <v>0.79027777777777775</v>
      </c>
      <c r="P653" s="265">
        <v>0.79027777777777775</v>
      </c>
      <c r="Q653" s="266">
        <v>0.79305555555555551</v>
      </c>
      <c r="R653" s="261">
        <f>IF(Table6[[#This Row],[Work Start TimeStamp]]="","",(Table6[[#This Row],[Work Start TimeStamp]]-Table6[[#This Row],[Fault Start TimeStamp]])*24)</f>
        <v>0</v>
      </c>
      <c r="S653" s="261">
        <f>(Table6[[#This Row],[Fault Clearance time]]-Table6[[#This Row],[Work Start TimeStamp]])*24</f>
        <v>6.666666666666643E-2</v>
      </c>
      <c r="T653" s="261">
        <f>(Table6[[#This Row],[Fault Clearance time]]-Table6[[#This Row],[Fault Start TimeStamp]])*24</f>
        <v>6.666666666666643E-2</v>
      </c>
      <c r="U653" s="35" t="s">
        <v>420</v>
      </c>
      <c r="V653" s="102" t="s">
        <v>268</v>
      </c>
      <c r="W653" s="267">
        <f>IFERROR(Table6[[#This Row],[Breakdown Time]]*Table6[[#This Row],[Plant Equivalent Weightage]],"")</f>
        <v>2.5641025641025541E-3</v>
      </c>
      <c r="X653" s="262" t="s">
        <v>269</v>
      </c>
      <c r="Y653" s="263" t="s">
        <v>115</v>
      </c>
      <c r="Z653" s="102">
        <v>7575</v>
      </c>
      <c r="AA653" s="257">
        <f>(Table6[[#This Row],[Paired WTG Generation for loss calculation]]/24)*Table6[[#This Row],[Breakdown Time]]</f>
        <v>21.041666666666593</v>
      </c>
      <c r="AB653" s="102"/>
      <c r="AC653" s="35"/>
      <c r="AD653" s="35"/>
    </row>
    <row r="654" spans="1:30">
      <c r="A654" s="102">
        <f t="shared" ref="A654:A717" si="11">A653+1</f>
        <v>653</v>
      </c>
      <c r="B654" s="257">
        <f>YEAR(Table6[[#This Row],[Date]])+IF(MONTH(Table6[[#This Row],[Date]])&gt;=4,1,0)</f>
        <v>2026</v>
      </c>
      <c r="C654" s="102">
        <f>YEAR(Table6[[#This Row],[Date]])</f>
        <v>2025</v>
      </c>
      <c r="D654" s="102" t="s">
        <v>265</v>
      </c>
      <c r="E654" s="258">
        <f>Table6[[#This Row],[Date]]-DAY(Table6[[#This Row],[Date]])+1</f>
        <v>45778</v>
      </c>
      <c r="F654" s="259">
        <v>45786</v>
      </c>
      <c r="G654" s="35" t="s">
        <v>116</v>
      </c>
      <c r="H654" s="35" t="str">
        <f>IFERROR(_xlfn.XLOOKUP(Table6[[#This Row],[Affected WTG]],'Basic Data'!$A:$A,'Basic Data'!$B:$B),"")</f>
        <v>TQGXIIPL</v>
      </c>
      <c r="I654" s="35" t="str">
        <f>IFERROR(_xlfn.XLOOKUP(Table6[[#This Row],[Affected WTG]],'Basic Data'!$A:$A,'Basic Data'!$C:$C),"")</f>
        <v>GEDA</v>
      </c>
      <c r="J654" s="260">
        <f>IFERROR(_xlfn.XLOOKUP(Table6[[#This Row],[Affected WTG]],'Basic Data'!$A:$A,'Basic Data'!$E:$E),"")</f>
        <v>3.846153846153845E-2</v>
      </c>
      <c r="K654" s="102">
        <v>55</v>
      </c>
      <c r="L654" s="35" t="str">
        <f>IFERROR(_xlfn.XLOOKUP(Table6[[#This Row],[Error Code]],'Basic Data'!$AA:$AA,'Basic Data'!$AB:$AB),"Incorrect Error Code")</f>
        <v>WTG shut down</v>
      </c>
      <c r="M654" s="35" t="s">
        <v>266</v>
      </c>
      <c r="N654" s="264"/>
      <c r="O654" s="265">
        <v>0.59791666666666665</v>
      </c>
      <c r="P654" s="265">
        <v>0.59791666666666665</v>
      </c>
      <c r="Q654" s="266">
        <v>0.59930555555555554</v>
      </c>
      <c r="R654" s="261">
        <f>IF(Table6[[#This Row],[Work Start TimeStamp]]="","",(Table6[[#This Row],[Work Start TimeStamp]]-Table6[[#This Row],[Fault Start TimeStamp]])*24)</f>
        <v>0</v>
      </c>
      <c r="S654" s="261">
        <f>(Table6[[#This Row],[Fault Clearance time]]-Table6[[#This Row],[Work Start TimeStamp]])*24</f>
        <v>3.3333333333333215E-2</v>
      </c>
      <c r="T654" s="261">
        <f>(Table6[[#This Row],[Fault Clearance time]]-Table6[[#This Row],[Fault Start TimeStamp]])*24</f>
        <v>3.3333333333333215E-2</v>
      </c>
      <c r="U654" s="35" t="s">
        <v>320</v>
      </c>
      <c r="V654" s="102" t="s">
        <v>268</v>
      </c>
      <c r="W654" s="267">
        <f>IFERROR(Table6[[#This Row],[Breakdown Time]]*Table6[[#This Row],[Plant Equivalent Weightage]],"")</f>
        <v>1.2820512820512771E-3</v>
      </c>
      <c r="X654" s="262" t="s">
        <v>296</v>
      </c>
      <c r="Y654" s="263" t="s">
        <v>119</v>
      </c>
      <c r="Z654" s="102">
        <v>11663</v>
      </c>
      <c r="AA654" s="257">
        <f>(Table6[[#This Row],[Paired WTG Generation for loss calculation]]/24)*Table6[[#This Row],[Breakdown Time]]</f>
        <v>16.198611111111052</v>
      </c>
      <c r="AB654" s="102"/>
      <c r="AC654" s="35"/>
      <c r="AD654" s="35"/>
    </row>
    <row r="655" spans="1:30">
      <c r="A655" s="102">
        <f t="shared" si="11"/>
        <v>654</v>
      </c>
      <c r="B655" s="257">
        <f>YEAR(Table6[[#This Row],[Date]])+IF(MONTH(Table6[[#This Row],[Date]])&gt;=4,1,0)</f>
        <v>2026</v>
      </c>
      <c r="C655" s="102">
        <f>YEAR(Table6[[#This Row],[Date]])</f>
        <v>2025</v>
      </c>
      <c r="D655" s="102" t="s">
        <v>265</v>
      </c>
      <c r="E655" s="258">
        <f>Table6[[#This Row],[Date]]-DAY(Table6[[#This Row],[Date]])+1</f>
        <v>45778</v>
      </c>
      <c r="F655" s="259">
        <v>45786</v>
      </c>
      <c r="G655" s="35" t="s">
        <v>117</v>
      </c>
      <c r="H655" s="35" t="str">
        <f>IFERROR(_xlfn.XLOOKUP(Table6[[#This Row],[Affected WTG]],'Basic Data'!$A:$A,'Basic Data'!$B:$B),"")</f>
        <v>TQGXIIPL</v>
      </c>
      <c r="I655" s="35" t="str">
        <f>IFERROR(_xlfn.XLOOKUP(Table6[[#This Row],[Affected WTG]],'Basic Data'!$A:$A,'Basic Data'!$C:$C),"")</f>
        <v>GEDA</v>
      </c>
      <c r="J655" s="260">
        <f>IFERROR(_xlfn.XLOOKUP(Table6[[#This Row],[Affected WTG]],'Basic Data'!$A:$A,'Basic Data'!$E:$E),"")</f>
        <v>3.846153846153845E-2</v>
      </c>
      <c r="K655" s="102">
        <v>55</v>
      </c>
      <c r="L655" s="35" t="str">
        <f>IFERROR(_xlfn.XLOOKUP(Table6[[#This Row],[Error Code]],'Basic Data'!$AA:$AA,'Basic Data'!$AB:$AB),"Incorrect Error Code")</f>
        <v>WTG shut down</v>
      </c>
      <c r="M655" s="35" t="s">
        <v>266</v>
      </c>
      <c r="N655" s="264"/>
      <c r="O655" s="265">
        <v>0.60069444444444442</v>
      </c>
      <c r="P655" s="265">
        <v>0.60069444444444442</v>
      </c>
      <c r="Q655" s="266">
        <v>0.6020833333333333</v>
      </c>
      <c r="R655" s="261">
        <f>IF(Table6[[#This Row],[Work Start TimeStamp]]="","",(Table6[[#This Row],[Work Start TimeStamp]]-Table6[[#This Row],[Fault Start TimeStamp]])*24)</f>
        <v>0</v>
      </c>
      <c r="S655" s="261">
        <f>(Table6[[#This Row],[Fault Clearance time]]-Table6[[#This Row],[Work Start TimeStamp]])*24</f>
        <v>3.3333333333333215E-2</v>
      </c>
      <c r="T655" s="261">
        <f>(Table6[[#This Row],[Fault Clearance time]]-Table6[[#This Row],[Fault Start TimeStamp]])*24</f>
        <v>3.3333333333333215E-2</v>
      </c>
      <c r="U655" s="35" t="s">
        <v>320</v>
      </c>
      <c r="V655" s="102" t="s">
        <v>268</v>
      </c>
      <c r="W655" s="267">
        <f>IFERROR(Table6[[#This Row],[Breakdown Time]]*Table6[[#This Row],[Plant Equivalent Weightage]],"")</f>
        <v>1.2820512820512771E-3</v>
      </c>
      <c r="X655" s="262" t="s">
        <v>296</v>
      </c>
      <c r="Y655" s="263" t="s">
        <v>123</v>
      </c>
      <c r="Z655" s="102">
        <v>8780</v>
      </c>
      <c r="AA655" s="257">
        <f>(Table6[[#This Row],[Paired WTG Generation for loss calculation]]/24)*Table6[[#This Row],[Breakdown Time]]</f>
        <v>12.1944444444444</v>
      </c>
      <c r="AB655" s="102"/>
      <c r="AC655" s="35"/>
      <c r="AD655" s="35"/>
    </row>
    <row r="656" spans="1:30">
      <c r="A656" s="102">
        <f t="shared" si="11"/>
        <v>655</v>
      </c>
      <c r="B656" s="257">
        <f>YEAR(Table6[[#This Row],[Date]])+IF(MONTH(Table6[[#This Row],[Date]])&gt;=4,1,0)</f>
        <v>2026</v>
      </c>
      <c r="C656" s="102">
        <f>YEAR(Table6[[#This Row],[Date]])</f>
        <v>2025</v>
      </c>
      <c r="D656" s="102" t="s">
        <v>265</v>
      </c>
      <c r="E656" s="258">
        <f>Table6[[#This Row],[Date]]-DAY(Table6[[#This Row],[Date]])+1</f>
        <v>45778</v>
      </c>
      <c r="F656" s="259">
        <v>45786</v>
      </c>
      <c r="G656" s="35" t="s">
        <v>118</v>
      </c>
      <c r="H656" s="35" t="str">
        <f>IFERROR(_xlfn.XLOOKUP(Table6[[#This Row],[Affected WTG]],'Basic Data'!$A:$A,'Basic Data'!$B:$B),"")</f>
        <v>TQGXIIPL</v>
      </c>
      <c r="I656" s="35" t="str">
        <f>IFERROR(_xlfn.XLOOKUP(Table6[[#This Row],[Affected WTG]],'Basic Data'!$A:$A,'Basic Data'!$C:$C),"")</f>
        <v>GEDA</v>
      </c>
      <c r="J656" s="260">
        <f>IFERROR(_xlfn.XLOOKUP(Table6[[#This Row],[Affected WTG]],'Basic Data'!$A:$A,'Basic Data'!$E:$E),"")</f>
        <v>3.846153846153845E-2</v>
      </c>
      <c r="K656" s="102">
        <v>55</v>
      </c>
      <c r="L656" s="35" t="str">
        <f>IFERROR(_xlfn.XLOOKUP(Table6[[#This Row],[Error Code]],'Basic Data'!$AA:$AA,'Basic Data'!$AB:$AB),"Incorrect Error Code")</f>
        <v>WTG shut down</v>
      </c>
      <c r="M656" s="35" t="s">
        <v>266</v>
      </c>
      <c r="N656" s="264"/>
      <c r="O656" s="265">
        <v>0.60972222222222228</v>
      </c>
      <c r="P656" s="265">
        <v>0.60972222222222228</v>
      </c>
      <c r="Q656" s="266">
        <v>0.6118055555555556</v>
      </c>
      <c r="R656" s="261">
        <f>IF(Table6[[#This Row],[Work Start TimeStamp]]="","",(Table6[[#This Row],[Work Start TimeStamp]]-Table6[[#This Row],[Fault Start TimeStamp]])*24)</f>
        <v>0</v>
      </c>
      <c r="S656" s="261">
        <f>(Table6[[#This Row],[Fault Clearance time]]-Table6[[#This Row],[Work Start TimeStamp]])*24</f>
        <v>4.9999999999999822E-2</v>
      </c>
      <c r="T656" s="261">
        <f>(Table6[[#This Row],[Fault Clearance time]]-Table6[[#This Row],[Fault Start TimeStamp]])*24</f>
        <v>4.9999999999999822E-2</v>
      </c>
      <c r="U656" s="35" t="s">
        <v>320</v>
      </c>
      <c r="V656" s="102" t="s">
        <v>268</v>
      </c>
      <c r="W656" s="267">
        <f>IFERROR(Table6[[#This Row],[Breakdown Time]]*Table6[[#This Row],[Plant Equivalent Weightage]],"")</f>
        <v>1.9230769230769156E-3</v>
      </c>
      <c r="X656" s="262" t="s">
        <v>296</v>
      </c>
      <c r="Y656" s="263" t="s">
        <v>121</v>
      </c>
      <c r="Z656" s="102">
        <v>4777</v>
      </c>
      <c r="AA656" s="257">
        <f>(Table6[[#This Row],[Paired WTG Generation for loss calculation]]/24)*Table6[[#This Row],[Breakdown Time]]</f>
        <v>9.952083333333297</v>
      </c>
      <c r="AB656" s="102"/>
      <c r="AC656" s="35"/>
      <c r="AD656" s="35"/>
    </row>
    <row r="657" spans="1:30">
      <c r="A657" s="102">
        <f t="shared" si="11"/>
        <v>656</v>
      </c>
      <c r="B657" s="257">
        <f>YEAR(Table6[[#This Row],[Date]])+IF(MONTH(Table6[[#This Row],[Date]])&gt;=4,1,0)</f>
        <v>2026</v>
      </c>
      <c r="C657" s="102">
        <f>YEAR(Table6[[#This Row],[Date]])</f>
        <v>2025</v>
      </c>
      <c r="D657" s="102" t="s">
        <v>265</v>
      </c>
      <c r="E657" s="258">
        <f>Table6[[#This Row],[Date]]-DAY(Table6[[#This Row],[Date]])+1</f>
        <v>45778</v>
      </c>
      <c r="F657" s="259">
        <v>45786</v>
      </c>
      <c r="G657" s="35" t="s">
        <v>119</v>
      </c>
      <c r="H657" s="35" t="str">
        <f>IFERROR(_xlfn.XLOOKUP(Table6[[#This Row],[Affected WTG]],'Basic Data'!$A:$A,'Basic Data'!$B:$B),"")</f>
        <v>TQGXIIPL</v>
      </c>
      <c r="I657" s="35" t="str">
        <f>IFERROR(_xlfn.XLOOKUP(Table6[[#This Row],[Affected WTG]],'Basic Data'!$A:$A,'Basic Data'!$C:$C),"")</f>
        <v>GEDA</v>
      </c>
      <c r="J657" s="260">
        <f>IFERROR(_xlfn.XLOOKUP(Table6[[#This Row],[Affected WTG]],'Basic Data'!$A:$A,'Basic Data'!$E:$E),"")</f>
        <v>3.846153846153845E-2</v>
      </c>
      <c r="K657" s="102">
        <v>55</v>
      </c>
      <c r="L657" s="35" t="str">
        <f>IFERROR(_xlfn.XLOOKUP(Table6[[#This Row],[Error Code]],'Basic Data'!$AA:$AA,'Basic Data'!$AB:$AB),"Incorrect Error Code")</f>
        <v>WTG shut down</v>
      </c>
      <c r="M657" s="35" t="s">
        <v>266</v>
      </c>
      <c r="N657" s="264"/>
      <c r="O657" s="265">
        <v>0.62013888888888891</v>
      </c>
      <c r="P657" s="265">
        <v>0.62013888888888891</v>
      </c>
      <c r="Q657" s="266">
        <v>0.62152777777777779</v>
      </c>
      <c r="R657" s="261">
        <f>IF(Table6[[#This Row],[Work Start TimeStamp]]="","",(Table6[[#This Row],[Work Start TimeStamp]]-Table6[[#This Row],[Fault Start TimeStamp]])*24)</f>
        <v>0</v>
      </c>
      <c r="S657" s="261">
        <f>(Table6[[#This Row],[Fault Clearance time]]-Table6[[#This Row],[Work Start TimeStamp]])*24</f>
        <v>3.3333333333333215E-2</v>
      </c>
      <c r="T657" s="261">
        <f>(Table6[[#This Row],[Fault Clearance time]]-Table6[[#This Row],[Fault Start TimeStamp]])*24</f>
        <v>3.3333333333333215E-2</v>
      </c>
      <c r="U657" s="35" t="s">
        <v>320</v>
      </c>
      <c r="V657" s="102" t="s">
        <v>268</v>
      </c>
      <c r="W657" s="267">
        <f>IFERROR(Table6[[#This Row],[Breakdown Time]]*Table6[[#This Row],[Plant Equivalent Weightage]],"")</f>
        <v>1.2820512820512771E-3</v>
      </c>
      <c r="X657" s="262" t="s">
        <v>296</v>
      </c>
      <c r="Y657" s="263" t="s">
        <v>116</v>
      </c>
      <c r="Z657" s="102">
        <v>12509</v>
      </c>
      <c r="AA657" s="257">
        <f>(Table6[[#This Row],[Paired WTG Generation for loss calculation]]/24)*Table6[[#This Row],[Breakdown Time]]</f>
        <v>17.37361111111105</v>
      </c>
      <c r="AB657" s="102"/>
      <c r="AC657" s="35"/>
      <c r="AD657" s="35"/>
    </row>
    <row r="658" spans="1:30">
      <c r="A658" s="102">
        <f t="shared" si="11"/>
        <v>657</v>
      </c>
      <c r="B658" s="257">
        <f>YEAR(Table6[[#This Row],[Date]])+IF(MONTH(Table6[[#This Row],[Date]])&gt;=4,1,0)</f>
        <v>2026</v>
      </c>
      <c r="C658" s="102">
        <f>YEAR(Table6[[#This Row],[Date]])</f>
        <v>2025</v>
      </c>
      <c r="D658" s="102" t="s">
        <v>265</v>
      </c>
      <c r="E658" s="258">
        <f>Table6[[#This Row],[Date]]-DAY(Table6[[#This Row],[Date]])+1</f>
        <v>45778</v>
      </c>
      <c r="F658" s="259">
        <v>45786</v>
      </c>
      <c r="G658" s="35" t="s">
        <v>120</v>
      </c>
      <c r="H658" s="35" t="str">
        <f>IFERROR(_xlfn.XLOOKUP(Table6[[#This Row],[Affected WTG]],'Basic Data'!$A:$A,'Basic Data'!$B:$B),"")</f>
        <v>TQGXIIPL</v>
      </c>
      <c r="I658" s="35" t="str">
        <f>IFERROR(_xlfn.XLOOKUP(Table6[[#This Row],[Affected WTG]],'Basic Data'!$A:$A,'Basic Data'!$C:$C),"")</f>
        <v>GEDA</v>
      </c>
      <c r="J658" s="260">
        <f>IFERROR(_xlfn.XLOOKUP(Table6[[#This Row],[Affected WTG]],'Basic Data'!$A:$A,'Basic Data'!$E:$E),"")</f>
        <v>3.846153846153845E-2</v>
      </c>
      <c r="K658" s="102">
        <v>55</v>
      </c>
      <c r="L658" s="35" t="str">
        <f>IFERROR(_xlfn.XLOOKUP(Table6[[#This Row],[Error Code]],'Basic Data'!$AA:$AA,'Basic Data'!$AB:$AB),"Incorrect Error Code")</f>
        <v>WTG shut down</v>
      </c>
      <c r="M658" s="35" t="s">
        <v>266</v>
      </c>
      <c r="N658" s="264"/>
      <c r="O658" s="265">
        <v>0.60416666666666663</v>
      </c>
      <c r="P658" s="265">
        <v>0.60416666666666663</v>
      </c>
      <c r="Q658" s="266">
        <v>0.60555555555555551</v>
      </c>
      <c r="R658" s="261">
        <f>IF(Table6[[#This Row],[Work Start TimeStamp]]="","",(Table6[[#This Row],[Work Start TimeStamp]]-Table6[[#This Row],[Fault Start TimeStamp]])*24)</f>
        <v>0</v>
      </c>
      <c r="S658" s="261">
        <f>(Table6[[#This Row],[Fault Clearance time]]-Table6[[#This Row],[Work Start TimeStamp]])*24</f>
        <v>3.3333333333333215E-2</v>
      </c>
      <c r="T658" s="261">
        <f>(Table6[[#This Row],[Fault Clearance time]]-Table6[[#This Row],[Fault Start TimeStamp]])*24</f>
        <v>3.3333333333333215E-2</v>
      </c>
      <c r="U658" s="35" t="s">
        <v>320</v>
      </c>
      <c r="V658" s="102" t="s">
        <v>268</v>
      </c>
      <c r="W658" s="267">
        <f>IFERROR(Table6[[#This Row],[Breakdown Time]]*Table6[[#This Row],[Plant Equivalent Weightage]],"")</f>
        <v>1.2820512820512771E-3</v>
      </c>
      <c r="X658" s="262" t="s">
        <v>296</v>
      </c>
      <c r="Y658" s="263" t="s">
        <v>135</v>
      </c>
      <c r="Z658" s="102">
        <v>5387</v>
      </c>
      <c r="AA658" s="257">
        <f>(Table6[[#This Row],[Paired WTG Generation for loss calculation]]/24)*Table6[[#This Row],[Breakdown Time]]</f>
        <v>7.4819444444444185</v>
      </c>
      <c r="AB658" s="102"/>
      <c r="AC658" s="35"/>
      <c r="AD658" s="35"/>
    </row>
    <row r="659" spans="1:30">
      <c r="A659" s="102">
        <f t="shared" si="11"/>
        <v>658</v>
      </c>
      <c r="B659" s="257">
        <f>YEAR(Table6[[#This Row],[Date]])+IF(MONTH(Table6[[#This Row],[Date]])&gt;=4,1,0)</f>
        <v>2026</v>
      </c>
      <c r="C659" s="102">
        <f>YEAR(Table6[[#This Row],[Date]])</f>
        <v>2025</v>
      </c>
      <c r="D659" s="102" t="s">
        <v>265</v>
      </c>
      <c r="E659" s="258">
        <f>Table6[[#This Row],[Date]]-DAY(Table6[[#This Row],[Date]])+1</f>
        <v>45778</v>
      </c>
      <c r="F659" s="259">
        <v>45786</v>
      </c>
      <c r="G659" s="35" t="s">
        <v>121</v>
      </c>
      <c r="H659" s="35" t="str">
        <f>IFERROR(_xlfn.XLOOKUP(Table6[[#This Row],[Affected WTG]],'Basic Data'!$A:$A,'Basic Data'!$B:$B),"")</f>
        <v>TQGXIIPL</v>
      </c>
      <c r="I659" s="35" t="str">
        <f>IFERROR(_xlfn.XLOOKUP(Table6[[#This Row],[Affected WTG]],'Basic Data'!$A:$A,'Basic Data'!$C:$C),"")</f>
        <v>GEDA</v>
      </c>
      <c r="J659" s="260">
        <f>IFERROR(_xlfn.XLOOKUP(Table6[[#This Row],[Affected WTG]],'Basic Data'!$A:$A,'Basic Data'!$E:$E),"")</f>
        <v>3.846153846153845E-2</v>
      </c>
      <c r="K659" s="102">
        <v>55</v>
      </c>
      <c r="L659" s="35" t="str">
        <f>IFERROR(_xlfn.XLOOKUP(Table6[[#This Row],[Error Code]],'Basic Data'!$AA:$AA,'Basic Data'!$AB:$AB),"Incorrect Error Code")</f>
        <v>WTG shut down</v>
      </c>
      <c r="M659" s="35" t="s">
        <v>266</v>
      </c>
      <c r="N659" s="264"/>
      <c r="O659" s="265">
        <v>0.6333333333333333</v>
      </c>
      <c r="P659" s="265">
        <v>0.6333333333333333</v>
      </c>
      <c r="Q659" s="266">
        <v>0.64236111111111116</v>
      </c>
      <c r="R659" s="261">
        <f>IF(Table6[[#This Row],[Work Start TimeStamp]]="","",(Table6[[#This Row],[Work Start TimeStamp]]-Table6[[#This Row],[Fault Start TimeStamp]])*24)</f>
        <v>0</v>
      </c>
      <c r="S659" s="261">
        <f>(Table6[[#This Row],[Fault Clearance time]]-Table6[[#This Row],[Work Start TimeStamp]])*24</f>
        <v>0.21666666666666856</v>
      </c>
      <c r="T659" s="261">
        <f>(Table6[[#This Row],[Fault Clearance time]]-Table6[[#This Row],[Fault Start TimeStamp]])*24</f>
        <v>0.21666666666666856</v>
      </c>
      <c r="U659" s="35" t="s">
        <v>320</v>
      </c>
      <c r="V659" s="102" t="s">
        <v>268</v>
      </c>
      <c r="W659" s="267">
        <f>IFERROR(Table6[[#This Row],[Breakdown Time]]*Table6[[#This Row],[Plant Equivalent Weightage]],"")</f>
        <v>8.3333333333334043E-3</v>
      </c>
      <c r="X659" s="262" t="s">
        <v>296</v>
      </c>
      <c r="Y659" s="263" t="s">
        <v>118</v>
      </c>
      <c r="Z659" s="102">
        <v>5316</v>
      </c>
      <c r="AA659" s="257">
        <f>(Table6[[#This Row],[Paired WTG Generation for loss calculation]]/24)*Table6[[#This Row],[Breakdown Time]]</f>
        <v>47.991666666667086</v>
      </c>
      <c r="AB659" s="102"/>
      <c r="AC659" s="35"/>
      <c r="AD659" s="35"/>
    </row>
    <row r="660" spans="1:30">
      <c r="A660" s="102">
        <f t="shared" si="11"/>
        <v>659</v>
      </c>
      <c r="B660" s="257">
        <f>YEAR(Table6[[#This Row],[Date]])+IF(MONTH(Table6[[#This Row],[Date]])&gt;=4,1,0)</f>
        <v>2026</v>
      </c>
      <c r="C660" s="102">
        <f>YEAR(Table6[[#This Row],[Date]])</f>
        <v>2025</v>
      </c>
      <c r="D660" s="102" t="s">
        <v>265</v>
      </c>
      <c r="E660" s="258">
        <f>Table6[[#This Row],[Date]]-DAY(Table6[[#This Row],[Date]])+1</f>
        <v>45778</v>
      </c>
      <c r="F660" s="259">
        <v>45786</v>
      </c>
      <c r="G660" s="35" t="s">
        <v>122</v>
      </c>
      <c r="H660" s="35" t="str">
        <f>IFERROR(_xlfn.XLOOKUP(Table6[[#This Row],[Affected WTG]],'Basic Data'!$A:$A,'Basic Data'!$B:$B),"")</f>
        <v>TQGXIIPL</v>
      </c>
      <c r="I660" s="35" t="str">
        <f>IFERROR(_xlfn.XLOOKUP(Table6[[#This Row],[Affected WTG]],'Basic Data'!$A:$A,'Basic Data'!$C:$C),"")</f>
        <v>GEDA</v>
      </c>
      <c r="J660" s="260">
        <f>IFERROR(_xlfn.XLOOKUP(Table6[[#This Row],[Affected WTG]],'Basic Data'!$A:$A,'Basic Data'!$E:$E),"")</f>
        <v>3.846153846153845E-2</v>
      </c>
      <c r="K660" s="102">
        <v>55</v>
      </c>
      <c r="L660" s="35" t="str">
        <f>IFERROR(_xlfn.XLOOKUP(Table6[[#This Row],[Error Code]],'Basic Data'!$AA:$AA,'Basic Data'!$AB:$AB),"Incorrect Error Code")</f>
        <v>WTG shut down</v>
      </c>
      <c r="M660" s="35" t="s">
        <v>266</v>
      </c>
      <c r="N660" s="264"/>
      <c r="O660" s="265">
        <v>0.64652777777777781</v>
      </c>
      <c r="P660" s="265">
        <v>0.64652777777777781</v>
      </c>
      <c r="Q660" s="266">
        <v>0.6479166666666667</v>
      </c>
      <c r="R660" s="261">
        <f>IF(Table6[[#This Row],[Work Start TimeStamp]]="","",(Table6[[#This Row],[Work Start TimeStamp]]-Table6[[#This Row],[Fault Start TimeStamp]])*24)</f>
        <v>0</v>
      </c>
      <c r="S660" s="261">
        <f>(Table6[[#This Row],[Fault Clearance time]]-Table6[[#This Row],[Work Start TimeStamp]])*24</f>
        <v>3.3333333333333215E-2</v>
      </c>
      <c r="T660" s="261">
        <f>(Table6[[#This Row],[Fault Clearance time]]-Table6[[#This Row],[Fault Start TimeStamp]])*24</f>
        <v>3.3333333333333215E-2</v>
      </c>
      <c r="U660" s="35" t="s">
        <v>320</v>
      </c>
      <c r="V660" s="102" t="s">
        <v>268</v>
      </c>
      <c r="W660" s="267">
        <f>IFERROR(Table6[[#This Row],[Breakdown Time]]*Table6[[#This Row],[Plant Equivalent Weightage]],"")</f>
        <v>1.2820512820512771E-3</v>
      </c>
      <c r="X660" s="262" t="s">
        <v>296</v>
      </c>
      <c r="Y660" s="263" t="s">
        <v>140</v>
      </c>
      <c r="Z660" s="102">
        <v>9743</v>
      </c>
      <c r="AA660" s="257">
        <f>(Table6[[#This Row],[Paired WTG Generation for loss calculation]]/24)*Table6[[#This Row],[Breakdown Time]]</f>
        <v>13.531944444444395</v>
      </c>
      <c r="AB660" s="102"/>
      <c r="AC660" s="35"/>
      <c r="AD660" s="35"/>
    </row>
    <row r="661" spans="1:30">
      <c r="A661" s="102">
        <f t="shared" si="11"/>
        <v>660</v>
      </c>
      <c r="B661" s="257">
        <f>YEAR(Table6[[#This Row],[Date]])+IF(MONTH(Table6[[#This Row],[Date]])&gt;=4,1,0)</f>
        <v>2026</v>
      </c>
      <c r="C661" s="102">
        <f>YEAR(Table6[[#This Row],[Date]])</f>
        <v>2025</v>
      </c>
      <c r="D661" s="102" t="s">
        <v>265</v>
      </c>
      <c r="E661" s="258">
        <f>Table6[[#This Row],[Date]]-DAY(Table6[[#This Row],[Date]])+1</f>
        <v>45778</v>
      </c>
      <c r="F661" s="259">
        <v>45786</v>
      </c>
      <c r="G661" s="35" t="s">
        <v>115</v>
      </c>
      <c r="H661" s="35" t="str">
        <f>IFERROR(_xlfn.XLOOKUP(Table6[[#This Row],[Affected WTG]],'Basic Data'!$A:$A,'Basic Data'!$B:$B),"")</f>
        <v>TQGXIIPL</v>
      </c>
      <c r="I661" s="35" t="str">
        <f>IFERROR(_xlfn.XLOOKUP(Table6[[#This Row],[Affected WTG]],'Basic Data'!$A:$A,'Basic Data'!$C:$C),"")</f>
        <v>GEDA</v>
      </c>
      <c r="J661" s="260">
        <f>IFERROR(_xlfn.XLOOKUP(Table6[[#This Row],[Affected WTG]],'Basic Data'!$A:$A,'Basic Data'!$E:$E),"")</f>
        <v>3.846153846153845E-2</v>
      </c>
      <c r="K661" s="102">
        <v>55</v>
      </c>
      <c r="L661" s="35" t="str">
        <f>IFERROR(_xlfn.XLOOKUP(Table6[[#This Row],[Error Code]],'Basic Data'!$AA:$AA,'Basic Data'!$AB:$AB),"Incorrect Error Code")</f>
        <v>WTG shut down</v>
      </c>
      <c r="M661" s="35" t="s">
        <v>266</v>
      </c>
      <c r="N661" s="264"/>
      <c r="O661" s="265">
        <v>0.5854166666666667</v>
      </c>
      <c r="P661" s="265">
        <v>0.5854166666666667</v>
      </c>
      <c r="Q661" s="266">
        <v>0.58680555555555558</v>
      </c>
      <c r="R661" s="261">
        <f>IF(Table6[[#This Row],[Work Start TimeStamp]]="","",(Table6[[#This Row],[Work Start TimeStamp]]-Table6[[#This Row],[Fault Start TimeStamp]])*24)</f>
        <v>0</v>
      </c>
      <c r="S661" s="261">
        <f>(Table6[[#This Row],[Fault Clearance time]]-Table6[[#This Row],[Work Start TimeStamp]])*24</f>
        <v>3.3333333333333215E-2</v>
      </c>
      <c r="T661" s="261">
        <f>(Table6[[#This Row],[Fault Clearance time]]-Table6[[#This Row],[Fault Start TimeStamp]])*24</f>
        <v>3.3333333333333215E-2</v>
      </c>
      <c r="U661" s="35" t="s">
        <v>320</v>
      </c>
      <c r="V661" s="102" t="s">
        <v>268</v>
      </c>
      <c r="W661" s="267">
        <f>IFERROR(Table6[[#This Row],[Breakdown Time]]*Table6[[#This Row],[Plant Equivalent Weightage]],"")</f>
        <v>1.2820512820512771E-3</v>
      </c>
      <c r="X661" s="262" t="s">
        <v>296</v>
      </c>
      <c r="Y661" s="263" t="s">
        <v>140</v>
      </c>
      <c r="Z661" s="102">
        <v>9743</v>
      </c>
      <c r="AA661" s="257">
        <f>(Table6[[#This Row],[Paired WTG Generation for loss calculation]]/24)*Table6[[#This Row],[Breakdown Time]]</f>
        <v>13.531944444444395</v>
      </c>
      <c r="AB661" s="102"/>
      <c r="AC661" s="35"/>
      <c r="AD661" s="35"/>
    </row>
    <row r="662" spans="1:30">
      <c r="A662" s="102">
        <f t="shared" si="11"/>
        <v>661</v>
      </c>
      <c r="B662" s="257">
        <f>YEAR(Table6[[#This Row],[Date]])+IF(MONTH(Table6[[#This Row],[Date]])&gt;=4,1,0)</f>
        <v>2026</v>
      </c>
      <c r="C662" s="102">
        <f>YEAR(Table6[[#This Row],[Date]])</f>
        <v>2025</v>
      </c>
      <c r="D662" s="102" t="s">
        <v>265</v>
      </c>
      <c r="E662" s="258">
        <f>Table6[[#This Row],[Date]]-DAY(Table6[[#This Row],[Date]])+1</f>
        <v>45778</v>
      </c>
      <c r="F662" s="259">
        <v>45786</v>
      </c>
      <c r="G662" s="35" t="s">
        <v>123</v>
      </c>
      <c r="H662" s="35" t="str">
        <f>IFERROR(_xlfn.XLOOKUP(Table6[[#This Row],[Affected WTG]],'Basic Data'!$A:$A,'Basic Data'!$B:$B),"")</f>
        <v>TQGXIIPL</v>
      </c>
      <c r="I662" s="35" t="str">
        <f>IFERROR(_xlfn.XLOOKUP(Table6[[#This Row],[Affected WTG]],'Basic Data'!$A:$A,'Basic Data'!$C:$C),"")</f>
        <v>GEDA</v>
      </c>
      <c r="J662" s="260">
        <f>IFERROR(_xlfn.XLOOKUP(Table6[[#This Row],[Affected WTG]],'Basic Data'!$A:$A,'Basic Data'!$E:$E),"")</f>
        <v>3.846153846153845E-2</v>
      </c>
      <c r="K662" s="102">
        <v>55</v>
      </c>
      <c r="L662" s="35" t="str">
        <f>IFERROR(_xlfn.XLOOKUP(Table6[[#This Row],[Error Code]],'Basic Data'!$AA:$AA,'Basic Data'!$AB:$AB),"Incorrect Error Code")</f>
        <v>WTG shut down</v>
      </c>
      <c r="M662" s="35" t="s">
        <v>266</v>
      </c>
      <c r="N662" s="264"/>
      <c r="O662" s="265">
        <v>0.64930555555555558</v>
      </c>
      <c r="P662" s="265">
        <v>0.64930555555555558</v>
      </c>
      <c r="Q662" s="266">
        <v>0.65069444444444446</v>
      </c>
      <c r="R662" s="261">
        <f>IF(Table6[[#This Row],[Work Start TimeStamp]]="","",(Table6[[#This Row],[Work Start TimeStamp]]-Table6[[#This Row],[Fault Start TimeStamp]])*24)</f>
        <v>0</v>
      </c>
      <c r="S662" s="261">
        <f>(Table6[[#This Row],[Fault Clearance time]]-Table6[[#This Row],[Work Start TimeStamp]])*24</f>
        <v>3.3333333333333215E-2</v>
      </c>
      <c r="T662" s="261">
        <f>(Table6[[#This Row],[Fault Clearance time]]-Table6[[#This Row],[Fault Start TimeStamp]])*24</f>
        <v>3.3333333333333215E-2</v>
      </c>
      <c r="U662" s="35" t="s">
        <v>320</v>
      </c>
      <c r="V662" s="102" t="s">
        <v>268</v>
      </c>
      <c r="W662" s="267">
        <f>IFERROR(Table6[[#This Row],[Breakdown Time]]*Table6[[#This Row],[Plant Equivalent Weightage]],"")</f>
        <v>1.2820512820512771E-3</v>
      </c>
      <c r="X662" s="262" t="s">
        <v>296</v>
      </c>
      <c r="Y662" s="263" t="s">
        <v>117</v>
      </c>
      <c r="Z662" s="102">
        <v>9207</v>
      </c>
      <c r="AA662" s="257">
        <f>(Table6[[#This Row],[Paired WTG Generation for loss calculation]]/24)*Table6[[#This Row],[Breakdown Time]]</f>
        <v>12.787499999999955</v>
      </c>
      <c r="AB662" s="102"/>
      <c r="AC662" s="35"/>
      <c r="AD662" s="35"/>
    </row>
    <row r="663" spans="1:30">
      <c r="A663" s="102">
        <f t="shared" si="11"/>
        <v>662</v>
      </c>
      <c r="B663" s="257">
        <f>YEAR(Table6[[#This Row],[Date]])+IF(MONTH(Table6[[#This Row],[Date]])&gt;=4,1,0)</f>
        <v>2026</v>
      </c>
      <c r="C663" s="102">
        <f>YEAR(Table6[[#This Row],[Date]])</f>
        <v>2025</v>
      </c>
      <c r="D663" s="102" t="s">
        <v>265</v>
      </c>
      <c r="E663" s="258">
        <f>Table6[[#This Row],[Date]]-DAY(Table6[[#This Row],[Date]])+1</f>
        <v>45778</v>
      </c>
      <c r="F663" s="259">
        <v>45786</v>
      </c>
      <c r="G663" s="35" t="s">
        <v>124</v>
      </c>
      <c r="H663" s="35" t="str">
        <f>IFERROR(_xlfn.XLOOKUP(Table6[[#This Row],[Affected WTG]],'Basic Data'!$A:$A,'Basic Data'!$B:$B),"")</f>
        <v>TQGXIIPL</v>
      </c>
      <c r="I663" s="35" t="str">
        <f>IFERROR(_xlfn.XLOOKUP(Table6[[#This Row],[Affected WTG]],'Basic Data'!$A:$A,'Basic Data'!$C:$C),"")</f>
        <v>GEDA</v>
      </c>
      <c r="J663" s="260">
        <f>IFERROR(_xlfn.XLOOKUP(Table6[[#This Row],[Affected WTG]],'Basic Data'!$A:$A,'Basic Data'!$E:$E),"")</f>
        <v>3.846153846153845E-2</v>
      </c>
      <c r="K663" s="102">
        <v>55</v>
      </c>
      <c r="L663" s="35" t="str">
        <f>IFERROR(_xlfn.XLOOKUP(Table6[[#This Row],[Error Code]],'Basic Data'!$AA:$AA,'Basic Data'!$AB:$AB),"Incorrect Error Code")</f>
        <v>WTG shut down</v>
      </c>
      <c r="M663" s="35" t="s">
        <v>266</v>
      </c>
      <c r="N663" s="264"/>
      <c r="O663" s="265">
        <v>0.65138888888888891</v>
      </c>
      <c r="P663" s="265">
        <v>0.65138888888888891</v>
      </c>
      <c r="Q663" s="266">
        <v>0.66041666666666665</v>
      </c>
      <c r="R663" s="261">
        <f>IF(Table6[[#This Row],[Work Start TimeStamp]]="","",(Table6[[#This Row],[Work Start TimeStamp]]-Table6[[#This Row],[Fault Start TimeStamp]])*24)</f>
        <v>0</v>
      </c>
      <c r="S663" s="261">
        <f>(Table6[[#This Row],[Fault Clearance time]]-Table6[[#This Row],[Work Start TimeStamp]])*24</f>
        <v>0.2166666666666659</v>
      </c>
      <c r="T663" s="261">
        <f>(Table6[[#This Row],[Fault Clearance time]]-Table6[[#This Row],[Fault Start TimeStamp]])*24</f>
        <v>0.2166666666666659</v>
      </c>
      <c r="U663" s="35" t="s">
        <v>320</v>
      </c>
      <c r="V663" s="102" t="s">
        <v>268</v>
      </c>
      <c r="W663" s="267">
        <f>IFERROR(Table6[[#This Row],[Breakdown Time]]*Table6[[#This Row],[Plant Equivalent Weightage]],"")</f>
        <v>8.333333333333302E-3</v>
      </c>
      <c r="X663" s="262" t="s">
        <v>296</v>
      </c>
      <c r="Y663" s="263" t="s">
        <v>129</v>
      </c>
      <c r="Z663" s="102">
        <v>10040</v>
      </c>
      <c r="AA663" s="257">
        <f>(Table6[[#This Row],[Paired WTG Generation for loss calculation]]/24)*Table6[[#This Row],[Breakdown Time]]</f>
        <v>90.638888888888559</v>
      </c>
      <c r="AB663" s="102"/>
      <c r="AC663" s="35"/>
      <c r="AD663" s="35"/>
    </row>
    <row r="664" spans="1:30">
      <c r="A664" s="102">
        <f t="shared" si="11"/>
        <v>663</v>
      </c>
      <c r="B664" s="257">
        <f>YEAR(Table6[[#This Row],[Date]])+IF(MONTH(Table6[[#This Row],[Date]])&gt;=4,1,0)</f>
        <v>2026</v>
      </c>
      <c r="C664" s="102">
        <f>YEAR(Table6[[#This Row],[Date]])</f>
        <v>2025</v>
      </c>
      <c r="D664" s="102" t="s">
        <v>265</v>
      </c>
      <c r="E664" s="258">
        <f>Table6[[#This Row],[Date]]-DAY(Table6[[#This Row],[Date]])+1</f>
        <v>45778</v>
      </c>
      <c r="F664" s="259">
        <v>45786</v>
      </c>
      <c r="G664" s="35" t="s">
        <v>125</v>
      </c>
      <c r="H664" s="35" t="str">
        <f>IFERROR(_xlfn.XLOOKUP(Table6[[#This Row],[Affected WTG]],'Basic Data'!$A:$A,'Basic Data'!$B:$B),"")</f>
        <v>TQGXIIPL</v>
      </c>
      <c r="I664" s="35" t="str">
        <f>IFERROR(_xlfn.XLOOKUP(Table6[[#This Row],[Affected WTG]],'Basic Data'!$A:$A,'Basic Data'!$C:$C),"")</f>
        <v>GEDA</v>
      </c>
      <c r="J664" s="260">
        <f>IFERROR(_xlfn.XLOOKUP(Table6[[#This Row],[Affected WTG]],'Basic Data'!$A:$A,'Basic Data'!$E:$E),"")</f>
        <v>3.846153846153845E-2</v>
      </c>
      <c r="K664" s="102">
        <v>741</v>
      </c>
      <c r="L664" s="35" t="str">
        <f>IFERROR(_xlfn.XLOOKUP(Table6[[#This Row],[Error Code]],'Basic Data'!$AA:$AA,'Basic Data'!$AB:$AB),"Incorrect Error Code")</f>
        <v>Battery drive trigger by HC</v>
      </c>
      <c r="M664" s="35" t="s">
        <v>278</v>
      </c>
      <c r="N664" s="264"/>
      <c r="O664" s="265">
        <v>0.46597222222222223</v>
      </c>
      <c r="P664" s="265">
        <v>0.46597222222222223</v>
      </c>
      <c r="Q664" s="266">
        <v>0.46944444444444444</v>
      </c>
      <c r="R664" s="261">
        <f>IF(Table6[[#This Row],[Work Start TimeStamp]]="","",(Table6[[#This Row],[Work Start TimeStamp]]-Table6[[#This Row],[Fault Start TimeStamp]])*24)</f>
        <v>0</v>
      </c>
      <c r="S664" s="261">
        <f>(Table6[[#This Row],[Fault Clearance time]]-Table6[[#This Row],[Work Start TimeStamp]])*24</f>
        <v>8.3333333333333037E-2</v>
      </c>
      <c r="T664" s="261">
        <f>(Table6[[#This Row],[Fault Clearance time]]-Table6[[#This Row],[Fault Start TimeStamp]])*24</f>
        <v>8.3333333333333037E-2</v>
      </c>
      <c r="U664" s="35" t="s">
        <v>277</v>
      </c>
      <c r="V664" s="102" t="s">
        <v>268</v>
      </c>
      <c r="W664" s="267">
        <f>IFERROR(Table6[[#This Row],[Breakdown Time]]*Table6[[#This Row],[Plant Equivalent Weightage]],"")</f>
        <v>3.2051282051281929E-3</v>
      </c>
      <c r="X664" s="262" t="s">
        <v>269</v>
      </c>
      <c r="Y664" s="263" t="s">
        <v>126</v>
      </c>
      <c r="Z664" s="102">
        <v>10322</v>
      </c>
      <c r="AA664" s="257">
        <f>(Table6[[#This Row],[Paired WTG Generation for loss calculation]]/24)*Table6[[#This Row],[Breakdown Time]]</f>
        <v>35.840277777777651</v>
      </c>
      <c r="AB664" s="102"/>
      <c r="AC664" s="35"/>
      <c r="AD664" s="35"/>
    </row>
    <row r="665" spans="1:30">
      <c r="A665" s="102">
        <f t="shared" si="11"/>
        <v>664</v>
      </c>
      <c r="B665" s="257">
        <f>YEAR(Table6[[#This Row],[Date]])+IF(MONTH(Table6[[#This Row],[Date]])&gt;=4,1,0)</f>
        <v>2026</v>
      </c>
      <c r="C665" s="102">
        <f>YEAR(Table6[[#This Row],[Date]])</f>
        <v>2025</v>
      </c>
      <c r="D665" s="102" t="s">
        <v>265</v>
      </c>
      <c r="E665" s="258">
        <f>Table6[[#This Row],[Date]]-DAY(Table6[[#This Row],[Date]])+1</f>
        <v>45778</v>
      </c>
      <c r="F665" s="259">
        <v>45786</v>
      </c>
      <c r="G665" s="35" t="s">
        <v>125</v>
      </c>
      <c r="H665" s="35" t="str">
        <f>IFERROR(_xlfn.XLOOKUP(Table6[[#This Row],[Affected WTG]],'Basic Data'!$A:$A,'Basic Data'!$B:$B),"")</f>
        <v>TQGXIIPL</v>
      </c>
      <c r="I665" s="35" t="str">
        <f>IFERROR(_xlfn.XLOOKUP(Table6[[#This Row],[Affected WTG]],'Basic Data'!$A:$A,'Basic Data'!$C:$C),"")</f>
        <v>GEDA</v>
      </c>
      <c r="J665" s="260">
        <f>IFERROR(_xlfn.XLOOKUP(Table6[[#This Row],[Affected WTG]],'Basic Data'!$A:$A,'Basic Data'!$E:$E),"")</f>
        <v>3.846153846153845E-2</v>
      </c>
      <c r="K665" s="102">
        <v>55</v>
      </c>
      <c r="L665" s="35" t="str">
        <f>IFERROR(_xlfn.XLOOKUP(Table6[[#This Row],[Error Code]],'Basic Data'!$AA:$AA,'Basic Data'!$AB:$AB),"Incorrect Error Code")</f>
        <v>WTG shut down</v>
      </c>
      <c r="M665" s="35" t="s">
        <v>266</v>
      </c>
      <c r="N665" s="264"/>
      <c r="O665" s="265">
        <v>0.65972222222222221</v>
      </c>
      <c r="P665" s="265">
        <v>0.65972222222222221</v>
      </c>
      <c r="Q665" s="266">
        <v>0.66180555555555554</v>
      </c>
      <c r="R665" s="261">
        <f>IF(Table6[[#This Row],[Work Start TimeStamp]]="","",(Table6[[#This Row],[Work Start TimeStamp]]-Table6[[#This Row],[Fault Start TimeStamp]])*24)</f>
        <v>0</v>
      </c>
      <c r="S665" s="261">
        <f>(Table6[[#This Row],[Fault Clearance time]]-Table6[[#This Row],[Work Start TimeStamp]])*24</f>
        <v>4.9999999999999822E-2</v>
      </c>
      <c r="T665" s="261">
        <f>(Table6[[#This Row],[Fault Clearance time]]-Table6[[#This Row],[Fault Start TimeStamp]])*24</f>
        <v>4.9999999999999822E-2</v>
      </c>
      <c r="U665" s="35" t="s">
        <v>320</v>
      </c>
      <c r="V665" s="102" t="s">
        <v>268</v>
      </c>
      <c r="W665" s="267">
        <f>IFERROR(Table6[[#This Row],[Breakdown Time]]*Table6[[#This Row],[Plant Equivalent Weightage]],"")</f>
        <v>1.9230769230769156E-3</v>
      </c>
      <c r="X665" s="262" t="s">
        <v>296</v>
      </c>
      <c r="Y665" s="263" t="s">
        <v>126</v>
      </c>
      <c r="Z665" s="102">
        <v>10322</v>
      </c>
      <c r="AA665" s="257">
        <f>(Table6[[#This Row],[Paired WTG Generation for loss calculation]]/24)*Table6[[#This Row],[Breakdown Time]]</f>
        <v>21.504166666666588</v>
      </c>
      <c r="AB665" s="102"/>
      <c r="AC665" s="35"/>
      <c r="AD665" s="35"/>
    </row>
    <row r="666" spans="1:30">
      <c r="A666" s="102">
        <f t="shared" si="11"/>
        <v>665</v>
      </c>
      <c r="B666" s="257">
        <f>YEAR(Table6[[#This Row],[Date]])+IF(MONTH(Table6[[#This Row],[Date]])&gt;=4,1,0)</f>
        <v>2026</v>
      </c>
      <c r="C666" s="102">
        <f>YEAR(Table6[[#This Row],[Date]])</f>
        <v>2025</v>
      </c>
      <c r="D666" s="102" t="s">
        <v>265</v>
      </c>
      <c r="E666" s="258">
        <f>Table6[[#This Row],[Date]]-DAY(Table6[[#This Row],[Date]])+1</f>
        <v>45778</v>
      </c>
      <c r="F666" s="259">
        <v>45786</v>
      </c>
      <c r="G666" s="35" t="s">
        <v>126</v>
      </c>
      <c r="H666" s="35" t="str">
        <f>IFERROR(_xlfn.XLOOKUP(Table6[[#This Row],[Affected WTG]],'Basic Data'!$A:$A,'Basic Data'!$B:$B),"")</f>
        <v>TQGXIIPL</v>
      </c>
      <c r="I666" s="35" t="str">
        <f>IFERROR(_xlfn.XLOOKUP(Table6[[#This Row],[Affected WTG]],'Basic Data'!$A:$A,'Basic Data'!$C:$C),"")</f>
        <v>GEDA</v>
      </c>
      <c r="J666" s="260">
        <f>IFERROR(_xlfn.XLOOKUP(Table6[[#This Row],[Affected WTG]],'Basic Data'!$A:$A,'Basic Data'!$E:$E),"")</f>
        <v>3.846153846153845E-2</v>
      </c>
      <c r="K666" s="102">
        <v>55</v>
      </c>
      <c r="L666" s="35" t="str">
        <f>IFERROR(_xlfn.XLOOKUP(Table6[[#This Row],[Error Code]],'Basic Data'!$AA:$AA,'Basic Data'!$AB:$AB),"Incorrect Error Code")</f>
        <v>WTG shut down</v>
      </c>
      <c r="M666" s="35" t="s">
        <v>266</v>
      </c>
      <c r="N666" s="264"/>
      <c r="O666" s="265">
        <v>0.66249999999999998</v>
      </c>
      <c r="P666" s="265">
        <v>0.66249999999999998</v>
      </c>
      <c r="Q666" s="266">
        <v>0.6645833333333333</v>
      </c>
      <c r="R666" s="261">
        <f>IF(Table6[[#This Row],[Work Start TimeStamp]]="","",(Table6[[#This Row],[Work Start TimeStamp]]-Table6[[#This Row],[Fault Start TimeStamp]])*24)</f>
        <v>0</v>
      </c>
      <c r="S666" s="261">
        <f>(Table6[[#This Row],[Fault Clearance time]]-Table6[[#This Row],[Work Start TimeStamp]])*24</f>
        <v>4.9999999999999822E-2</v>
      </c>
      <c r="T666" s="261">
        <f>(Table6[[#This Row],[Fault Clearance time]]-Table6[[#This Row],[Fault Start TimeStamp]])*24</f>
        <v>4.9999999999999822E-2</v>
      </c>
      <c r="U666" s="35" t="s">
        <v>320</v>
      </c>
      <c r="V666" s="102" t="s">
        <v>268</v>
      </c>
      <c r="W666" s="267">
        <f>IFERROR(Table6[[#This Row],[Breakdown Time]]*Table6[[#This Row],[Plant Equivalent Weightage]],"")</f>
        <v>1.9230769230769156E-3</v>
      </c>
      <c r="X666" s="262" t="s">
        <v>296</v>
      </c>
      <c r="Y666" s="263" t="s">
        <v>128</v>
      </c>
      <c r="Z666" s="102">
        <v>10289</v>
      </c>
      <c r="AA666" s="257">
        <f>(Table6[[#This Row],[Paired WTG Generation for loss calculation]]/24)*Table6[[#This Row],[Breakdown Time]]</f>
        <v>21.43541666666659</v>
      </c>
      <c r="AB666" s="102"/>
      <c r="AC666" s="35"/>
      <c r="AD666" s="35"/>
    </row>
    <row r="667" spans="1:30">
      <c r="A667" s="102">
        <f t="shared" si="11"/>
        <v>666</v>
      </c>
      <c r="B667" s="257">
        <f>YEAR(Table6[[#This Row],[Date]])+IF(MONTH(Table6[[#This Row],[Date]])&gt;=4,1,0)</f>
        <v>2026</v>
      </c>
      <c r="C667" s="102">
        <f>YEAR(Table6[[#This Row],[Date]])</f>
        <v>2025</v>
      </c>
      <c r="D667" s="102" t="s">
        <v>265</v>
      </c>
      <c r="E667" s="258">
        <f>Table6[[#This Row],[Date]]-DAY(Table6[[#This Row],[Date]])+1</f>
        <v>45778</v>
      </c>
      <c r="F667" s="259">
        <v>45786</v>
      </c>
      <c r="G667" s="35" t="s">
        <v>127</v>
      </c>
      <c r="H667" s="35" t="str">
        <f>IFERROR(_xlfn.XLOOKUP(Table6[[#This Row],[Affected WTG]],'Basic Data'!$A:$A,'Basic Data'!$B:$B),"")</f>
        <v>TQGXIIPL</v>
      </c>
      <c r="I667" s="35" t="str">
        <f>IFERROR(_xlfn.XLOOKUP(Table6[[#This Row],[Affected WTG]],'Basic Data'!$A:$A,'Basic Data'!$C:$C),"")</f>
        <v>GEDA</v>
      </c>
      <c r="J667" s="260">
        <f>IFERROR(_xlfn.XLOOKUP(Table6[[#This Row],[Affected WTG]],'Basic Data'!$A:$A,'Basic Data'!$E:$E),"")</f>
        <v>3.846153846153845E-2</v>
      </c>
      <c r="K667" s="102">
        <v>55</v>
      </c>
      <c r="L667" s="35" t="str">
        <f>IFERROR(_xlfn.XLOOKUP(Table6[[#This Row],[Error Code]],'Basic Data'!$AA:$AA,'Basic Data'!$AB:$AB),"Incorrect Error Code")</f>
        <v>WTG shut down</v>
      </c>
      <c r="M667" s="35" t="s">
        <v>266</v>
      </c>
      <c r="N667" s="264"/>
      <c r="O667" s="265">
        <v>0.66527777777777775</v>
      </c>
      <c r="P667" s="265">
        <v>0.66527777777777775</v>
      </c>
      <c r="Q667" s="266">
        <v>0.66736111111111107</v>
      </c>
      <c r="R667" s="261">
        <f>IF(Table6[[#This Row],[Work Start TimeStamp]]="","",(Table6[[#This Row],[Work Start TimeStamp]]-Table6[[#This Row],[Fault Start TimeStamp]])*24)</f>
        <v>0</v>
      </c>
      <c r="S667" s="261">
        <f>(Table6[[#This Row],[Fault Clearance time]]-Table6[[#This Row],[Work Start TimeStamp]])*24</f>
        <v>4.9999999999999822E-2</v>
      </c>
      <c r="T667" s="261">
        <f>(Table6[[#This Row],[Fault Clearance time]]-Table6[[#This Row],[Fault Start TimeStamp]])*24</f>
        <v>4.9999999999999822E-2</v>
      </c>
      <c r="U667" s="35" t="s">
        <v>320</v>
      </c>
      <c r="V667" s="102" t="s">
        <v>268</v>
      </c>
      <c r="W667" s="267">
        <f>IFERROR(Table6[[#This Row],[Breakdown Time]]*Table6[[#This Row],[Plant Equivalent Weightage]],"")</f>
        <v>1.9230769230769156E-3</v>
      </c>
      <c r="X667" s="262" t="s">
        <v>296</v>
      </c>
      <c r="Y667" s="263" t="s">
        <v>125</v>
      </c>
      <c r="Z667" s="102">
        <v>9372</v>
      </c>
      <c r="AA667" s="257">
        <f>(Table6[[#This Row],[Paired WTG Generation for loss calculation]]/24)*Table6[[#This Row],[Breakdown Time]]</f>
        <v>19.524999999999931</v>
      </c>
      <c r="AB667" s="102"/>
      <c r="AC667" s="35"/>
      <c r="AD667" s="35"/>
    </row>
    <row r="668" spans="1:30">
      <c r="A668" s="102">
        <f t="shared" si="11"/>
        <v>667</v>
      </c>
      <c r="B668" s="257">
        <f>YEAR(Table6[[#This Row],[Date]])+IF(MONTH(Table6[[#This Row],[Date]])&gt;=4,1,0)</f>
        <v>2026</v>
      </c>
      <c r="C668" s="102">
        <f>YEAR(Table6[[#This Row],[Date]])</f>
        <v>2025</v>
      </c>
      <c r="D668" s="102" t="s">
        <v>265</v>
      </c>
      <c r="E668" s="258">
        <f>Table6[[#This Row],[Date]]-DAY(Table6[[#This Row],[Date]])+1</f>
        <v>45778</v>
      </c>
      <c r="F668" s="259">
        <v>45786</v>
      </c>
      <c r="G668" s="35" t="s">
        <v>128</v>
      </c>
      <c r="H668" s="35" t="str">
        <f>IFERROR(_xlfn.XLOOKUP(Table6[[#This Row],[Affected WTG]],'Basic Data'!$A:$A,'Basic Data'!$B:$B),"")</f>
        <v>TQGXIIPL</v>
      </c>
      <c r="I668" s="35" t="str">
        <f>IFERROR(_xlfn.XLOOKUP(Table6[[#This Row],[Affected WTG]],'Basic Data'!$A:$A,'Basic Data'!$C:$C),"")</f>
        <v>GEDA</v>
      </c>
      <c r="J668" s="260">
        <f>IFERROR(_xlfn.XLOOKUP(Table6[[#This Row],[Affected WTG]],'Basic Data'!$A:$A,'Basic Data'!$E:$E),"")</f>
        <v>3.846153846153845E-2</v>
      </c>
      <c r="K668" s="102">
        <v>55</v>
      </c>
      <c r="L668" s="35" t="str">
        <f>IFERROR(_xlfn.XLOOKUP(Table6[[#This Row],[Error Code]],'Basic Data'!$AA:$AA,'Basic Data'!$AB:$AB),"Incorrect Error Code")</f>
        <v>WTG shut down</v>
      </c>
      <c r="M668" s="35" t="s">
        <v>266</v>
      </c>
      <c r="N668" s="264"/>
      <c r="O668" s="265">
        <v>0.66805555555555551</v>
      </c>
      <c r="P668" s="265">
        <v>0.66805555555555551</v>
      </c>
      <c r="Q668" s="266">
        <v>0.67083333333333328</v>
      </c>
      <c r="R668" s="261">
        <f>IF(Table6[[#This Row],[Work Start TimeStamp]]="","",(Table6[[#This Row],[Work Start TimeStamp]]-Table6[[#This Row],[Fault Start TimeStamp]])*24)</f>
        <v>0</v>
      </c>
      <c r="S668" s="261">
        <f>(Table6[[#This Row],[Fault Clearance time]]-Table6[[#This Row],[Work Start TimeStamp]])*24</f>
        <v>6.666666666666643E-2</v>
      </c>
      <c r="T668" s="261">
        <f>(Table6[[#This Row],[Fault Clearance time]]-Table6[[#This Row],[Fault Start TimeStamp]])*24</f>
        <v>6.666666666666643E-2</v>
      </c>
      <c r="U668" s="35" t="s">
        <v>320</v>
      </c>
      <c r="V668" s="102" t="s">
        <v>268</v>
      </c>
      <c r="W668" s="267">
        <f>IFERROR(Table6[[#This Row],[Breakdown Time]]*Table6[[#This Row],[Plant Equivalent Weightage]],"")</f>
        <v>2.5641025641025541E-3</v>
      </c>
      <c r="X668" s="262" t="s">
        <v>296</v>
      </c>
      <c r="Y668" s="263" t="s">
        <v>126</v>
      </c>
      <c r="Z668" s="102">
        <v>10322</v>
      </c>
      <c r="AA668" s="257">
        <f>(Table6[[#This Row],[Paired WTG Generation for loss calculation]]/24)*Table6[[#This Row],[Breakdown Time]]</f>
        <v>28.672222222222118</v>
      </c>
      <c r="AB668" s="102"/>
      <c r="AC668" s="35"/>
      <c r="AD668" s="35"/>
    </row>
    <row r="669" spans="1:30">
      <c r="A669" s="102">
        <f t="shared" si="11"/>
        <v>668</v>
      </c>
      <c r="B669" s="257">
        <f>YEAR(Table6[[#This Row],[Date]])+IF(MONTH(Table6[[#This Row],[Date]])&gt;=4,1,0)</f>
        <v>2026</v>
      </c>
      <c r="C669" s="102">
        <f>YEAR(Table6[[#This Row],[Date]])</f>
        <v>2025</v>
      </c>
      <c r="D669" s="102" t="s">
        <v>265</v>
      </c>
      <c r="E669" s="258">
        <f>Table6[[#This Row],[Date]]-DAY(Table6[[#This Row],[Date]])+1</f>
        <v>45778</v>
      </c>
      <c r="F669" s="259">
        <v>45786</v>
      </c>
      <c r="G669" s="35" t="s">
        <v>129</v>
      </c>
      <c r="H669" s="35" t="str">
        <f>IFERROR(_xlfn.XLOOKUP(Table6[[#This Row],[Affected WTG]],'Basic Data'!$A:$A,'Basic Data'!$B:$B),"")</f>
        <v>TQGXIIPL</v>
      </c>
      <c r="I669" s="35" t="str">
        <f>IFERROR(_xlfn.XLOOKUP(Table6[[#This Row],[Affected WTG]],'Basic Data'!$A:$A,'Basic Data'!$C:$C),"")</f>
        <v>GEDA</v>
      </c>
      <c r="J669" s="260">
        <f>IFERROR(_xlfn.XLOOKUP(Table6[[#This Row],[Affected WTG]],'Basic Data'!$A:$A,'Basic Data'!$E:$E),"")</f>
        <v>3.846153846153845E-2</v>
      </c>
      <c r="K669" s="102">
        <v>55</v>
      </c>
      <c r="L669" s="35" t="str">
        <f>IFERROR(_xlfn.XLOOKUP(Table6[[#This Row],[Error Code]],'Basic Data'!$AA:$AA,'Basic Data'!$AB:$AB),"Incorrect Error Code")</f>
        <v>WTG shut down</v>
      </c>
      <c r="M669" s="35" t="s">
        <v>266</v>
      </c>
      <c r="N669" s="264"/>
      <c r="O669" s="265">
        <v>0.67152777777777772</v>
      </c>
      <c r="P669" s="265">
        <v>0.67152777777777772</v>
      </c>
      <c r="Q669" s="266">
        <v>0.6743055555555556</v>
      </c>
      <c r="R669" s="261">
        <f>IF(Table6[[#This Row],[Work Start TimeStamp]]="","",(Table6[[#This Row],[Work Start TimeStamp]]-Table6[[#This Row],[Fault Start TimeStamp]])*24)</f>
        <v>0</v>
      </c>
      <c r="S669" s="261">
        <f>(Table6[[#This Row],[Fault Clearance time]]-Table6[[#This Row],[Work Start TimeStamp]])*24</f>
        <v>6.6666666666669094E-2</v>
      </c>
      <c r="T669" s="261">
        <f>(Table6[[#This Row],[Fault Clearance time]]-Table6[[#This Row],[Fault Start TimeStamp]])*24</f>
        <v>6.6666666666669094E-2</v>
      </c>
      <c r="U669" s="35" t="s">
        <v>320</v>
      </c>
      <c r="V669" s="102" t="s">
        <v>268</v>
      </c>
      <c r="W669" s="267">
        <f>IFERROR(Table6[[#This Row],[Breakdown Time]]*Table6[[#This Row],[Plant Equivalent Weightage]],"")</f>
        <v>2.5641025641026569E-3</v>
      </c>
      <c r="X669" s="262" t="s">
        <v>296</v>
      </c>
      <c r="Y669" s="263" t="s">
        <v>124</v>
      </c>
      <c r="Z669" s="102">
        <v>9374</v>
      </c>
      <c r="AA669" s="257">
        <f>(Table6[[#This Row],[Paired WTG Generation for loss calculation]]/24)*Table6[[#This Row],[Breakdown Time]]</f>
        <v>26.038888888889836</v>
      </c>
      <c r="AB669" s="102"/>
      <c r="AC669" s="35"/>
      <c r="AD669" s="35"/>
    </row>
    <row r="670" spans="1:30">
      <c r="A670" s="102">
        <f t="shared" si="11"/>
        <v>669</v>
      </c>
      <c r="B670" s="257">
        <f>YEAR(Table6[[#This Row],[Date]])+IF(MONTH(Table6[[#This Row],[Date]])&gt;=4,1,0)</f>
        <v>2026</v>
      </c>
      <c r="C670" s="102">
        <f>YEAR(Table6[[#This Row],[Date]])</f>
        <v>2025</v>
      </c>
      <c r="D670" s="102" t="s">
        <v>265</v>
      </c>
      <c r="E670" s="258">
        <f>Table6[[#This Row],[Date]]-DAY(Table6[[#This Row],[Date]])+1</f>
        <v>45778</v>
      </c>
      <c r="F670" s="259">
        <v>45786</v>
      </c>
      <c r="G670" s="35" t="s">
        <v>130</v>
      </c>
      <c r="H670" s="35" t="str">
        <f>IFERROR(_xlfn.XLOOKUP(Table6[[#This Row],[Affected WTG]],'Basic Data'!$A:$A,'Basic Data'!$B:$B),"")</f>
        <v>TQGXIIPL</v>
      </c>
      <c r="I670" s="35" t="str">
        <f>IFERROR(_xlfn.XLOOKUP(Table6[[#This Row],[Affected WTG]],'Basic Data'!$A:$A,'Basic Data'!$C:$C),"")</f>
        <v>GEDA</v>
      </c>
      <c r="J670" s="260">
        <f>IFERROR(_xlfn.XLOOKUP(Table6[[#This Row],[Affected WTG]],'Basic Data'!$A:$A,'Basic Data'!$E:$E),"")</f>
        <v>3.846153846153845E-2</v>
      </c>
      <c r="K670" s="102">
        <v>55</v>
      </c>
      <c r="L670" s="35" t="str">
        <f>IFERROR(_xlfn.XLOOKUP(Table6[[#This Row],[Error Code]],'Basic Data'!$AA:$AA,'Basic Data'!$AB:$AB),"Incorrect Error Code")</f>
        <v>WTG shut down</v>
      </c>
      <c r="M670" s="35" t="s">
        <v>266</v>
      </c>
      <c r="N670" s="264"/>
      <c r="O670" s="265">
        <v>0.67500000000000004</v>
      </c>
      <c r="P670" s="265">
        <v>0.67500000000000004</v>
      </c>
      <c r="Q670" s="266">
        <v>0.67708333333333337</v>
      </c>
      <c r="R670" s="261">
        <f>IF(Table6[[#This Row],[Work Start TimeStamp]]="","",(Table6[[#This Row],[Work Start TimeStamp]]-Table6[[#This Row],[Fault Start TimeStamp]])*24)</f>
        <v>0</v>
      </c>
      <c r="S670" s="261">
        <f>(Table6[[#This Row],[Fault Clearance time]]-Table6[[#This Row],[Work Start TimeStamp]])*24</f>
        <v>4.9999999999999822E-2</v>
      </c>
      <c r="T670" s="261">
        <f>(Table6[[#This Row],[Fault Clearance time]]-Table6[[#This Row],[Fault Start TimeStamp]])*24</f>
        <v>4.9999999999999822E-2</v>
      </c>
      <c r="U670" s="35" t="s">
        <v>320</v>
      </c>
      <c r="V670" s="102" t="s">
        <v>268</v>
      </c>
      <c r="W670" s="267">
        <f>IFERROR(Table6[[#This Row],[Breakdown Time]]*Table6[[#This Row],[Plant Equivalent Weightage]],"")</f>
        <v>1.9230769230769156E-3</v>
      </c>
      <c r="X670" s="262" t="s">
        <v>296</v>
      </c>
      <c r="Y670" s="263" t="s">
        <v>135</v>
      </c>
      <c r="Z670" s="102">
        <v>5387</v>
      </c>
      <c r="AA670" s="257">
        <f>(Table6[[#This Row],[Paired WTG Generation for loss calculation]]/24)*Table6[[#This Row],[Breakdown Time]]</f>
        <v>11.222916666666627</v>
      </c>
      <c r="AB670" s="102"/>
      <c r="AC670" s="35"/>
      <c r="AD670" s="35"/>
    </row>
    <row r="671" spans="1:30">
      <c r="A671" s="102">
        <f t="shared" si="11"/>
        <v>670</v>
      </c>
      <c r="B671" s="257">
        <f>YEAR(Table6[[#This Row],[Date]])+IF(MONTH(Table6[[#This Row],[Date]])&gt;=4,1,0)</f>
        <v>2026</v>
      </c>
      <c r="C671" s="102">
        <f>YEAR(Table6[[#This Row],[Date]])</f>
        <v>2025</v>
      </c>
      <c r="D671" s="102" t="s">
        <v>265</v>
      </c>
      <c r="E671" s="258">
        <f>Table6[[#This Row],[Date]]-DAY(Table6[[#This Row],[Date]])+1</f>
        <v>45778</v>
      </c>
      <c r="F671" s="259">
        <v>45786</v>
      </c>
      <c r="G671" s="35" t="s">
        <v>133</v>
      </c>
      <c r="H671" s="35" t="str">
        <f>IFERROR(_xlfn.XLOOKUP(Table6[[#This Row],[Affected WTG]],'Basic Data'!$A:$A,'Basic Data'!$B:$B),"")</f>
        <v>TQGXIIPL</v>
      </c>
      <c r="I671" s="35" t="str">
        <f>IFERROR(_xlfn.XLOOKUP(Table6[[#This Row],[Affected WTG]],'Basic Data'!$A:$A,'Basic Data'!$C:$C),"")</f>
        <v>GEDA</v>
      </c>
      <c r="J671" s="260">
        <f>IFERROR(_xlfn.XLOOKUP(Table6[[#This Row],[Affected WTG]],'Basic Data'!$A:$A,'Basic Data'!$E:$E),"")</f>
        <v>3.846153846153845E-2</v>
      </c>
      <c r="K671" s="102">
        <v>55</v>
      </c>
      <c r="L671" s="35" t="str">
        <f>IFERROR(_xlfn.XLOOKUP(Table6[[#This Row],[Error Code]],'Basic Data'!$AA:$AA,'Basic Data'!$AB:$AB),"Incorrect Error Code")</f>
        <v>WTG shut down</v>
      </c>
      <c r="M671" s="35" t="s">
        <v>266</v>
      </c>
      <c r="N671" s="264"/>
      <c r="O671" s="265">
        <v>0.67708333333333337</v>
      </c>
      <c r="P671" s="265">
        <v>0.67708333333333337</v>
      </c>
      <c r="Q671" s="266">
        <v>0.68055555555555558</v>
      </c>
      <c r="R671" s="261">
        <f>IF(Table6[[#This Row],[Work Start TimeStamp]]="","",(Table6[[#This Row],[Work Start TimeStamp]]-Table6[[#This Row],[Fault Start TimeStamp]])*24)</f>
        <v>0</v>
      </c>
      <c r="S671" s="261">
        <f>(Table6[[#This Row],[Fault Clearance time]]-Table6[[#This Row],[Work Start TimeStamp]])*24</f>
        <v>8.3333333333333037E-2</v>
      </c>
      <c r="T671" s="261">
        <f>(Table6[[#This Row],[Fault Clearance time]]-Table6[[#This Row],[Fault Start TimeStamp]])*24</f>
        <v>8.3333333333333037E-2</v>
      </c>
      <c r="U671" s="35" t="s">
        <v>320</v>
      </c>
      <c r="V671" s="102" t="s">
        <v>268</v>
      </c>
      <c r="W671" s="267">
        <f>IFERROR(Table6[[#This Row],[Breakdown Time]]*Table6[[#This Row],[Plant Equivalent Weightage]],"")</f>
        <v>3.2051282051281929E-3</v>
      </c>
      <c r="X671" s="262" t="s">
        <v>296</v>
      </c>
      <c r="Y671" s="263" t="s">
        <v>121</v>
      </c>
      <c r="Z671" s="102">
        <v>4777</v>
      </c>
      <c r="AA671" s="257">
        <f>(Table6[[#This Row],[Paired WTG Generation for loss calculation]]/24)*Table6[[#This Row],[Breakdown Time]]</f>
        <v>16.586805555555497</v>
      </c>
      <c r="AB671" s="102"/>
      <c r="AC671" s="35"/>
      <c r="AD671" s="35"/>
    </row>
    <row r="672" spans="1:30">
      <c r="A672" s="102">
        <f t="shared" si="11"/>
        <v>671</v>
      </c>
      <c r="B672" s="257">
        <f>YEAR(Table6[[#This Row],[Date]])+IF(MONTH(Table6[[#This Row],[Date]])&gt;=4,1,0)</f>
        <v>2026</v>
      </c>
      <c r="C672" s="102">
        <f>YEAR(Table6[[#This Row],[Date]])</f>
        <v>2025</v>
      </c>
      <c r="D672" s="102" t="s">
        <v>265</v>
      </c>
      <c r="E672" s="258">
        <f>Table6[[#This Row],[Date]]-DAY(Table6[[#This Row],[Date]])+1</f>
        <v>45778</v>
      </c>
      <c r="F672" s="259">
        <v>45786</v>
      </c>
      <c r="G672" s="35" t="s">
        <v>134</v>
      </c>
      <c r="H672" s="35" t="str">
        <f>IFERROR(_xlfn.XLOOKUP(Table6[[#This Row],[Affected WTG]],'Basic Data'!$A:$A,'Basic Data'!$B:$B),"")</f>
        <v>TQGXIIPL</v>
      </c>
      <c r="I672" s="35" t="str">
        <f>IFERROR(_xlfn.XLOOKUP(Table6[[#This Row],[Affected WTG]],'Basic Data'!$A:$A,'Basic Data'!$C:$C),"")</f>
        <v>GEDA</v>
      </c>
      <c r="J672" s="260">
        <f>IFERROR(_xlfn.XLOOKUP(Table6[[#This Row],[Affected WTG]],'Basic Data'!$A:$A,'Basic Data'!$E:$E),"")</f>
        <v>3.846153846153845E-2</v>
      </c>
      <c r="K672" s="102">
        <v>55</v>
      </c>
      <c r="L672" s="35" t="str">
        <f>IFERROR(_xlfn.XLOOKUP(Table6[[#This Row],[Error Code]],'Basic Data'!$AA:$AA,'Basic Data'!$AB:$AB),"Incorrect Error Code")</f>
        <v>WTG shut down</v>
      </c>
      <c r="M672" s="35" t="s">
        <v>266</v>
      </c>
      <c r="N672" s="264"/>
      <c r="O672" s="265">
        <v>0.67777777777777781</v>
      </c>
      <c r="P672" s="265">
        <v>0.67777777777777781</v>
      </c>
      <c r="Q672" s="266">
        <v>0.68680555555555556</v>
      </c>
      <c r="R672" s="261">
        <f>IF(Table6[[#This Row],[Work Start TimeStamp]]="","",(Table6[[#This Row],[Work Start TimeStamp]]-Table6[[#This Row],[Fault Start TimeStamp]])*24)</f>
        <v>0</v>
      </c>
      <c r="S672" s="261">
        <f>(Table6[[#This Row],[Fault Clearance time]]-Table6[[#This Row],[Work Start TimeStamp]])*24</f>
        <v>0.2166666666666659</v>
      </c>
      <c r="T672" s="261">
        <f>(Table6[[#This Row],[Fault Clearance time]]-Table6[[#This Row],[Fault Start TimeStamp]])*24</f>
        <v>0.2166666666666659</v>
      </c>
      <c r="U672" s="35" t="s">
        <v>320</v>
      </c>
      <c r="V672" s="102" t="s">
        <v>268</v>
      </c>
      <c r="W672" s="267">
        <f>IFERROR(Table6[[#This Row],[Breakdown Time]]*Table6[[#This Row],[Plant Equivalent Weightage]],"")</f>
        <v>8.333333333333302E-3</v>
      </c>
      <c r="X672" s="262" t="s">
        <v>296</v>
      </c>
      <c r="Y672" s="263" t="s">
        <v>138</v>
      </c>
      <c r="Z672" s="102">
        <v>7052</v>
      </c>
      <c r="AA672" s="257">
        <f>(Table6[[#This Row],[Paired WTG Generation for loss calculation]]/24)*Table6[[#This Row],[Breakdown Time]]</f>
        <v>63.663888888888657</v>
      </c>
      <c r="AB672" s="102"/>
      <c r="AC672" s="35"/>
      <c r="AD672" s="35"/>
    </row>
    <row r="673" spans="1:30">
      <c r="A673" s="102">
        <f t="shared" si="11"/>
        <v>672</v>
      </c>
      <c r="B673" s="257">
        <f>YEAR(Table6[[#This Row],[Date]])+IF(MONTH(Table6[[#This Row],[Date]])&gt;=4,1,0)</f>
        <v>2026</v>
      </c>
      <c r="C673" s="102">
        <f>YEAR(Table6[[#This Row],[Date]])</f>
        <v>2025</v>
      </c>
      <c r="D673" s="102" t="s">
        <v>265</v>
      </c>
      <c r="E673" s="258">
        <f>Table6[[#This Row],[Date]]-DAY(Table6[[#This Row],[Date]])+1</f>
        <v>45778</v>
      </c>
      <c r="F673" s="259">
        <v>45786</v>
      </c>
      <c r="G673" s="35" t="s">
        <v>135</v>
      </c>
      <c r="H673" s="35" t="str">
        <f>IFERROR(_xlfn.XLOOKUP(Table6[[#This Row],[Affected WTG]],'Basic Data'!$A:$A,'Basic Data'!$B:$B),"")</f>
        <v>TQGXIIPL</v>
      </c>
      <c r="I673" s="35" t="str">
        <f>IFERROR(_xlfn.XLOOKUP(Table6[[#This Row],[Affected WTG]],'Basic Data'!$A:$A,'Basic Data'!$C:$C),"")</f>
        <v>GEDA</v>
      </c>
      <c r="J673" s="260">
        <f>IFERROR(_xlfn.XLOOKUP(Table6[[#This Row],[Affected WTG]],'Basic Data'!$A:$A,'Basic Data'!$E:$E),"")</f>
        <v>3.846153846153845E-2</v>
      </c>
      <c r="K673" s="102">
        <v>55</v>
      </c>
      <c r="L673" s="35" t="str">
        <f>IFERROR(_xlfn.XLOOKUP(Table6[[#This Row],[Error Code]],'Basic Data'!$AA:$AA,'Basic Data'!$AB:$AB),"Incorrect Error Code")</f>
        <v>WTG shut down</v>
      </c>
      <c r="M673" s="35" t="s">
        <v>266</v>
      </c>
      <c r="N673" s="264"/>
      <c r="O673" s="265">
        <v>0.69722222222222219</v>
      </c>
      <c r="P673" s="265">
        <v>0.69722222222222219</v>
      </c>
      <c r="Q673" s="266">
        <v>0.69861111111111107</v>
      </c>
      <c r="R673" s="261">
        <f>IF(Table6[[#This Row],[Work Start TimeStamp]]="","",(Table6[[#This Row],[Work Start TimeStamp]]-Table6[[#This Row],[Fault Start TimeStamp]])*24)</f>
        <v>0</v>
      </c>
      <c r="S673" s="261">
        <f>(Table6[[#This Row],[Fault Clearance time]]-Table6[[#This Row],[Work Start TimeStamp]])*24</f>
        <v>3.3333333333333215E-2</v>
      </c>
      <c r="T673" s="261">
        <f>(Table6[[#This Row],[Fault Clearance time]]-Table6[[#This Row],[Fault Start TimeStamp]])*24</f>
        <v>3.3333333333333215E-2</v>
      </c>
      <c r="U673" s="35" t="s">
        <v>320</v>
      </c>
      <c r="V673" s="102" t="s">
        <v>268</v>
      </c>
      <c r="W673" s="267">
        <f>IFERROR(Table6[[#This Row],[Breakdown Time]]*Table6[[#This Row],[Plant Equivalent Weightage]],"")</f>
        <v>1.2820512820512771E-3</v>
      </c>
      <c r="X673" s="262" t="s">
        <v>296</v>
      </c>
      <c r="Y673" s="263" t="s">
        <v>120</v>
      </c>
      <c r="Z673" s="102">
        <v>6891</v>
      </c>
      <c r="AA673" s="257">
        <f>(Table6[[#This Row],[Paired WTG Generation for loss calculation]]/24)*Table6[[#This Row],[Breakdown Time]]</f>
        <v>9.5708333333332991</v>
      </c>
      <c r="AB673" s="102"/>
      <c r="AC673" s="35"/>
      <c r="AD673" s="35"/>
    </row>
    <row r="674" spans="1:30">
      <c r="A674" s="102">
        <f t="shared" si="11"/>
        <v>673</v>
      </c>
      <c r="B674" s="257">
        <f>YEAR(Table6[[#This Row],[Date]])+IF(MONTH(Table6[[#This Row],[Date]])&gt;=4,1,0)</f>
        <v>2026</v>
      </c>
      <c r="C674" s="102">
        <f>YEAR(Table6[[#This Row],[Date]])</f>
        <v>2025</v>
      </c>
      <c r="D674" s="102" t="s">
        <v>265</v>
      </c>
      <c r="E674" s="258">
        <f>Table6[[#This Row],[Date]]-DAY(Table6[[#This Row],[Date]])+1</f>
        <v>45778</v>
      </c>
      <c r="F674" s="259">
        <v>45786</v>
      </c>
      <c r="G674" s="35" t="s">
        <v>136</v>
      </c>
      <c r="H674" s="35" t="str">
        <f>IFERROR(_xlfn.XLOOKUP(Table6[[#This Row],[Affected WTG]],'Basic Data'!$A:$A,'Basic Data'!$B:$B),"")</f>
        <v>TQGXIIPL</v>
      </c>
      <c r="I674" s="35" t="str">
        <f>IFERROR(_xlfn.XLOOKUP(Table6[[#This Row],[Affected WTG]],'Basic Data'!$A:$A,'Basic Data'!$C:$C),"")</f>
        <v>GEDA</v>
      </c>
      <c r="J674" s="260">
        <f>IFERROR(_xlfn.XLOOKUP(Table6[[#This Row],[Affected WTG]],'Basic Data'!$A:$A,'Basic Data'!$E:$E),"")</f>
        <v>3.846153846153845E-2</v>
      </c>
      <c r="K674" s="102">
        <v>55</v>
      </c>
      <c r="L674" s="35" t="str">
        <f>IFERROR(_xlfn.XLOOKUP(Table6[[#This Row],[Error Code]],'Basic Data'!$AA:$AA,'Basic Data'!$AB:$AB),"Incorrect Error Code")</f>
        <v>WTG shut down</v>
      </c>
      <c r="M674" s="35" t="s">
        <v>266</v>
      </c>
      <c r="N674" s="264"/>
      <c r="O674" s="265">
        <v>0.70347222222222228</v>
      </c>
      <c r="P674" s="265">
        <v>0.70347222222222228</v>
      </c>
      <c r="Q674" s="266">
        <v>0.7055555555555556</v>
      </c>
      <c r="R674" s="261">
        <f>IF(Table6[[#This Row],[Work Start TimeStamp]]="","",(Table6[[#This Row],[Work Start TimeStamp]]-Table6[[#This Row],[Fault Start TimeStamp]])*24)</f>
        <v>0</v>
      </c>
      <c r="S674" s="261">
        <f>(Table6[[#This Row],[Fault Clearance time]]-Table6[[#This Row],[Work Start TimeStamp]])*24</f>
        <v>4.9999999999999822E-2</v>
      </c>
      <c r="T674" s="261">
        <f>(Table6[[#This Row],[Fault Clearance time]]-Table6[[#This Row],[Fault Start TimeStamp]])*24</f>
        <v>4.9999999999999822E-2</v>
      </c>
      <c r="U674" s="35" t="s">
        <v>320</v>
      </c>
      <c r="V674" s="102" t="s">
        <v>268</v>
      </c>
      <c r="W674" s="267">
        <f>IFERROR(Table6[[#This Row],[Breakdown Time]]*Table6[[#This Row],[Plant Equivalent Weightage]],"")</f>
        <v>1.9230769230769156E-3</v>
      </c>
      <c r="X674" s="262" t="s">
        <v>296</v>
      </c>
      <c r="Y674" s="263" t="s">
        <v>120</v>
      </c>
      <c r="Z674" s="102">
        <v>6891</v>
      </c>
      <c r="AA674" s="257">
        <f>(Table6[[#This Row],[Paired WTG Generation for loss calculation]]/24)*Table6[[#This Row],[Breakdown Time]]</f>
        <v>14.35624999999995</v>
      </c>
      <c r="AB674" s="102"/>
      <c r="AC674" s="35"/>
      <c r="AD674" s="35"/>
    </row>
    <row r="675" spans="1:30">
      <c r="A675" s="102">
        <f t="shared" si="11"/>
        <v>674</v>
      </c>
      <c r="B675" s="257">
        <f>YEAR(Table6[[#This Row],[Date]])+IF(MONTH(Table6[[#This Row],[Date]])&gt;=4,1,0)</f>
        <v>2026</v>
      </c>
      <c r="C675" s="102">
        <f>YEAR(Table6[[#This Row],[Date]])</f>
        <v>2025</v>
      </c>
      <c r="D675" s="102" t="s">
        <v>265</v>
      </c>
      <c r="E675" s="258">
        <f>Table6[[#This Row],[Date]]-DAY(Table6[[#This Row],[Date]])+1</f>
        <v>45778</v>
      </c>
      <c r="F675" s="259">
        <v>45786</v>
      </c>
      <c r="G675" s="35" t="s">
        <v>137</v>
      </c>
      <c r="H675" s="35" t="str">
        <f>IFERROR(_xlfn.XLOOKUP(Table6[[#This Row],[Affected WTG]],'Basic Data'!$A:$A,'Basic Data'!$B:$B),"")</f>
        <v>TQGXIIPL</v>
      </c>
      <c r="I675" s="35" t="str">
        <f>IFERROR(_xlfn.XLOOKUP(Table6[[#This Row],[Affected WTG]],'Basic Data'!$A:$A,'Basic Data'!$C:$C),"")</f>
        <v>GEDA</v>
      </c>
      <c r="J675" s="260">
        <f>IFERROR(_xlfn.XLOOKUP(Table6[[#This Row],[Affected WTG]],'Basic Data'!$A:$A,'Basic Data'!$E:$E),"")</f>
        <v>3.846153846153845E-2</v>
      </c>
      <c r="K675" s="102">
        <v>6056</v>
      </c>
      <c r="L675" s="35" t="str">
        <f>IFERROR(_xlfn.XLOOKUP(Table6[[#This Row],[Error Code]],'Basic Data'!$AA:$AA,'Basic Data'!$AB:$AB),"Incorrect Error Code")</f>
        <v>High yaw load</v>
      </c>
      <c r="M675" s="35" t="s">
        <v>278</v>
      </c>
      <c r="N675" s="264"/>
      <c r="O675" s="265">
        <v>0.55000000000000004</v>
      </c>
      <c r="P675" s="265">
        <v>0.55000000000000004</v>
      </c>
      <c r="Q675" s="266">
        <v>0.55208333333333337</v>
      </c>
      <c r="R675" s="261">
        <f>IF(Table6[[#This Row],[Work Start TimeStamp]]="","",(Table6[[#This Row],[Work Start TimeStamp]]-Table6[[#This Row],[Fault Start TimeStamp]])*24)</f>
        <v>0</v>
      </c>
      <c r="S675" s="261">
        <f>(Table6[[#This Row],[Fault Clearance time]]-Table6[[#This Row],[Work Start TimeStamp]])*24</f>
        <v>4.9999999999999822E-2</v>
      </c>
      <c r="T675" s="261">
        <f>(Table6[[#This Row],[Fault Clearance time]]-Table6[[#This Row],[Fault Start TimeStamp]])*24</f>
        <v>4.9999999999999822E-2</v>
      </c>
      <c r="U675" s="35" t="s">
        <v>277</v>
      </c>
      <c r="V675" s="102" t="s">
        <v>268</v>
      </c>
      <c r="W675" s="267">
        <f>IFERROR(Table6[[#This Row],[Breakdown Time]]*Table6[[#This Row],[Plant Equivalent Weightage]],"")</f>
        <v>1.9230769230769156E-3</v>
      </c>
      <c r="X675" s="262" t="s">
        <v>296</v>
      </c>
      <c r="Y675" s="263" t="s">
        <v>125</v>
      </c>
      <c r="Z675" s="102">
        <v>9372</v>
      </c>
      <c r="AA675" s="257">
        <f>(Table6[[#This Row],[Paired WTG Generation for loss calculation]]/24)*Table6[[#This Row],[Breakdown Time]]</f>
        <v>19.524999999999931</v>
      </c>
      <c r="AB675" s="102"/>
      <c r="AC675" s="35"/>
      <c r="AD675" s="35"/>
    </row>
    <row r="676" spans="1:30">
      <c r="A676" s="102">
        <f t="shared" si="11"/>
        <v>675</v>
      </c>
      <c r="B676" s="257">
        <f>YEAR(Table6[[#This Row],[Date]])+IF(MONTH(Table6[[#This Row],[Date]])&gt;=4,1,0)</f>
        <v>2026</v>
      </c>
      <c r="C676" s="102">
        <f>YEAR(Table6[[#This Row],[Date]])</f>
        <v>2025</v>
      </c>
      <c r="D676" s="102" t="s">
        <v>265</v>
      </c>
      <c r="E676" s="258">
        <f>Table6[[#This Row],[Date]]-DAY(Table6[[#This Row],[Date]])+1</f>
        <v>45778</v>
      </c>
      <c r="F676" s="259">
        <v>45786</v>
      </c>
      <c r="G676" s="35" t="s">
        <v>137</v>
      </c>
      <c r="H676" s="35" t="str">
        <f>IFERROR(_xlfn.XLOOKUP(Table6[[#This Row],[Affected WTG]],'Basic Data'!$A:$A,'Basic Data'!$B:$B),"")</f>
        <v>TQGXIIPL</v>
      </c>
      <c r="I676" s="35" t="str">
        <f>IFERROR(_xlfn.XLOOKUP(Table6[[#This Row],[Affected WTG]],'Basic Data'!$A:$A,'Basic Data'!$C:$C),"")</f>
        <v>GEDA</v>
      </c>
      <c r="J676" s="260">
        <f>IFERROR(_xlfn.XLOOKUP(Table6[[#This Row],[Affected WTG]],'Basic Data'!$A:$A,'Basic Data'!$E:$E),"")</f>
        <v>3.846153846153845E-2</v>
      </c>
      <c r="K676" s="102">
        <v>55</v>
      </c>
      <c r="L676" s="35" t="str">
        <f>IFERROR(_xlfn.XLOOKUP(Table6[[#This Row],[Error Code]],'Basic Data'!$AA:$AA,'Basic Data'!$AB:$AB),"Incorrect Error Code")</f>
        <v>WTG shut down</v>
      </c>
      <c r="M676" s="35" t="s">
        <v>266</v>
      </c>
      <c r="N676" s="264"/>
      <c r="O676" s="265">
        <v>0.6875</v>
      </c>
      <c r="P676" s="265">
        <v>0.6875</v>
      </c>
      <c r="Q676" s="266">
        <v>0.68958333333333333</v>
      </c>
      <c r="R676" s="261">
        <f>IF(Table6[[#This Row],[Work Start TimeStamp]]="","",(Table6[[#This Row],[Work Start TimeStamp]]-Table6[[#This Row],[Fault Start TimeStamp]])*24)</f>
        <v>0</v>
      </c>
      <c r="S676" s="261">
        <f>(Table6[[#This Row],[Fault Clearance time]]-Table6[[#This Row],[Work Start TimeStamp]])*24</f>
        <v>4.9999999999999822E-2</v>
      </c>
      <c r="T676" s="261">
        <f>(Table6[[#This Row],[Fault Clearance time]]-Table6[[#This Row],[Fault Start TimeStamp]])*24</f>
        <v>4.9999999999999822E-2</v>
      </c>
      <c r="U676" s="35" t="s">
        <v>320</v>
      </c>
      <c r="V676" s="102" t="s">
        <v>268</v>
      </c>
      <c r="W676" s="267">
        <f>IFERROR(Table6[[#This Row],[Breakdown Time]]*Table6[[#This Row],[Plant Equivalent Weightage]],"")</f>
        <v>1.9230769230769156E-3</v>
      </c>
      <c r="X676" s="262" t="s">
        <v>269</v>
      </c>
      <c r="Y676" s="263" t="s">
        <v>125</v>
      </c>
      <c r="Z676" s="102">
        <v>9372</v>
      </c>
      <c r="AA676" s="257">
        <f>(Table6[[#This Row],[Paired WTG Generation for loss calculation]]/24)*Table6[[#This Row],[Breakdown Time]]</f>
        <v>19.524999999999931</v>
      </c>
      <c r="AB676" s="102"/>
      <c r="AC676" s="35"/>
      <c r="AD676" s="35"/>
    </row>
    <row r="677" spans="1:30">
      <c r="A677" s="102">
        <f t="shared" si="11"/>
        <v>676</v>
      </c>
      <c r="B677" s="257">
        <f>YEAR(Table6[[#This Row],[Date]])+IF(MONTH(Table6[[#This Row],[Date]])&gt;=4,1,0)</f>
        <v>2026</v>
      </c>
      <c r="C677" s="102">
        <f>YEAR(Table6[[#This Row],[Date]])</f>
        <v>2025</v>
      </c>
      <c r="D677" s="102" t="s">
        <v>265</v>
      </c>
      <c r="E677" s="258">
        <f>Table6[[#This Row],[Date]]-DAY(Table6[[#This Row],[Date]])+1</f>
        <v>45778</v>
      </c>
      <c r="F677" s="259">
        <v>45786</v>
      </c>
      <c r="G677" s="35" t="s">
        <v>138</v>
      </c>
      <c r="H677" s="35" t="str">
        <f>IFERROR(_xlfn.XLOOKUP(Table6[[#This Row],[Affected WTG]],'Basic Data'!$A:$A,'Basic Data'!$B:$B),"")</f>
        <v>TQGXIIPL</v>
      </c>
      <c r="I677" s="35" t="str">
        <f>IFERROR(_xlfn.XLOOKUP(Table6[[#This Row],[Affected WTG]],'Basic Data'!$A:$A,'Basic Data'!$C:$C),"")</f>
        <v>GEDA</v>
      </c>
      <c r="J677" s="260">
        <f>IFERROR(_xlfn.XLOOKUP(Table6[[#This Row],[Affected WTG]],'Basic Data'!$A:$A,'Basic Data'!$E:$E),"")</f>
        <v>3.846153846153845E-2</v>
      </c>
      <c r="K677" s="102">
        <v>55</v>
      </c>
      <c r="L677" s="35" t="str">
        <f>IFERROR(_xlfn.XLOOKUP(Table6[[#This Row],[Error Code]],'Basic Data'!$AA:$AA,'Basic Data'!$AB:$AB),"Incorrect Error Code")</f>
        <v>WTG shut down</v>
      </c>
      <c r="M677" s="35" t="s">
        <v>266</v>
      </c>
      <c r="N677" s="264"/>
      <c r="O677" s="265">
        <v>0.68819444444444444</v>
      </c>
      <c r="P677" s="265">
        <v>0.68819444444444444</v>
      </c>
      <c r="Q677" s="266">
        <v>0.69027777777777777</v>
      </c>
      <c r="R677" s="261">
        <f>IF(Table6[[#This Row],[Work Start TimeStamp]]="","",(Table6[[#This Row],[Work Start TimeStamp]]-Table6[[#This Row],[Fault Start TimeStamp]])*24)</f>
        <v>0</v>
      </c>
      <c r="S677" s="261">
        <f>(Table6[[#This Row],[Fault Clearance time]]-Table6[[#This Row],[Work Start TimeStamp]])*24</f>
        <v>4.9999999999999822E-2</v>
      </c>
      <c r="T677" s="261">
        <f>(Table6[[#This Row],[Fault Clearance time]]-Table6[[#This Row],[Fault Start TimeStamp]])*24</f>
        <v>4.9999999999999822E-2</v>
      </c>
      <c r="U677" s="35" t="s">
        <v>320</v>
      </c>
      <c r="V677" s="102" t="s">
        <v>268</v>
      </c>
      <c r="W677" s="267">
        <f>IFERROR(Table6[[#This Row],[Breakdown Time]]*Table6[[#This Row],[Plant Equivalent Weightage]],"")</f>
        <v>1.9230769230769156E-3</v>
      </c>
      <c r="X677" s="262" t="s">
        <v>296</v>
      </c>
      <c r="Y677" s="263" t="s">
        <v>134</v>
      </c>
      <c r="Z677" s="102">
        <v>6597</v>
      </c>
      <c r="AA677" s="257">
        <f>(Table6[[#This Row],[Paired WTG Generation for loss calculation]]/24)*Table6[[#This Row],[Breakdown Time]]</f>
        <v>13.743749999999951</v>
      </c>
      <c r="AB677" s="102"/>
      <c r="AC677" s="35"/>
      <c r="AD677" s="35"/>
    </row>
    <row r="678" spans="1:30">
      <c r="A678" s="102">
        <f t="shared" si="11"/>
        <v>677</v>
      </c>
      <c r="B678" s="257">
        <f>YEAR(Table6[[#This Row],[Date]])+IF(MONTH(Table6[[#This Row],[Date]])&gt;=4,1,0)</f>
        <v>2026</v>
      </c>
      <c r="C678" s="102">
        <f>YEAR(Table6[[#This Row],[Date]])</f>
        <v>2025</v>
      </c>
      <c r="D678" s="102" t="s">
        <v>265</v>
      </c>
      <c r="E678" s="258">
        <f>Table6[[#This Row],[Date]]-DAY(Table6[[#This Row],[Date]])+1</f>
        <v>45778</v>
      </c>
      <c r="F678" s="259">
        <v>45786</v>
      </c>
      <c r="G678" s="35" t="s">
        <v>139</v>
      </c>
      <c r="H678" s="35" t="str">
        <f>IFERROR(_xlfn.XLOOKUP(Table6[[#This Row],[Affected WTG]],'Basic Data'!$A:$A,'Basic Data'!$B:$B),"")</f>
        <v>TQGXIIPL</v>
      </c>
      <c r="I678" s="35" t="str">
        <f>IFERROR(_xlfn.XLOOKUP(Table6[[#This Row],[Affected WTG]],'Basic Data'!$A:$A,'Basic Data'!$C:$C),"")</f>
        <v>GEDA</v>
      </c>
      <c r="J678" s="260">
        <f>IFERROR(_xlfn.XLOOKUP(Table6[[#This Row],[Affected WTG]],'Basic Data'!$A:$A,'Basic Data'!$E:$E),"")</f>
        <v>3.846153846153845E-2</v>
      </c>
      <c r="K678" s="102">
        <v>55</v>
      </c>
      <c r="L678" s="35" t="str">
        <f>IFERROR(_xlfn.XLOOKUP(Table6[[#This Row],[Error Code]],'Basic Data'!$AA:$AA,'Basic Data'!$AB:$AB),"Incorrect Error Code")</f>
        <v>WTG shut down</v>
      </c>
      <c r="M678" s="35" t="s">
        <v>266</v>
      </c>
      <c r="N678" s="264"/>
      <c r="O678" s="265">
        <v>0.69027777777777777</v>
      </c>
      <c r="P678" s="265">
        <v>0.69027777777777777</v>
      </c>
      <c r="Q678" s="266">
        <v>0.69236111111111109</v>
      </c>
      <c r="R678" s="261">
        <f>IF(Table6[[#This Row],[Work Start TimeStamp]]="","",(Table6[[#This Row],[Work Start TimeStamp]]-Table6[[#This Row],[Fault Start TimeStamp]])*24)</f>
        <v>0</v>
      </c>
      <c r="S678" s="261">
        <f>(Table6[[#This Row],[Fault Clearance time]]-Table6[[#This Row],[Work Start TimeStamp]])*24</f>
        <v>4.9999999999999822E-2</v>
      </c>
      <c r="T678" s="261">
        <f>(Table6[[#This Row],[Fault Clearance time]]-Table6[[#This Row],[Fault Start TimeStamp]])*24</f>
        <v>4.9999999999999822E-2</v>
      </c>
      <c r="U678" s="35" t="s">
        <v>320</v>
      </c>
      <c r="V678" s="102" t="s">
        <v>268</v>
      </c>
      <c r="W678" s="267">
        <f>IFERROR(Table6[[#This Row],[Breakdown Time]]*Table6[[#This Row],[Plant Equivalent Weightage]],"")</f>
        <v>1.9230769230769156E-3</v>
      </c>
      <c r="X678" s="262" t="s">
        <v>296</v>
      </c>
      <c r="Y678" s="263" t="s">
        <v>115</v>
      </c>
      <c r="Z678" s="102">
        <v>9128</v>
      </c>
      <c r="AA678" s="257">
        <f>(Table6[[#This Row],[Paired WTG Generation for loss calculation]]/24)*Table6[[#This Row],[Breakdown Time]]</f>
        <v>19.016666666666598</v>
      </c>
      <c r="AB678" s="102"/>
      <c r="AC678" s="35"/>
      <c r="AD678" s="35"/>
    </row>
    <row r="679" spans="1:30">
      <c r="A679" s="102">
        <f t="shared" si="11"/>
        <v>678</v>
      </c>
      <c r="B679" s="257">
        <f>YEAR(Table6[[#This Row],[Date]])+IF(MONTH(Table6[[#This Row],[Date]])&gt;=4,1,0)</f>
        <v>2026</v>
      </c>
      <c r="C679" s="102">
        <f>YEAR(Table6[[#This Row],[Date]])</f>
        <v>2025</v>
      </c>
      <c r="D679" s="102" t="s">
        <v>265</v>
      </c>
      <c r="E679" s="258">
        <f>Table6[[#This Row],[Date]]-DAY(Table6[[#This Row],[Date]])+1</f>
        <v>45778</v>
      </c>
      <c r="F679" s="259">
        <v>45786</v>
      </c>
      <c r="G679" s="35" t="s">
        <v>140</v>
      </c>
      <c r="H679" s="35" t="str">
        <f>IFERROR(_xlfn.XLOOKUP(Table6[[#This Row],[Affected WTG]],'Basic Data'!$A:$A,'Basic Data'!$B:$B),"")</f>
        <v>TQGXIIPL</v>
      </c>
      <c r="I679" s="35" t="str">
        <f>IFERROR(_xlfn.XLOOKUP(Table6[[#This Row],[Affected WTG]],'Basic Data'!$A:$A,'Basic Data'!$C:$C),"")</f>
        <v>GEDA</v>
      </c>
      <c r="J679" s="260">
        <f>IFERROR(_xlfn.XLOOKUP(Table6[[#This Row],[Affected WTG]],'Basic Data'!$A:$A,'Basic Data'!$E:$E),"")</f>
        <v>3.846153846153845E-2</v>
      </c>
      <c r="K679" s="102">
        <v>55</v>
      </c>
      <c r="L679" s="35" t="str">
        <f>IFERROR(_xlfn.XLOOKUP(Table6[[#This Row],[Error Code]],'Basic Data'!$AA:$AA,'Basic Data'!$AB:$AB),"Incorrect Error Code")</f>
        <v>WTG shut down</v>
      </c>
      <c r="M679" s="35" t="s">
        <v>266</v>
      </c>
      <c r="N679" s="264"/>
      <c r="O679" s="265">
        <v>0.69027777777777777</v>
      </c>
      <c r="P679" s="265">
        <v>0.69027777777777777</v>
      </c>
      <c r="Q679" s="266">
        <v>0.69236111111111109</v>
      </c>
      <c r="R679" s="261">
        <f>IF(Table6[[#This Row],[Work Start TimeStamp]]="","",(Table6[[#This Row],[Work Start TimeStamp]]-Table6[[#This Row],[Fault Start TimeStamp]])*24)</f>
        <v>0</v>
      </c>
      <c r="S679" s="261">
        <f>(Table6[[#This Row],[Fault Clearance time]]-Table6[[#This Row],[Work Start TimeStamp]])*24</f>
        <v>4.9999999999999822E-2</v>
      </c>
      <c r="T679" s="261">
        <f>(Table6[[#This Row],[Fault Clearance time]]-Table6[[#This Row],[Fault Start TimeStamp]])*24</f>
        <v>4.9999999999999822E-2</v>
      </c>
      <c r="U679" s="35" t="s">
        <v>320</v>
      </c>
      <c r="V679" s="102" t="s">
        <v>268</v>
      </c>
      <c r="W679" s="267">
        <f>IFERROR(Table6[[#This Row],[Breakdown Time]]*Table6[[#This Row],[Plant Equivalent Weightage]],"")</f>
        <v>1.9230769230769156E-3</v>
      </c>
      <c r="X679" s="262" t="s">
        <v>296</v>
      </c>
      <c r="Y679" s="263" t="s">
        <v>115</v>
      </c>
      <c r="Z679" s="102">
        <v>9128</v>
      </c>
      <c r="AA679" s="257">
        <f>(Table6[[#This Row],[Paired WTG Generation for loss calculation]]/24)*Table6[[#This Row],[Breakdown Time]]</f>
        <v>19.016666666666598</v>
      </c>
      <c r="AB679" s="102"/>
      <c r="AC679" s="35"/>
      <c r="AD679" s="35"/>
    </row>
    <row r="680" spans="1:30">
      <c r="A680" s="102">
        <f t="shared" si="11"/>
        <v>679</v>
      </c>
      <c r="B680" s="257">
        <f>YEAR(Table6[[#This Row],[Date]])+IF(MONTH(Table6[[#This Row],[Date]])&gt;=4,1,0)</f>
        <v>2026</v>
      </c>
      <c r="C680" s="102">
        <f>YEAR(Table6[[#This Row],[Date]])</f>
        <v>2025</v>
      </c>
      <c r="D680" s="102" t="s">
        <v>265</v>
      </c>
      <c r="E680" s="258">
        <f>Table6[[#This Row],[Date]]-DAY(Table6[[#This Row],[Date]])+1</f>
        <v>45778</v>
      </c>
      <c r="F680" s="259">
        <v>45787</v>
      </c>
      <c r="G680" s="35" t="s">
        <v>122</v>
      </c>
      <c r="H680" s="35" t="str">
        <f>IFERROR(_xlfn.XLOOKUP(Table6[[#This Row],[Affected WTG]],'Basic Data'!$A:$A,'Basic Data'!$B:$B),"")</f>
        <v>TQGXIIPL</v>
      </c>
      <c r="I680" s="35" t="str">
        <f>IFERROR(_xlfn.XLOOKUP(Table6[[#This Row],[Affected WTG]],'Basic Data'!$A:$A,'Basic Data'!$C:$C),"")</f>
        <v>GEDA</v>
      </c>
      <c r="J680" s="260">
        <f>IFERROR(_xlfn.XLOOKUP(Table6[[#This Row],[Affected WTG]],'Basic Data'!$A:$A,'Basic Data'!$E:$E),"")</f>
        <v>3.846153846153845E-2</v>
      </c>
      <c r="K680" s="102">
        <v>6210</v>
      </c>
      <c r="L680" s="35" t="str">
        <f>IFERROR(_xlfn.XLOOKUP(Table6[[#This Row],[Error Code]],'Basic Data'!$AA:$AA,'Basic Data'!$AB:$AB),"Incorrect Error Code")</f>
        <v>Max. cable twistangle</v>
      </c>
      <c r="M680" s="35" t="s">
        <v>266</v>
      </c>
      <c r="N680" s="264"/>
      <c r="O680" s="265">
        <v>0.18819444444444444</v>
      </c>
      <c r="P680" s="265">
        <v>0.18819444444444444</v>
      </c>
      <c r="Q680" s="266">
        <v>0.24583333333333332</v>
      </c>
      <c r="R680" s="261">
        <f>IF(Table6[[#This Row],[Work Start TimeStamp]]="","",(Table6[[#This Row],[Work Start TimeStamp]]-Table6[[#This Row],[Fault Start TimeStamp]])*24)</f>
        <v>0</v>
      </c>
      <c r="S680" s="261">
        <f>(Table6[[#This Row],[Fault Clearance time]]-Table6[[#This Row],[Work Start TimeStamp]])*24</f>
        <v>1.3833333333333331</v>
      </c>
      <c r="T680" s="261">
        <f>(Table6[[#This Row],[Fault Clearance time]]-Table6[[#This Row],[Fault Start TimeStamp]])*24</f>
        <v>1.3833333333333331</v>
      </c>
      <c r="U680" s="35" t="s">
        <v>425</v>
      </c>
      <c r="V680" s="102" t="s">
        <v>268</v>
      </c>
      <c r="W680" s="267">
        <f>IFERROR(Table6[[#This Row],[Breakdown Time]]*Table6[[#This Row],[Plant Equivalent Weightage]],"")</f>
        <v>5.3205128205128183E-2</v>
      </c>
      <c r="X680" s="262" t="s">
        <v>296</v>
      </c>
      <c r="Y680" s="263" t="s">
        <v>140</v>
      </c>
      <c r="Z680" s="102">
        <v>14169</v>
      </c>
      <c r="AA680" s="257">
        <f>(Table6[[#This Row],[Paired WTG Generation for loss calculation]]/24)*Table6[[#This Row],[Breakdown Time]]</f>
        <v>816.68541666666647</v>
      </c>
      <c r="AB680" s="102"/>
      <c r="AC680" s="35"/>
      <c r="AD680" s="35"/>
    </row>
    <row r="681" spans="1:30">
      <c r="A681" s="102">
        <f t="shared" si="11"/>
        <v>680</v>
      </c>
      <c r="B681" s="257">
        <f>YEAR(Table6[[#This Row],[Date]])+IF(MONTH(Table6[[#This Row],[Date]])&gt;=4,1,0)</f>
        <v>2026</v>
      </c>
      <c r="C681" s="102">
        <f>YEAR(Table6[[#This Row],[Date]])</f>
        <v>2025</v>
      </c>
      <c r="D681" s="102" t="s">
        <v>265</v>
      </c>
      <c r="E681" s="258">
        <f>Table6[[#This Row],[Date]]-DAY(Table6[[#This Row],[Date]])+1</f>
        <v>45778</v>
      </c>
      <c r="F681" s="259">
        <v>45787</v>
      </c>
      <c r="G681" s="35" t="s">
        <v>122</v>
      </c>
      <c r="H681" s="35" t="str">
        <f>IFERROR(_xlfn.XLOOKUP(Table6[[#This Row],[Affected WTG]],'Basic Data'!$A:$A,'Basic Data'!$B:$B),"")</f>
        <v>TQGXIIPL</v>
      </c>
      <c r="I681" s="35" t="str">
        <f>IFERROR(_xlfn.XLOOKUP(Table6[[#This Row],[Affected WTG]],'Basic Data'!$A:$A,'Basic Data'!$C:$C),"")</f>
        <v>GEDA</v>
      </c>
      <c r="J681" s="260">
        <f>IFERROR(_xlfn.XLOOKUP(Table6[[#This Row],[Affected WTG]],'Basic Data'!$A:$A,'Basic Data'!$E:$E),"")</f>
        <v>3.846153846153845E-2</v>
      </c>
      <c r="K681" s="102">
        <v>55</v>
      </c>
      <c r="L681" s="35" t="str">
        <f>IFERROR(_xlfn.XLOOKUP(Table6[[#This Row],[Error Code]],'Basic Data'!$AA:$AA,'Basic Data'!$AB:$AB),"Incorrect Error Code")</f>
        <v>WTG shut down</v>
      </c>
      <c r="M681" s="35" t="s">
        <v>266</v>
      </c>
      <c r="N681" s="264"/>
      <c r="O681" s="265">
        <v>0.46388888888888891</v>
      </c>
      <c r="P681" s="265">
        <v>0.46388888888888891</v>
      </c>
      <c r="Q681" s="266">
        <v>0.61458333333333337</v>
      </c>
      <c r="R681" s="261">
        <f>IF(Table6[[#This Row],[Work Start TimeStamp]]="","",(Table6[[#This Row],[Work Start TimeStamp]]-Table6[[#This Row],[Fault Start TimeStamp]])*24)</f>
        <v>0</v>
      </c>
      <c r="S681" s="261">
        <f>(Table6[[#This Row],[Fault Clearance time]]-Table6[[#This Row],[Work Start TimeStamp]])*24</f>
        <v>3.6166666666666671</v>
      </c>
      <c r="T681" s="261">
        <f>(Table6[[#This Row],[Fault Clearance time]]-Table6[[#This Row],[Fault Start TimeStamp]])*24</f>
        <v>3.6166666666666671</v>
      </c>
      <c r="U681" s="35" t="s">
        <v>426</v>
      </c>
      <c r="V681" s="102" t="s">
        <v>268</v>
      </c>
      <c r="W681" s="267">
        <f>IFERROR(Table6[[#This Row],[Breakdown Time]]*Table6[[#This Row],[Plant Equivalent Weightage]],"")</f>
        <v>0.13910256410256408</v>
      </c>
      <c r="X681" s="262" t="s">
        <v>296</v>
      </c>
      <c r="Y681" s="263" t="s">
        <v>140</v>
      </c>
      <c r="Z681" s="102">
        <v>14169</v>
      </c>
      <c r="AA681" s="257">
        <f>(Table6[[#This Row],[Paired WTG Generation for loss calculation]]/24)*Table6[[#This Row],[Breakdown Time]]</f>
        <v>2135.1895833333338</v>
      </c>
      <c r="AB681" s="102"/>
      <c r="AC681" s="35"/>
      <c r="AD681" s="35"/>
    </row>
    <row r="682" spans="1:30">
      <c r="A682" s="102">
        <f t="shared" si="11"/>
        <v>681</v>
      </c>
      <c r="B682" s="257">
        <f>YEAR(Table6[[#This Row],[Date]])+IF(MONTH(Table6[[#This Row],[Date]])&gt;=4,1,0)</f>
        <v>2026</v>
      </c>
      <c r="C682" s="102">
        <f>YEAR(Table6[[#This Row],[Date]])</f>
        <v>2025</v>
      </c>
      <c r="D682" s="102" t="s">
        <v>265</v>
      </c>
      <c r="E682" s="258">
        <f>Table6[[#This Row],[Date]]-DAY(Table6[[#This Row],[Date]])+1</f>
        <v>45778</v>
      </c>
      <c r="F682" s="259">
        <v>45787</v>
      </c>
      <c r="G682" s="35" t="s">
        <v>131</v>
      </c>
      <c r="H682" s="35" t="str">
        <f>IFERROR(_xlfn.XLOOKUP(Table6[[#This Row],[Affected WTG]],'Basic Data'!$A:$A,'Basic Data'!$B:$B),"")</f>
        <v>TQGXIIPL</v>
      </c>
      <c r="I682" s="35" t="str">
        <f>IFERROR(_xlfn.XLOOKUP(Table6[[#This Row],[Affected WTG]],'Basic Data'!$A:$A,'Basic Data'!$C:$C),"")</f>
        <v>GEDA</v>
      </c>
      <c r="J682" s="260">
        <f>IFERROR(_xlfn.XLOOKUP(Table6[[#This Row],[Affected WTG]],'Basic Data'!$A:$A,'Basic Data'!$E:$E),"")</f>
        <v>3.846153846153845E-2</v>
      </c>
      <c r="K682" s="102">
        <v>55</v>
      </c>
      <c r="L682" s="35" t="str">
        <f>IFERROR(_xlfn.XLOOKUP(Table6[[#This Row],[Error Code]],'Basic Data'!$AA:$AA,'Basic Data'!$AB:$AB),"Incorrect Error Code")</f>
        <v>WTG shut down</v>
      </c>
      <c r="M682" s="35" t="s">
        <v>266</v>
      </c>
      <c r="N682" s="264"/>
      <c r="O682" s="265">
        <v>0.50277777777777777</v>
      </c>
      <c r="P682" s="265">
        <v>0.50277777777777777</v>
      </c>
      <c r="Q682" s="266">
        <v>0.54166666666666663</v>
      </c>
      <c r="R682" s="261">
        <f>IF(Table6[[#This Row],[Work Start TimeStamp]]="","",(Table6[[#This Row],[Work Start TimeStamp]]-Table6[[#This Row],[Fault Start TimeStamp]])*24)</f>
        <v>0</v>
      </c>
      <c r="S682" s="261">
        <f>(Table6[[#This Row],[Fault Clearance time]]-Table6[[#This Row],[Work Start TimeStamp]])*24</f>
        <v>0.93333333333333268</v>
      </c>
      <c r="T682" s="261">
        <f>(Table6[[#This Row],[Fault Clearance time]]-Table6[[#This Row],[Fault Start TimeStamp]])*24</f>
        <v>0.93333333333333268</v>
      </c>
      <c r="U682" s="35" t="s">
        <v>427</v>
      </c>
      <c r="V682" s="102" t="s">
        <v>268</v>
      </c>
      <c r="W682" s="267">
        <f>IFERROR(Table6[[#This Row],[Breakdown Time]]*Table6[[#This Row],[Plant Equivalent Weightage]],"")</f>
        <v>3.589743589743586E-2</v>
      </c>
      <c r="X682" s="262" t="s">
        <v>296</v>
      </c>
      <c r="Y682" s="263" t="s">
        <v>136</v>
      </c>
      <c r="Z682" s="102">
        <v>15068</v>
      </c>
      <c r="AA682" s="257">
        <f>(Table6[[#This Row],[Paired WTG Generation for loss calculation]]/24)*Table6[[#This Row],[Breakdown Time]]</f>
        <v>585.97777777777742</v>
      </c>
      <c r="AB682" s="102"/>
      <c r="AC682" s="35"/>
      <c r="AD682" s="35"/>
    </row>
    <row r="683" spans="1:30">
      <c r="A683" s="102">
        <f t="shared" si="11"/>
        <v>682</v>
      </c>
      <c r="B683" s="257">
        <f>YEAR(Table6[[#This Row],[Date]])+IF(MONTH(Table6[[#This Row],[Date]])&gt;=4,1,0)</f>
        <v>2026</v>
      </c>
      <c r="C683" s="102">
        <f>YEAR(Table6[[#This Row],[Date]])</f>
        <v>2025</v>
      </c>
      <c r="D683" s="102" t="s">
        <v>265</v>
      </c>
      <c r="E683" s="258">
        <f>Table6[[#This Row],[Date]]-DAY(Table6[[#This Row],[Date]])+1</f>
        <v>45778</v>
      </c>
      <c r="F683" s="259">
        <v>45787</v>
      </c>
      <c r="G683" s="35" t="s">
        <v>131</v>
      </c>
      <c r="H683" s="35" t="str">
        <f>IFERROR(_xlfn.XLOOKUP(Table6[[#This Row],[Affected WTG]],'Basic Data'!$A:$A,'Basic Data'!$B:$B),"")</f>
        <v>TQGXIIPL</v>
      </c>
      <c r="I683" s="35" t="str">
        <f>IFERROR(_xlfn.XLOOKUP(Table6[[#This Row],[Affected WTG]],'Basic Data'!$A:$A,'Basic Data'!$C:$C),"")</f>
        <v>GEDA</v>
      </c>
      <c r="J683" s="260">
        <f>IFERROR(_xlfn.XLOOKUP(Table6[[#This Row],[Affected WTG]],'Basic Data'!$A:$A,'Basic Data'!$E:$E),"")</f>
        <v>3.846153846153845E-2</v>
      </c>
      <c r="K683" s="102">
        <v>55</v>
      </c>
      <c r="L683" s="35" t="str">
        <f>IFERROR(_xlfn.XLOOKUP(Table6[[#This Row],[Error Code]],'Basic Data'!$AA:$AA,'Basic Data'!$AB:$AB),"Incorrect Error Code")</f>
        <v>WTG shut down</v>
      </c>
      <c r="M683" s="35" t="s">
        <v>266</v>
      </c>
      <c r="N683" s="264"/>
      <c r="O683" s="265">
        <v>0.69374999999999998</v>
      </c>
      <c r="P683" s="265">
        <v>0.69374999999999998</v>
      </c>
      <c r="Q683" s="266">
        <v>0.71875</v>
      </c>
      <c r="R683" s="261">
        <f>IF(Table6[[#This Row],[Work Start TimeStamp]]="","",(Table6[[#This Row],[Work Start TimeStamp]]-Table6[[#This Row],[Fault Start TimeStamp]])*24)</f>
        <v>0</v>
      </c>
      <c r="S683" s="261">
        <f>(Table6[[#This Row],[Fault Clearance time]]-Table6[[#This Row],[Work Start TimeStamp]])*24</f>
        <v>0.60000000000000053</v>
      </c>
      <c r="T683" s="261">
        <f>(Table6[[#This Row],[Fault Clearance time]]-Table6[[#This Row],[Fault Start TimeStamp]])*24</f>
        <v>0.60000000000000053</v>
      </c>
      <c r="U683" s="35" t="s">
        <v>428</v>
      </c>
      <c r="V683" s="102" t="s">
        <v>268</v>
      </c>
      <c r="W683" s="267">
        <f>IFERROR(Table6[[#This Row],[Breakdown Time]]*Table6[[#This Row],[Plant Equivalent Weightage]],"")</f>
        <v>2.3076923076923092E-2</v>
      </c>
      <c r="X683" s="262" t="s">
        <v>296</v>
      </c>
      <c r="Y683" s="263" t="s">
        <v>136</v>
      </c>
      <c r="Z683" s="102">
        <v>15068</v>
      </c>
      <c r="AA683" s="257">
        <f>(Table6[[#This Row],[Paired WTG Generation for loss calculation]]/24)*Table6[[#This Row],[Breakdown Time]]</f>
        <v>376.70000000000033</v>
      </c>
      <c r="AB683" s="102"/>
      <c r="AC683" s="35"/>
      <c r="AD683" s="35"/>
    </row>
    <row r="684" spans="1:30">
      <c r="A684" s="102">
        <f t="shared" si="11"/>
        <v>683</v>
      </c>
      <c r="B684" s="257">
        <f>YEAR(Table6[[#This Row],[Date]])+IF(MONTH(Table6[[#This Row],[Date]])&gt;=4,1,0)</f>
        <v>2026</v>
      </c>
      <c r="C684" s="102">
        <f>YEAR(Table6[[#This Row],[Date]])</f>
        <v>2025</v>
      </c>
      <c r="D684" s="102" t="s">
        <v>265</v>
      </c>
      <c r="E684" s="258">
        <f>Table6[[#This Row],[Date]]-DAY(Table6[[#This Row],[Date]])+1</f>
        <v>45778</v>
      </c>
      <c r="F684" s="259">
        <v>45787</v>
      </c>
      <c r="G684" s="35" t="s">
        <v>137</v>
      </c>
      <c r="H684" s="35" t="str">
        <f>IFERROR(_xlfn.XLOOKUP(Table6[[#This Row],[Affected WTG]],'Basic Data'!$A:$A,'Basic Data'!$B:$B),"")</f>
        <v>TQGXIIPL</v>
      </c>
      <c r="I684" s="35" t="str">
        <f>IFERROR(_xlfn.XLOOKUP(Table6[[#This Row],[Affected WTG]],'Basic Data'!$A:$A,'Basic Data'!$C:$C),"")</f>
        <v>GEDA</v>
      </c>
      <c r="J684" s="260">
        <f>IFERROR(_xlfn.XLOOKUP(Table6[[#This Row],[Affected WTG]],'Basic Data'!$A:$A,'Basic Data'!$E:$E),"")</f>
        <v>3.846153846153845E-2</v>
      </c>
      <c r="K684" s="102">
        <v>5510</v>
      </c>
      <c r="L684" s="35" t="str">
        <f>IFERROR(_xlfn.XLOOKUP(Table6[[#This Row],[Error Code]],'Basic Data'!$AA:$AA,'Basic Data'!$AB:$AB),"Incorrect Error Code")</f>
        <v>Low hydraulic pressure</v>
      </c>
      <c r="M684" s="35" t="s">
        <v>266</v>
      </c>
      <c r="N684" s="264"/>
      <c r="O684" s="265">
        <v>0.12847222222222221</v>
      </c>
      <c r="P684" s="265">
        <v>0.15416666666666667</v>
      </c>
      <c r="Q684" s="266">
        <v>0.21527777777777779</v>
      </c>
      <c r="R684" s="261">
        <f>IF(Table6[[#This Row],[Work Start TimeStamp]]="","",(Table6[[#This Row],[Work Start TimeStamp]]-Table6[[#This Row],[Fault Start TimeStamp]])*24)</f>
        <v>0.61666666666666714</v>
      </c>
      <c r="S684" s="261">
        <f>(Table6[[#This Row],[Fault Clearance time]]-Table6[[#This Row],[Work Start TimeStamp]])*24</f>
        <v>1.4666666666666668</v>
      </c>
      <c r="T684" s="261">
        <f>(Table6[[#This Row],[Fault Clearance time]]-Table6[[#This Row],[Fault Start TimeStamp]])*24</f>
        <v>2.0833333333333339</v>
      </c>
      <c r="U684" s="35" t="s">
        <v>429</v>
      </c>
      <c r="V684" s="102" t="s">
        <v>268</v>
      </c>
      <c r="W684" s="267">
        <f>IFERROR(Table6[[#This Row],[Breakdown Time]]*Table6[[#This Row],[Plant Equivalent Weightage]],"")</f>
        <v>8.0128205128205121E-2</v>
      </c>
      <c r="X684" s="262" t="s">
        <v>296</v>
      </c>
      <c r="Y684" s="263" t="s">
        <v>125</v>
      </c>
      <c r="Z684" s="102">
        <v>13194</v>
      </c>
      <c r="AA684" s="257">
        <f>(Table6[[#This Row],[Paired WTG Generation for loss calculation]]/24)*Table6[[#This Row],[Breakdown Time]]</f>
        <v>1145.3125000000002</v>
      </c>
      <c r="AB684" s="102"/>
      <c r="AC684" s="35"/>
      <c r="AD684" s="35"/>
    </row>
    <row r="685" spans="1:30">
      <c r="A685" s="102">
        <f t="shared" si="11"/>
        <v>684</v>
      </c>
      <c r="B685" s="257">
        <f>YEAR(Table6[[#This Row],[Date]])+IF(MONTH(Table6[[#This Row],[Date]])&gt;=4,1,0)</f>
        <v>2026</v>
      </c>
      <c r="C685" s="102">
        <f>YEAR(Table6[[#This Row],[Date]])</f>
        <v>2025</v>
      </c>
      <c r="D685" s="102" t="s">
        <v>265</v>
      </c>
      <c r="E685" s="258">
        <f>Table6[[#This Row],[Date]]-DAY(Table6[[#This Row],[Date]])+1</f>
        <v>45778</v>
      </c>
      <c r="F685" s="259">
        <v>45788</v>
      </c>
      <c r="G685" s="35" t="s">
        <v>115</v>
      </c>
      <c r="H685" s="35" t="str">
        <f>IFERROR(_xlfn.XLOOKUP(Table6[[#This Row],[Affected WTG]],'Basic Data'!$A:$A,'Basic Data'!$B:$B),"")</f>
        <v>TQGXIIPL</v>
      </c>
      <c r="I685" s="35" t="str">
        <f>IFERROR(_xlfn.XLOOKUP(Table6[[#This Row],[Affected WTG]],'Basic Data'!$A:$A,'Basic Data'!$C:$C),"")</f>
        <v>GEDA</v>
      </c>
      <c r="J685" s="260">
        <f>IFERROR(_xlfn.XLOOKUP(Table6[[#This Row],[Affected WTG]],'Basic Data'!$A:$A,'Basic Data'!$E:$E),"")</f>
        <v>3.846153846153845E-2</v>
      </c>
      <c r="K685" s="102">
        <v>55</v>
      </c>
      <c r="L685" s="35" t="str">
        <f>IFERROR(_xlfn.XLOOKUP(Table6[[#This Row],[Error Code]],'Basic Data'!$AA:$AA,'Basic Data'!$AB:$AB),"Incorrect Error Code")</f>
        <v>WTG shut down</v>
      </c>
      <c r="M685" s="35" t="s">
        <v>300</v>
      </c>
      <c r="N685" s="264"/>
      <c r="O685" s="265">
        <v>0.69652777777777775</v>
      </c>
      <c r="P685" s="265">
        <v>0.69652777777777775</v>
      </c>
      <c r="Q685" s="266">
        <v>0.71944444444444444</v>
      </c>
      <c r="R685" s="261">
        <f>IF(Table6[[#This Row],[Work Start TimeStamp]]="","",(Table6[[#This Row],[Work Start TimeStamp]]-Table6[[#This Row],[Fault Start TimeStamp]])*24)</f>
        <v>0</v>
      </c>
      <c r="S685" s="261">
        <f>(Table6[[#This Row],[Fault Clearance time]]-Table6[[#This Row],[Work Start TimeStamp]])*24</f>
        <v>0.55000000000000071</v>
      </c>
      <c r="T685" s="261">
        <f>(Table6[[#This Row],[Fault Clearance time]]-Table6[[#This Row],[Fault Start TimeStamp]])*24</f>
        <v>0.55000000000000071</v>
      </c>
      <c r="U685" s="35" t="s">
        <v>385</v>
      </c>
      <c r="V685" s="102" t="s">
        <v>268</v>
      </c>
      <c r="W685" s="267">
        <f>IFERROR(Table6[[#This Row],[Breakdown Time]]*Table6[[#This Row],[Plant Equivalent Weightage]],"")</f>
        <v>2.1153846153846176E-2</v>
      </c>
      <c r="X685" s="262" t="s">
        <v>269</v>
      </c>
      <c r="Y685" s="263" t="s">
        <v>140</v>
      </c>
      <c r="Z685" s="102">
        <v>10027</v>
      </c>
      <c r="AA685" s="257">
        <f>(Table6[[#This Row],[Paired WTG Generation for loss calculation]]/24)*Table6[[#This Row],[Breakdown Time]]</f>
        <v>229.78541666666698</v>
      </c>
      <c r="AB685" s="102"/>
      <c r="AC685" s="35"/>
      <c r="AD685" s="35"/>
    </row>
    <row r="686" spans="1:30">
      <c r="A686" s="102">
        <f t="shared" si="11"/>
        <v>685</v>
      </c>
      <c r="B686" s="257">
        <f>YEAR(Table6[[#This Row],[Date]])+IF(MONTH(Table6[[#This Row],[Date]])&gt;=4,1,0)</f>
        <v>2026</v>
      </c>
      <c r="C686" s="102">
        <f>YEAR(Table6[[#This Row],[Date]])</f>
        <v>2025</v>
      </c>
      <c r="D686" s="102" t="s">
        <v>265</v>
      </c>
      <c r="E686" s="258">
        <f>Table6[[#This Row],[Date]]-DAY(Table6[[#This Row],[Date]])+1</f>
        <v>45778</v>
      </c>
      <c r="F686" s="259">
        <v>45788</v>
      </c>
      <c r="G686" s="35" t="s">
        <v>118</v>
      </c>
      <c r="H686" s="35" t="str">
        <f>IFERROR(_xlfn.XLOOKUP(Table6[[#This Row],[Affected WTG]],'Basic Data'!$A:$A,'Basic Data'!$B:$B),"")</f>
        <v>TQGXIIPL</v>
      </c>
      <c r="I686" s="35" t="str">
        <f>IFERROR(_xlfn.XLOOKUP(Table6[[#This Row],[Affected WTG]],'Basic Data'!$A:$A,'Basic Data'!$C:$C),"")</f>
        <v>GEDA</v>
      </c>
      <c r="J686" s="260">
        <f>IFERROR(_xlfn.XLOOKUP(Table6[[#This Row],[Affected WTG]],'Basic Data'!$A:$A,'Basic Data'!$E:$E),"")</f>
        <v>3.846153846153845E-2</v>
      </c>
      <c r="K686" s="102">
        <v>55</v>
      </c>
      <c r="L686" s="35" t="str">
        <f>IFERROR(_xlfn.XLOOKUP(Table6[[#This Row],[Error Code]],'Basic Data'!$AA:$AA,'Basic Data'!$AB:$AB),"Incorrect Error Code")</f>
        <v>WTG shut down</v>
      </c>
      <c r="M686" s="35" t="s">
        <v>430</v>
      </c>
      <c r="N686" s="264"/>
      <c r="O686" s="265">
        <v>0.72638888888888886</v>
      </c>
      <c r="P686" s="265">
        <v>0.72638888888888886</v>
      </c>
      <c r="Q686" s="266">
        <v>0.73750000000000004</v>
      </c>
      <c r="R686" s="261">
        <f>IF(Table6[[#This Row],[Work Start TimeStamp]]="","",(Table6[[#This Row],[Work Start TimeStamp]]-Table6[[#This Row],[Fault Start TimeStamp]])*24)</f>
        <v>0</v>
      </c>
      <c r="S686" s="261">
        <f>(Table6[[#This Row],[Fault Clearance time]]-Table6[[#This Row],[Work Start TimeStamp]])*24</f>
        <v>0.26666666666666838</v>
      </c>
      <c r="T686" s="261">
        <f>(Table6[[#This Row],[Fault Clearance time]]-Table6[[#This Row],[Fault Start TimeStamp]])*24</f>
        <v>0.26666666666666838</v>
      </c>
      <c r="U686" s="35" t="s">
        <v>431</v>
      </c>
      <c r="V686" s="102" t="s">
        <v>268</v>
      </c>
      <c r="W686" s="267">
        <f>IFERROR(Table6[[#This Row],[Breakdown Time]]*Table6[[#This Row],[Plant Equivalent Weightage]],"")</f>
        <v>1.0256410256410319E-2</v>
      </c>
      <c r="X686" s="262" t="s">
        <v>296</v>
      </c>
      <c r="Y686" s="263" t="s">
        <v>121</v>
      </c>
      <c r="Z686" s="102">
        <v>12314</v>
      </c>
      <c r="AA686" s="257">
        <f>(Table6[[#This Row],[Paired WTG Generation for loss calculation]]/24)*Table6[[#This Row],[Breakdown Time]]</f>
        <v>136.8222222222231</v>
      </c>
      <c r="AB686" s="102"/>
      <c r="AC686" s="35"/>
      <c r="AD686" s="35"/>
    </row>
    <row r="687" spans="1:30">
      <c r="A687" s="102">
        <f t="shared" si="11"/>
        <v>686</v>
      </c>
      <c r="B687" s="257">
        <f>YEAR(Table6[[#This Row],[Date]])+IF(MONTH(Table6[[#This Row],[Date]])&gt;=4,1,0)</f>
        <v>2026</v>
      </c>
      <c r="C687" s="102">
        <f>YEAR(Table6[[#This Row],[Date]])</f>
        <v>2025</v>
      </c>
      <c r="D687" s="102" t="s">
        <v>265</v>
      </c>
      <c r="E687" s="258">
        <f>Table6[[#This Row],[Date]]-DAY(Table6[[#This Row],[Date]])+1</f>
        <v>45778</v>
      </c>
      <c r="F687" s="259">
        <v>45788</v>
      </c>
      <c r="G687" s="35" t="s">
        <v>120</v>
      </c>
      <c r="H687" s="35" t="str">
        <f>IFERROR(_xlfn.XLOOKUP(Table6[[#This Row],[Affected WTG]],'Basic Data'!$A:$A,'Basic Data'!$B:$B),"")</f>
        <v>TQGXIIPL</v>
      </c>
      <c r="I687" s="35" t="str">
        <f>IFERROR(_xlfn.XLOOKUP(Table6[[#This Row],[Affected WTG]],'Basic Data'!$A:$A,'Basic Data'!$C:$C),"")</f>
        <v>GEDA</v>
      </c>
      <c r="J687" s="260">
        <f>IFERROR(_xlfn.XLOOKUP(Table6[[#This Row],[Affected WTG]],'Basic Data'!$A:$A,'Basic Data'!$E:$E),"")</f>
        <v>3.846153846153845E-2</v>
      </c>
      <c r="K687" s="102">
        <v>55</v>
      </c>
      <c r="L687" s="35" t="str">
        <f>IFERROR(_xlfn.XLOOKUP(Table6[[#This Row],[Error Code]],'Basic Data'!$AA:$AA,'Basic Data'!$AB:$AB),"Incorrect Error Code")</f>
        <v>WTG shut down</v>
      </c>
      <c r="M687" s="35" t="s">
        <v>430</v>
      </c>
      <c r="N687" s="264"/>
      <c r="O687" s="265">
        <v>0.72638888888888886</v>
      </c>
      <c r="P687" s="265">
        <v>0.72638888888888886</v>
      </c>
      <c r="Q687" s="266">
        <v>0.73472222222222228</v>
      </c>
      <c r="R687" s="261">
        <f>IF(Table6[[#This Row],[Work Start TimeStamp]]="","",(Table6[[#This Row],[Work Start TimeStamp]]-Table6[[#This Row],[Fault Start TimeStamp]])*24)</f>
        <v>0</v>
      </c>
      <c r="S687" s="261">
        <f>(Table6[[#This Row],[Fault Clearance time]]-Table6[[#This Row],[Work Start TimeStamp]])*24</f>
        <v>0.20000000000000195</v>
      </c>
      <c r="T687" s="261">
        <f>(Table6[[#This Row],[Fault Clearance time]]-Table6[[#This Row],[Fault Start TimeStamp]])*24</f>
        <v>0.20000000000000195</v>
      </c>
      <c r="U687" s="35" t="s">
        <v>431</v>
      </c>
      <c r="V687" s="102" t="s">
        <v>268</v>
      </c>
      <c r="W687" s="267">
        <f>IFERROR(Table6[[#This Row],[Breakdown Time]]*Table6[[#This Row],[Plant Equivalent Weightage]],"")</f>
        <v>7.6923076923077647E-3</v>
      </c>
      <c r="X687" s="262" t="s">
        <v>296</v>
      </c>
      <c r="Y687" s="263" t="s">
        <v>135</v>
      </c>
      <c r="Z687" s="102">
        <v>9404</v>
      </c>
      <c r="AA687" s="257">
        <f>(Table6[[#This Row],[Paired WTG Generation for loss calculation]]/24)*Table6[[#This Row],[Breakdown Time]]</f>
        <v>78.366666666667427</v>
      </c>
      <c r="AB687" s="102"/>
      <c r="AC687" s="35"/>
      <c r="AD687" s="35"/>
    </row>
    <row r="688" spans="1:30">
      <c r="A688" s="102">
        <f t="shared" si="11"/>
        <v>687</v>
      </c>
      <c r="B688" s="257">
        <f>YEAR(Table6[[#This Row],[Date]])+IF(MONTH(Table6[[#This Row],[Date]])&gt;=4,1,0)</f>
        <v>2026</v>
      </c>
      <c r="C688" s="102">
        <f>YEAR(Table6[[#This Row],[Date]])</f>
        <v>2025</v>
      </c>
      <c r="D688" s="102" t="s">
        <v>265</v>
      </c>
      <c r="E688" s="258">
        <f>Table6[[#This Row],[Date]]-DAY(Table6[[#This Row],[Date]])+1</f>
        <v>45778</v>
      </c>
      <c r="F688" s="259">
        <v>45788</v>
      </c>
      <c r="G688" s="35" t="s">
        <v>121</v>
      </c>
      <c r="H688" s="35" t="str">
        <f>IFERROR(_xlfn.XLOOKUP(Table6[[#This Row],[Affected WTG]],'Basic Data'!$A:$A,'Basic Data'!$B:$B),"")</f>
        <v>TQGXIIPL</v>
      </c>
      <c r="I688" s="35" t="str">
        <f>IFERROR(_xlfn.XLOOKUP(Table6[[#This Row],[Affected WTG]],'Basic Data'!$A:$A,'Basic Data'!$C:$C),"")</f>
        <v>GEDA</v>
      </c>
      <c r="J688" s="260">
        <f>IFERROR(_xlfn.XLOOKUP(Table6[[#This Row],[Affected WTG]],'Basic Data'!$A:$A,'Basic Data'!$E:$E),"")</f>
        <v>3.846153846153845E-2</v>
      </c>
      <c r="K688" s="102">
        <v>55</v>
      </c>
      <c r="L688" s="35" t="str">
        <f>IFERROR(_xlfn.XLOOKUP(Table6[[#This Row],[Error Code]],'Basic Data'!$AA:$AA,'Basic Data'!$AB:$AB),"Incorrect Error Code")</f>
        <v>WTG shut down</v>
      </c>
      <c r="M688" s="35" t="s">
        <v>430</v>
      </c>
      <c r="N688" s="264"/>
      <c r="O688" s="265">
        <v>0.72638888888888886</v>
      </c>
      <c r="P688" s="265">
        <v>0.72638888888888886</v>
      </c>
      <c r="Q688" s="266">
        <v>0.7368055555555556</v>
      </c>
      <c r="R688" s="261">
        <f>IF(Table6[[#This Row],[Work Start TimeStamp]]="","",(Table6[[#This Row],[Work Start TimeStamp]]-Table6[[#This Row],[Fault Start TimeStamp]])*24)</f>
        <v>0</v>
      </c>
      <c r="S688" s="261">
        <f>(Table6[[#This Row],[Fault Clearance time]]-Table6[[#This Row],[Work Start TimeStamp]])*24</f>
        <v>0.25000000000000178</v>
      </c>
      <c r="T688" s="261">
        <f>(Table6[[#This Row],[Fault Clearance time]]-Table6[[#This Row],[Fault Start TimeStamp]])*24</f>
        <v>0.25000000000000178</v>
      </c>
      <c r="U688" s="35" t="s">
        <v>431</v>
      </c>
      <c r="V688" s="102" t="s">
        <v>268</v>
      </c>
      <c r="W688" s="267">
        <f>IFERROR(Table6[[#This Row],[Breakdown Time]]*Table6[[#This Row],[Plant Equivalent Weightage]],"")</f>
        <v>9.6153846153846801E-3</v>
      </c>
      <c r="X688" s="262" t="s">
        <v>296</v>
      </c>
      <c r="Y688" s="263" t="s">
        <v>118</v>
      </c>
      <c r="Z688" s="102">
        <v>14944</v>
      </c>
      <c r="AA688" s="257">
        <f>(Table6[[#This Row],[Paired WTG Generation for loss calculation]]/24)*Table6[[#This Row],[Breakdown Time]]</f>
        <v>155.66666666666777</v>
      </c>
      <c r="AB688" s="102"/>
      <c r="AC688" s="35"/>
      <c r="AD688" s="35"/>
    </row>
    <row r="689" spans="1:30">
      <c r="A689" s="102">
        <f t="shared" si="11"/>
        <v>688</v>
      </c>
      <c r="B689" s="257">
        <f>YEAR(Table6[[#This Row],[Date]])+IF(MONTH(Table6[[#This Row],[Date]])&gt;=4,1,0)</f>
        <v>2026</v>
      </c>
      <c r="C689" s="102">
        <f>YEAR(Table6[[#This Row],[Date]])</f>
        <v>2025</v>
      </c>
      <c r="D689" s="102" t="s">
        <v>265</v>
      </c>
      <c r="E689" s="258">
        <f>Table6[[#This Row],[Date]]-DAY(Table6[[#This Row],[Date]])+1</f>
        <v>45778</v>
      </c>
      <c r="F689" s="259">
        <v>45788</v>
      </c>
      <c r="G689" s="35" t="s">
        <v>126</v>
      </c>
      <c r="H689" s="35" t="str">
        <f>IFERROR(_xlfn.XLOOKUP(Table6[[#This Row],[Affected WTG]],'Basic Data'!$A:$A,'Basic Data'!$B:$B),"")</f>
        <v>TQGXIIPL</v>
      </c>
      <c r="I689" s="35" t="str">
        <f>IFERROR(_xlfn.XLOOKUP(Table6[[#This Row],[Affected WTG]],'Basic Data'!$A:$A,'Basic Data'!$C:$C),"")</f>
        <v>GEDA</v>
      </c>
      <c r="J689" s="260">
        <f>IFERROR(_xlfn.XLOOKUP(Table6[[#This Row],[Affected WTG]],'Basic Data'!$A:$A,'Basic Data'!$E:$E),"")</f>
        <v>3.846153846153845E-2</v>
      </c>
      <c r="K689" s="102">
        <v>5506</v>
      </c>
      <c r="L689" s="35" t="str">
        <f>IFERROR(_xlfn.XLOOKUP(Table6[[#This Row],[Error Code]],'Basic Data'!$AA:$AA,'Basic Data'!$AB:$AB),"Incorrect Error Code")</f>
        <v>Rot.br. press. high</v>
      </c>
      <c r="M689" s="35" t="s">
        <v>266</v>
      </c>
      <c r="N689" s="264"/>
      <c r="O689" s="265">
        <v>0.76597222222222228</v>
      </c>
      <c r="P689" s="265">
        <v>0.76597222222222228</v>
      </c>
      <c r="Q689" s="266">
        <v>1</v>
      </c>
      <c r="R689" s="261">
        <f>IF(Table6[[#This Row],[Work Start TimeStamp]]="","",(Table6[[#This Row],[Work Start TimeStamp]]-Table6[[#This Row],[Fault Start TimeStamp]])*24)</f>
        <v>0</v>
      </c>
      <c r="S689" s="261">
        <f>(Table6[[#This Row],[Fault Clearance time]]-Table6[[#This Row],[Work Start TimeStamp]])*24</f>
        <v>5.6166666666666654</v>
      </c>
      <c r="T689" s="261">
        <f>(Table6[[#This Row],[Fault Clearance time]]-Table6[[#This Row],[Fault Start TimeStamp]])*24</f>
        <v>5.6166666666666654</v>
      </c>
      <c r="U689" s="35" t="s">
        <v>432</v>
      </c>
      <c r="V689" s="102" t="s">
        <v>357</v>
      </c>
      <c r="W689" s="267">
        <f>IFERROR(Table6[[#This Row],[Breakdown Time]]*Table6[[#This Row],[Plant Equivalent Weightage]],"")</f>
        <v>0.2160256410256409</v>
      </c>
      <c r="X689" s="262" t="s">
        <v>296</v>
      </c>
      <c r="Y689" s="263" t="s">
        <v>128</v>
      </c>
      <c r="Z689" s="102">
        <v>10415</v>
      </c>
      <c r="AA689" s="257">
        <f>(Table6[[#This Row],[Paired WTG Generation for loss calculation]]/24)*Table6[[#This Row],[Breakdown Time]]</f>
        <v>2437.3993055555547</v>
      </c>
      <c r="AB689" s="102"/>
      <c r="AC689" s="35"/>
      <c r="AD689" s="35"/>
    </row>
    <row r="690" spans="1:30">
      <c r="A690" s="102">
        <f t="shared" si="11"/>
        <v>689</v>
      </c>
      <c r="B690" s="257">
        <f>YEAR(Table6[[#This Row],[Date]])+IF(MONTH(Table6[[#This Row],[Date]])&gt;=4,1,0)</f>
        <v>2026</v>
      </c>
      <c r="C690" s="102">
        <f>YEAR(Table6[[#This Row],[Date]])</f>
        <v>2025</v>
      </c>
      <c r="D690" s="102" t="s">
        <v>265</v>
      </c>
      <c r="E690" s="258">
        <f>Table6[[#This Row],[Date]]-DAY(Table6[[#This Row],[Date]])+1</f>
        <v>45778</v>
      </c>
      <c r="F690" s="259">
        <v>45788</v>
      </c>
      <c r="G690" s="35" t="s">
        <v>130</v>
      </c>
      <c r="H690" s="35" t="str">
        <f>IFERROR(_xlfn.XLOOKUP(Table6[[#This Row],[Affected WTG]],'Basic Data'!$A:$A,'Basic Data'!$B:$B),"")</f>
        <v>TQGXIIPL</v>
      </c>
      <c r="I690" s="35" t="str">
        <f>IFERROR(_xlfn.XLOOKUP(Table6[[#This Row],[Affected WTG]],'Basic Data'!$A:$A,'Basic Data'!$C:$C),"")</f>
        <v>GEDA</v>
      </c>
      <c r="J690" s="260">
        <f>IFERROR(_xlfn.XLOOKUP(Table6[[#This Row],[Affected WTG]],'Basic Data'!$A:$A,'Basic Data'!$E:$E),"")</f>
        <v>3.846153846153845E-2</v>
      </c>
      <c r="K690" s="102">
        <v>675</v>
      </c>
      <c r="L690" s="35" t="str">
        <f>IFERROR(_xlfn.XLOOKUP(Table6[[#This Row],[Error Code]],'Basic Data'!$AA:$AA,'Basic Data'!$AB:$AB),"Incorrect Error Code")</f>
        <v>Pitch measuring system 1&gt;&lt;2</v>
      </c>
      <c r="M690" s="35" t="s">
        <v>266</v>
      </c>
      <c r="N690" s="264"/>
      <c r="O690" s="265">
        <v>0.72638888888888886</v>
      </c>
      <c r="P690" s="265">
        <v>0.72638888888888886</v>
      </c>
      <c r="Q690" s="266">
        <v>0.76041666666666663</v>
      </c>
      <c r="R690" s="261">
        <f>IF(Table6[[#This Row],[Work Start TimeStamp]]="","",(Table6[[#This Row],[Work Start TimeStamp]]-Table6[[#This Row],[Fault Start TimeStamp]])*24)</f>
        <v>0</v>
      </c>
      <c r="S690" s="261">
        <f>(Table6[[#This Row],[Fault Clearance time]]-Table6[[#This Row],[Work Start TimeStamp]])*24</f>
        <v>0.81666666666666643</v>
      </c>
      <c r="T690" s="261">
        <f>(Table6[[#This Row],[Fault Clearance time]]-Table6[[#This Row],[Fault Start TimeStamp]])*24</f>
        <v>0.81666666666666643</v>
      </c>
      <c r="U690" s="35" t="s">
        <v>433</v>
      </c>
      <c r="V690" s="102" t="s">
        <v>268</v>
      </c>
      <c r="W690" s="267">
        <f>IFERROR(Table6[[#This Row],[Breakdown Time]]*Table6[[#This Row],[Plant Equivalent Weightage]],"")</f>
        <v>3.1410256410256389E-2</v>
      </c>
      <c r="X690" s="262" t="s">
        <v>296</v>
      </c>
      <c r="Y690" s="263" t="s">
        <v>135</v>
      </c>
      <c r="Z690" s="102">
        <v>9404</v>
      </c>
      <c r="AA690" s="257">
        <f>(Table6[[#This Row],[Paired WTG Generation for loss calculation]]/24)*Table6[[#This Row],[Breakdown Time]]</f>
        <v>319.99722222222209</v>
      </c>
      <c r="AB690" s="102"/>
      <c r="AC690" s="35"/>
      <c r="AD690" s="35"/>
    </row>
    <row r="691" spans="1:30">
      <c r="A691" s="102">
        <f t="shared" si="11"/>
        <v>690</v>
      </c>
      <c r="B691" s="257">
        <f>YEAR(Table6[[#This Row],[Date]])+IF(MONTH(Table6[[#This Row],[Date]])&gt;=4,1,0)</f>
        <v>2026</v>
      </c>
      <c r="C691" s="102">
        <f>YEAR(Table6[[#This Row],[Date]])</f>
        <v>2025</v>
      </c>
      <c r="D691" s="102" t="s">
        <v>265</v>
      </c>
      <c r="E691" s="258">
        <f>Table6[[#This Row],[Date]]-DAY(Table6[[#This Row],[Date]])+1</f>
        <v>45778</v>
      </c>
      <c r="F691" s="259">
        <v>45788</v>
      </c>
      <c r="G691" s="35" t="s">
        <v>135</v>
      </c>
      <c r="H691" s="35" t="str">
        <f>IFERROR(_xlfn.XLOOKUP(Table6[[#This Row],[Affected WTG]],'Basic Data'!$A:$A,'Basic Data'!$B:$B),"")</f>
        <v>TQGXIIPL</v>
      </c>
      <c r="I691" s="35" t="str">
        <f>IFERROR(_xlfn.XLOOKUP(Table6[[#This Row],[Affected WTG]],'Basic Data'!$A:$A,'Basic Data'!$C:$C),"")</f>
        <v>GEDA</v>
      </c>
      <c r="J691" s="260">
        <f>IFERROR(_xlfn.XLOOKUP(Table6[[#This Row],[Affected WTG]],'Basic Data'!$A:$A,'Basic Data'!$E:$E),"")</f>
        <v>3.846153846153845E-2</v>
      </c>
      <c r="K691" s="102">
        <v>3500</v>
      </c>
      <c r="L691" s="35" t="str">
        <f>IFERROR(_xlfn.XLOOKUP(Table6[[#This Row],[Error Code]],'Basic Data'!$AA:$AA,'Basic Data'!$AB:$AB),"Incorrect Error Code")</f>
        <v>Grid loss</v>
      </c>
      <c r="M691" s="35" t="s">
        <v>430</v>
      </c>
      <c r="N691" s="264"/>
      <c r="O691" s="265">
        <v>0.72638888888888886</v>
      </c>
      <c r="P691" s="265">
        <v>0.72638888888888886</v>
      </c>
      <c r="Q691" s="266">
        <v>0.75069444444444444</v>
      </c>
      <c r="R691" s="261">
        <f>IF(Table6[[#This Row],[Work Start TimeStamp]]="","",(Table6[[#This Row],[Work Start TimeStamp]]-Table6[[#This Row],[Fault Start TimeStamp]])*24)</f>
        <v>0</v>
      </c>
      <c r="S691" s="261">
        <f>(Table6[[#This Row],[Fault Clearance time]]-Table6[[#This Row],[Work Start TimeStamp]])*24</f>
        <v>0.58333333333333393</v>
      </c>
      <c r="T691" s="261">
        <f>(Table6[[#This Row],[Fault Clearance time]]-Table6[[#This Row],[Fault Start TimeStamp]])*24</f>
        <v>0.58333333333333393</v>
      </c>
      <c r="U691" s="35" t="s">
        <v>431</v>
      </c>
      <c r="V691" s="102" t="s">
        <v>268</v>
      </c>
      <c r="W691" s="267">
        <f>IFERROR(Table6[[#This Row],[Breakdown Time]]*Table6[[#This Row],[Plant Equivalent Weightage]],"")</f>
        <v>2.2435897435897453E-2</v>
      </c>
      <c r="X691" s="262" t="s">
        <v>296</v>
      </c>
      <c r="Y691" s="263" t="s">
        <v>120</v>
      </c>
      <c r="Z691" s="102">
        <v>12050</v>
      </c>
      <c r="AA691" s="257">
        <f>(Table6[[#This Row],[Paired WTG Generation for loss calculation]]/24)*Table6[[#This Row],[Breakdown Time]]</f>
        <v>292.88194444444474</v>
      </c>
      <c r="AB691" s="102"/>
      <c r="AC691" s="35"/>
      <c r="AD691" s="35"/>
    </row>
    <row r="692" spans="1:30">
      <c r="A692" s="102">
        <f t="shared" si="11"/>
        <v>691</v>
      </c>
      <c r="B692" s="257">
        <f>YEAR(Table6[[#This Row],[Date]])+IF(MONTH(Table6[[#This Row],[Date]])&gt;=4,1,0)</f>
        <v>2026</v>
      </c>
      <c r="C692" s="102">
        <f>YEAR(Table6[[#This Row],[Date]])</f>
        <v>2025</v>
      </c>
      <c r="D692" s="102" t="s">
        <v>265</v>
      </c>
      <c r="E692" s="258">
        <f>Table6[[#This Row],[Date]]-DAY(Table6[[#This Row],[Date]])+1</f>
        <v>45778</v>
      </c>
      <c r="F692" s="259">
        <v>45788</v>
      </c>
      <c r="G692" s="35" t="s">
        <v>133</v>
      </c>
      <c r="H692" s="35" t="str">
        <f>IFERROR(_xlfn.XLOOKUP(Table6[[#This Row],[Affected WTG]],'Basic Data'!$A:$A,'Basic Data'!$B:$B),"")</f>
        <v>TQGXIIPL</v>
      </c>
      <c r="I692" s="35" t="str">
        <f>IFERROR(_xlfn.XLOOKUP(Table6[[#This Row],[Affected WTG]],'Basic Data'!$A:$A,'Basic Data'!$C:$C),"")</f>
        <v>GEDA</v>
      </c>
      <c r="J692" s="260">
        <f>IFERROR(_xlfn.XLOOKUP(Table6[[#This Row],[Affected WTG]],'Basic Data'!$A:$A,'Basic Data'!$E:$E),"")</f>
        <v>3.846153846153845E-2</v>
      </c>
      <c r="K692" s="102">
        <v>660</v>
      </c>
      <c r="L692" s="35" t="str">
        <f>IFERROR(_xlfn.XLOOKUP(Table6[[#This Row],[Error Code]],'Basic Data'!$AA:$AA,'Basic Data'!$AB:$AB),"Incorrect Error Code")</f>
        <v>Limit switches error 91°</v>
      </c>
      <c r="M692" s="35" t="s">
        <v>266</v>
      </c>
      <c r="N692" s="264"/>
      <c r="O692" s="265">
        <v>0.80625000000000002</v>
      </c>
      <c r="P692" s="265">
        <v>0.80625000000000002</v>
      </c>
      <c r="Q692" s="266">
        <v>0.91527777777777775</v>
      </c>
      <c r="R692" s="261">
        <f>IF(Table6[[#This Row],[Work Start TimeStamp]]="","",(Table6[[#This Row],[Work Start TimeStamp]]-Table6[[#This Row],[Fault Start TimeStamp]])*24)</f>
        <v>0</v>
      </c>
      <c r="S692" s="261">
        <f>(Table6[[#This Row],[Fault Clearance time]]-Table6[[#This Row],[Work Start TimeStamp]])*24</f>
        <v>2.6166666666666654</v>
      </c>
      <c r="T692" s="261">
        <f>(Table6[[#This Row],[Fault Clearance time]]-Table6[[#This Row],[Fault Start TimeStamp]])*24</f>
        <v>2.6166666666666654</v>
      </c>
      <c r="U692" s="35" t="s">
        <v>434</v>
      </c>
      <c r="V692" s="102" t="s">
        <v>268</v>
      </c>
      <c r="W692" s="267">
        <f>IFERROR(Table6[[#This Row],[Breakdown Time]]*Table6[[#This Row],[Plant Equivalent Weightage]],"")</f>
        <v>0.10064102564102556</v>
      </c>
      <c r="X692" s="262" t="s">
        <v>296</v>
      </c>
      <c r="Y692" s="263" t="s">
        <v>121</v>
      </c>
      <c r="Z692" s="102">
        <v>12314</v>
      </c>
      <c r="AA692" s="257">
        <f>(Table6[[#This Row],[Paired WTG Generation for loss calculation]]/24)*Table6[[#This Row],[Breakdown Time]]</f>
        <v>1342.568055555555</v>
      </c>
      <c r="AB692" s="102"/>
      <c r="AC692" s="35"/>
      <c r="AD692" s="35"/>
    </row>
    <row r="693" spans="1:30">
      <c r="A693" s="102">
        <f t="shared" si="11"/>
        <v>692</v>
      </c>
      <c r="B693" s="257">
        <f>YEAR(Table6[[#This Row],[Date]])+IF(MONTH(Table6[[#This Row],[Date]])&gt;=4,1,0)</f>
        <v>2026</v>
      </c>
      <c r="C693" s="102">
        <f>YEAR(Table6[[#This Row],[Date]])</f>
        <v>2025</v>
      </c>
      <c r="D693" s="102" t="s">
        <v>265</v>
      </c>
      <c r="E693" s="258">
        <f>Table6[[#This Row],[Date]]-DAY(Table6[[#This Row],[Date]])+1</f>
        <v>45778</v>
      </c>
      <c r="F693" s="259">
        <v>45788</v>
      </c>
      <c r="G693" s="35" t="s">
        <v>134</v>
      </c>
      <c r="H693" s="35" t="str">
        <f>IFERROR(_xlfn.XLOOKUP(Table6[[#This Row],[Affected WTG]],'Basic Data'!$A:$A,'Basic Data'!$B:$B),"")</f>
        <v>TQGXIIPL</v>
      </c>
      <c r="I693" s="35" t="str">
        <f>IFERROR(_xlfn.XLOOKUP(Table6[[#This Row],[Affected WTG]],'Basic Data'!$A:$A,'Basic Data'!$C:$C),"")</f>
        <v>GEDA</v>
      </c>
      <c r="J693" s="260">
        <f>IFERROR(_xlfn.XLOOKUP(Table6[[#This Row],[Affected WTG]],'Basic Data'!$A:$A,'Basic Data'!$E:$E),"")</f>
        <v>3.846153846153845E-2</v>
      </c>
      <c r="K693" s="102">
        <v>55</v>
      </c>
      <c r="L693" s="35" t="str">
        <f>IFERROR(_xlfn.XLOOKUP(Table6[[#This Row],[Error Code]],'Basic Data'!$AA:$AA,'Basic Data'!$AB:$AB),"Incorrect Error Code")</f>
        <v>WTG shut down</v>
      </c>
      <c r="M693" s="35" t="s">
        <v>430</v>
      </c>
      <c r="N693" s="264"/>
      <c r="O693" s="265">
        <v>0.72638888888888886</v>
      </c>
      <c r="P693" s="265">
        <v>0.72638888888888886</v>
      </c>
      <c r="Q693" s="266">
        <v>0.73611111111111116</v>
      </c>
      <c r="R693" s="261">
        <f>IF(Table6[[#This Row],[Work Start TimeStamp]]="","",(Table6[[#This Row],[Work Start TimeStamp]]-Table6[[#This Row],[Fault Start TimeStamp]])*24)</f>
        <v>0</v>
      </c>
      <c r="S693" s="261">
        <f>(Table6[[#This Row],[Fault Clearance time]]-Table6[[#This Row],[Work Start TimeStamp]])*24</f>
        <v>0.23333333333333517</v>
      </c>
      <c r="T693" s="261">
        <f>(Table6[[#This Row],[Fault Clearance time]]-Table6[[#This Row],[Fault Start TimeStamp]])*24</f>
        <v>0.23333333333333517</v>
      </c>
      <c r="U693" s="35" t="s">
        <v>431</v>
      </c>
      <c r="V693" s="102" t="s">
        <v>268</v>
      </c>
      <c r="W693" s="267">
        <f>IFERROR(Table6[[#This Row],[Breakdown Time]]*Table6[[#This Row],[Plant Equivalent Weightage]],"")</f>
        <v>8.9743589743590414E-3</v>
      </c>
      <c r="X693" s="262" t="s">
        <v>296</v>
      </c>
      <c r="Y693" s="263" t="s">
        <v>138</v>
      </c>
      <c r="Z693" s="102">
        <v>10039</v>
      </c>
      <c r="AA693" s="257">
        <f>(Table6[[#This Row],[Paired WTG Generation for loss calculation]]/24)*Table6[[#This Row],[Breakdown Time]]</f>
        <v>97.601388888889659</v>
      </c>
      <c r="AB693" s="102"/>
      <c r="AC693" s="35"/>
      <c r="AD693" s="35"/>
    </row>
    <row r="694" spans="1:30">
      <c r="A694" s="102">
        <f t="shared" si="11"/>
        <v>693</v>
      </c>
      <c r="B694" s="257">
        <f>YEAR(Table6[[#This Row],[Date]])+IF(MONTH(Table6[[#This Row],[Date]])&gt;=4,1,0)</f>
        <v>2026</v>
      </c>
      <c r="C694" s="102">
        <f>YEAR(Table6[[#This Row],[Date]])</f>
        <v>2025</v>
      </c>
      <c r="D694" s="102" t="s">
        <v>265</v>
      </c>
      <c r="E694" s="258">
        <f>Table6[[#This Row],[Date]]-DAY(Table6[[#This Row],[Date]])+1</f>
        <v>45778</v>
      </c>
      <c r="F694" s="259">
        <v>45788</v>
      </c>
      <c r="G694" s="35" t="s">
        <v>136</v>
      </c>
      <c r="H694" s="35" t="str">
        <f>IFERROR(_xlfn.XLOOKUP(Table6[[#This Row],[Affected WTG]],'Basic Data'!$A:$A,'Basic Data'!$B:$B),"")</f>
        <v>TQGXIIPL</v>
      </c>
      <c r="I694" s="35" t="str">
        <f>IFERROR(_xlfn.XLOOKUP(Table6[[#This Row],[Affected WTG]],'Basic Data'!$A:$A,'Basic Data'!$C:$C),"")</f>
        <v>GEDA</v>
      </c>
      <c r="J694" s="260">
        <f>IFERROR(_xlfn.XLOOKUP(Table6[[#This Row],[Affected WTG]],'Basic Data'!$A:$A,'Basic Data'!$E:$E),"")</f>
        <v>3.846153846153845E-2</v>
      </c>
      <c r="K694" s="102">
        <v>55</v>
      </c>
      <c r="L694" s="35" t="str">
        <f>IFERROR(_xlfn.XLOOKUP(Table6[[#This Row],[Error Code]],'Basic Data'!$AA:$AA,'Basic Data'!$AB:$AB),"Incorrect Error Code")</f>
        <v>WTG shut down</v>
      </c>
      <c r="M694" s="35" t="s">
        <v>430</v>
      </c>
      <c r="N694" s="264"/>
      <c r="O694" s="265">
        <v>0.72638888888888886</v>
      </c>
      <c r="P694" s="265">
        <v>0.72638888888888886</v>
      </c>
      <c r="Q694" s="266">
        <v>0.75</v>
      </c>
      <c r="R694" s="261">
        <f>IF(Table6[[#This Row],[Work Start TimeStamp]]="","",(Table6[[#This Row],[Work Start TimeStamp]]-Table6[[#This Row],[Fault Start TimeStamp]])*24)</f>
        <v>0</v>
      </c>
      <c r="S694" s="261">
        <f>(Table6[[#This Row],[Fault Clearance time]]-Table6[[#This Row],[Work Start TimeStamp]])*24</f>
        <v>0.56666666666666732</v>
      </c>
      <c r="T694" s="261">
        <f>(Table6[[#This Row],[Fault Clearance time]]-Table6[[#This Row],[Fault Start TimeStamp]])*24</f>
        <v>0.56666666666666732</v>
      </c>
      <c r="U694" s="35" t="s">
        <v>431</v>
      </c>
      <c r="V694" s="102" t="s">
        <v>268</v>
      </c>
      <c r="W694" s="267">
        <f>IFERROR(Table6[[#This Row],[Breakdown Time]]*Table6[[#This Row],[Plant Equivalent Weightage]],"")</f>
        <v>2.1794871794871815E-2</v>
      </c>
      <c r="X694" s="262" t="s">
        <v>296</v>
      </c>
      <c r="Y694" s="263" t="s">
        <v>120</v>
      </c>
      <c r="Z694" s="102">
        <v>12050</v>
      </c>
      <c r="AA694" s="257">
        <f>(Table6[[#This Row],[Paired WTG Generation for loss calculation]]/24)*Table6[[#This Row],[Breakdown Time]]</f>
        <v>284.5138888888892</v>
      </c>
      <c r="AB694" s="102"/>
      <c r="AC694" s="35"/>
      <c r="AD694" s="35"/>
    </row>
    <row r="695" spans="1:30">
      <c r="A695" s="102">
        <f t="shared" si="11"/>
        <v>694</v>
      </c>
      <c r="B695" s="257">
        <f>YEAR(Table6[[#This Row],[Date]])+IF(MONTH(Table6[[#This Row],[Date]])&gt;=4,1,0)</f>
        <v>2026</v>
      </c>
      <c r="C695" s="102">
        <f>YEAR(Table6[[#This Row],[Date]])</f>
        <v>2025</v>
      </c>
      <c r="D695" s="102" t="s">
        <v>265</v>
      </c>
      <c r="E695" s="258">
        <f>Table6[[#This Row],[Date]]-DAY(Table6[[#This Row],[Date]])+1</f>
        <v>45778</v>
      </c>
      <c r="F695" s="259">
        <v>45788</v>
      </c>
      <c r="G695" s="35" t="s">
        <v>137</v>
      </c>
      <c r="H695" s="35" t="str">
        <f>IFERROR(_xlfn.XLOOKUP(Table6[[#This Row],[Affected WTG]],'Basic Data'!$A:$A,'Basic Data'!$B:$B),"")</f>
        <v>TQGXIIPL</v>
      </c>
      <c r="I695" s="35" t="str">
        <f>IFERROR(_xlfn.XLOOKUP(Table6[[#This Row],[Affected WTG]],'Basic Data'!$A:$A,'Basic Data'!$C:$C),"")</f>
        <v>GEDA</v>
      </c>
      <c r="J695" s="260">
        <f>IFERROR(_xlfn.XLOOKUP(Table6[[#This Row],[Affected WTG]],'Basic Data'!$A:$A,'Basic Data'!$E:$E),"")</f>
        <v>3.846153846153845E-2</v>
      </c>
      <c r="K695" s="102">
        <v>159</v>
      </c>
      <c r="L695" s="35" t="str">
        <f>IFERROR(_xlfn.XLOOKUP(Table6[[#This Row],[Error Code]],'Basic Data'!$AA:$AA,'Basic Data'!$AB:$AB),"Incorrect Error Code")</f>
        <v>SLC SF emergency stop</v>
      </c>
      <c r="M695" s="35" t="s">
        <v>266</v>
      </c>
      <c r="N695" s="264"/>
      <c r="O695" s="265">
        <v>0.58819444444444446</v>
      </c>
      <c r="P695" s="265">
        <v>0.58819444444444446</v>
      </c>
      <c r="Q695" s="266">
        <v>0.66249999999999998</v>
      </c>
      <c r="R695" s="261">
        <f>IF(Table6[[#This Row],[Work Start TimeStamp]]="","",(Table6[[#This Row],[Work Start TimeStamp]]-Table6[[#This Row],[Fault Start TimeStamp]])*24)</f>
        <v>0</v>
      </c>
      <c r="S695" s="261">
        <f>(Table6[[#This Row],[Fault Clearance time]]-Table6[[#This Row],[Work Start TimeStamp]])*24</f>
        <v>1.7833333333333323</v>
      </c>
      <c r="T695" s="261">
        <f>(Table6[[#This Row],[Fault Clearance time]]-Table6[[#This Row],[Fault Start TimeStamp]])*24</f>
        <v>1.7833333333333323</v>
      </c>
      <c r="U695" s="35" t="s">
        <v>435</v>
      </c>
      <c r="V695" s="102" t="s">
        <v>268</v>
      </c>
      <c r="W695" s="267">
        <f>IFERROR(Table6[[#This Row],[Breakdown Time]]*Table6[[#This Row],[Plant Equivalent Weightage]],"")</f>
        <v>6.8589743589743526E-2</v>
      </c>
      <c r="X695" s="262" t="s">
        <v>296</v>
      </c>
      <c r="Y695" s="263" t="s">
        <v>125</v>
      </c>
      <c r="Z695" s="102">
        <v>10160</v>
      </c>
      <c r="AA695" s="257">
        <f>(Table6[[#This Row],[Paired WTG Generation for loss calculation]]/24)*Table6[[#This Row],[Breakdown Time]]</f>
        <v>754.944444444444</v>
      </c>
      <c r="AB695" s="102"/>
      <c r="AC695" s="35"/>
      <c r="AD695" s="35"/>
    </row>
    <row r="696" spans="1:30">
      <c r="A696" s="102">
        <f t="shared" si="11"/>
        <v>695</v>
      </c>
      <c r="B696" s="257">
        <f>YEAR(Table6[[#This Row],[Date]])+IF(MONTH(Table6[[#This Row],[Date]])&gt;=4,1,0)</f>
        <v>2026</v>
      </c>
      <c r="C696" s="102">
        <f>YEAR(Table6[[#This Row],[Date]])</f>
        <v>2025</v>
      </c>
      <c r="D696" s="102" t="s">
        <v>265</v>
      </c>
      <c r="E696" s="258">
        <f>Table6[[#This Row],[Date]]-DAY(Table6[[#This Row],[Date]])+1</f>
        <v>45778</v>
      </c>
      <c r="F696" s="259">
        <v>45788</v>
      </c>
      <c r="G696" s="35" t="s">
        <v>140</v>
      </c>
      <c r="H696" s="35" t="str">
        <f>IFERROR(_xlfn.XLOOKUP(Table6[[#This Row],[Affected WTG]],'Basic Data'!$A:$A,'Basic Data'!$B:$B),"")</f>
        <v>TQGXIIPL</v>
      </c>
      <c r="I696" s="35" t="str">
        <f>IFERROR(_xlfn.XLOOKUP(Table6[[#This Row],[Affected WTG]],'Basic Data'!$A:$A,'Basic Data'!$C:$C),"")</f>
        <v>GEDA</v>
      </c>
      <c r="J696" s="260">
        <f>IFERROR(_xlfn.XLOOKUP(Table6[[#This Row],[Affected WTG]],'Basic Data'!$A:$A,'Basic Data'!$E:$E),"")</f>
        <v>3.846153846153845E-2</v>
      </c>
      <c r="K696" s="102">
        <v>55</v>
      </c>
      <c r="L696" s="35" t="str">
        <f>IFERROR(_xlfn.XLOOKUP(Table6[[#This Row],[Error Code]],'Basic Data'!$AA:$AA,'Basic Data'!$AB:$AB),"Incorrect Error Code")</f>
        <v>WTG shut down</v>
      </c>
      <c r="M696" s="35" t="s">
        <v>300</v>
      </c>
      <c r="N696" s="264"/>
      <c r="O696" s="265">
        <v>0.69722222222222219</v>
      </c>
      <c r="P696" s="265">
        <v>0.69722222222222219</v>
      </c>
      <c r="Q696" s="266">
        <v>0.71875</v>
      </c>
      <c r="R696" s="261">
        <f>IF(Table6[[#This Row],[Work Start TimeStamp]]="","",(Table6[[#This Row],[Work Start TimeStamp]]-Table6[[#This Row],[Fault Start TimeStamp]])*24)</f>
        <v>0</v>
      </c>
      <c r="S696" s="261">
        <f>(Table6[[#This Row],[Fault Clearance time]]-Table6[[#This Row],[Work Start TimeStamp]])*24</f>
        <v>0.5166666666666675</v>
      </c>
      <c r="T696" s="261">
        <f>(Table6[[#This Row],[Fault Clearance time]]-Table6[[#This Row],[Fault Start TimeStamp]])*24</f>
        <v>0.5166666666666675</v>
      </c>
      <c r="U696" s="35" t="s">
        <v>385</v>
      </c>
      <c r="V696" s="102" t="s">
        <v>268</v>
      </c>
      <c r="W696" s="267">
        <f>IFERROR(Table6[[#This Row],[Breakdown Time]]*Table6[[#This Row],[Plant Equivalent Weightage]],"")</f>
        <v>1.9871794871794898E-2</v>
      </c>
      <c r="X696" s="262" t="s">
        <v>296</v>
      </c>
      <c r="Y696" s="263" t="s">
        <v>115</v>
      </c>
      <c r="Z696" s="102">
        <v>11784</v>
      </c>
      <c r="AA696" s="257">
        <f>(Table6[[#This Row],[Paired WTG Generation for loss calculation]]/24)*Table6[[#This Row],[Breakdown Time]]</f>
        <v>253.68333333333374</v>
      </c>
      <c r="AB696" s="102"/>
      <c r="AC696" s="35"/>
      <c r="AD696" s="35"/>
    </row>
    <row r="697" spans="1:30">
      <c r="A697" s="102">
        <f t="shared" si="11"/>
        <v>696</v>
      </c>
      <c r="B697" s="257">
        <f>YEAR(Table6[[#This Row],[Date]])+IF(MONTH(Table6[[#This Row],[Date]])&gt;=4,1,0)</f>
        <v>2026</v>
      </c>
      <c r="C697" s="102">
        <f>YEAR(Table6[[#This Row],[Date]])</f>
        <v>2025</v>
      </c>
      <c r="D697" s="102" t="s">
        <v>265</v>
      </c>
      <c r="E697" s="258">
        <f>Table6[[#This Row],[Date]]-DAY(Table6[[#This Row],[Date]])+1</f>
        <v>45778</v>
      </c>
      <c r="F697" s="259">
        <v>45789</v>
      </c>
      <c r="G697" s="35" t="s">
        <v>115</v>
      </c>
      <c r="H697" s="35" t="str">
        <f>IFERROR(_xlfn.XLOOKUP(Table6[[#This Row],[Affected WTG]],'Basic Data'!$A:$A,'Basic Data'!$B:$B),"")</f>
        <v>TQGXIIPL</v>
      </c>
      <c r="I697" s="35" t="str">
        <f>IFERROR(_xlfn.XLOOKUP(Table6[[#This Row],[Affected WTG]],'Basic Data'!$A:$A,'Basic Data'!$C:$C),"")</f>
        <v>GEDA</v>
      </c>
      <c r="J697" s="260">
        <f>IFERROR(_xlfn.XLOOKUP(Table6[[#This Row],[Affected WTG]],'Basic Data'!$A:$A,'Basic Data'!$E:$E),"")</f>
        <v>3.846153846153845E-2</v>
      </c>
      <c r="K697" s="102">
        <v>55</v>
      </c>
      <c r="L697" s="35" t="str">
        <f>IFERROR(_xlfn.XLOOKUP(Table6[[#This Row],[Error Code]],'Basic Data'!$AA:$AA,'Basic Data'!$AB:$AB),"Incorrect Error Code")</f>
        <v>WTG shut down</v>
      </c>
      <c r="M697" s="35" t="s">
        <v>300</v>
      </c>
      <c r="N697" s="264"/>
      <c r="O697" s="265">
        <v>0.65347222222222223</v>
      </c>
      <c r="P697" s="265">
        <v>0.65347222222222223</v>
      </c>
      <c r="Q697" s="266">
        <v>0.66388888888888886</v>
      </c>
      <c r="R697" s="261">
        <f>IF(Table6[[#This Row],[Work Start TimeStamp]]="","",(Table6[[#This Row],[Work Start TimeStamp]]-Table6[[#This Row],[Fault Start TimeStamp]])*24)</f>
        <v>0</v>
      </c>
      <c r="S697" s="261">
        <f>(Table6[[#This Row],[Fault Clearance time]]-Table6[[#This Row],[Work Start TimeStamp]])*24</f>
        <v>0.24999999999999911</v>
      </c>
      <c r="T697" s="261">
        <f>(Table6[[#This Row],[Fault Clearance time]]-Table6[[#This Row],[Fault Start TimeStamp]])*24</f>
        <v>0.24999999999999911</v>
      </c>
      <c r="U697" s="35" t="s">
        <v>385</v>
      </c>
      <c r="V697" s="102" t="s">
        <v>268</v>
      </c>
      <c r="W697" s="267">
        <f>IFERROR(Table6[[#This Row],[Breakdown Time]]*Table6[[#This Row],[Plant Equivalent Weightage]],"")</f>
        <v>9.6153846153845778E-3</v>
      </c>
      <c r="X697" s="262" t="s">
        <v>296</v>
      </c>
      <c r="Y697" s="263" t="s">
        <v>140</v>
      </c>
      <c r="Z697" s="102">
        <v>13322</v>
      </c>
      <c r="AA697" s="257">
        <f>(Table6[[#This Row],[Paired WTG Generation for loss calculation]]/24)*Table6[[#This Row],[Breakdown Time]]</f>
        <v>138.77083333333286</v>
      </c>
      <c r="AB697" s="102"/>
      <c r="AC697" s="35"/>
      <c r="AD697" s="35"/>
    </row>
    <row r="698" spans="1:30">
      <c r="A698" s="102">
        <f t="shared" si="11"/>
        <v>697</v>
      </c>
      <c r="B698" s="257">
        <f>YEAR(Table6[[#This Row],[Date]])+IF(MONTH(Table6[[#This Row],[Date]])&gt;=4,1,0)</f>
        <v>2026</v>
      </c>
      <c r="C698" s="102">
        <f>YEAR(Table6[[#This Row],[Date]])</f>
        <v>2025</v>
      </c>
      <c r="D698" s="102" t="s">
        <v>265</v>
      </c>
      <c r="E698" s="258">
        <f>Table6[[#This Row],[Date]]-DAY(Table6[[#This Row],[Date]])+1</f>
        <v>45778</v>
      </c>
      <c r="F698" s="259">
        <v>45789</v>
      </c>
      <c r="G698" s="35" t="s">
        <v>115</v>
      </c>
      <c r="H698" s="35" t="str">
        <f>IFERROR(_xlfn.XLOOKUP(Table6[[#This Row],[Affected WTG]],'Basic Data'!$A:$A,'Basic Data'!$B:$B),"")</f>
        <v>TQGXIIPL</v>
      </c>
      <c r="I698" s="35" t="str">
        <f>IFERROR(_xlfn.XLOOKUP(Table6[[#This Row],[Affected WTG]],'Basic Data'!$A:$A,'Basic Data'!$C:$C),"")</f>
        <v>GEDA</v>
      </c>
      <c r="J698" s="260">
        <f>IFERROR(_xlfn.XLOOKUP(Table6[[#This Row],[Affected WTG]],'Basic Data'!$A:$A,'Basic Data'!$E:$E),"")</f>
        <v>3.846153846153845E-2</v>
      </c>
      <c r="K698" s="102">
        <v>6130</v>
      </c>
      <c r="L698" s="35" t="str">
        <f>IFERROR(_xlfn.XLOOKUP(Table6[[#This Row],[Error Code]],'Basic Data'!$AA:$AA,'Basic Data'!$AB:$AB),"Incorrect Error Code")</f>
        <v>Yaw speed high</v>
      </c>
      <c r="M698" s="35" t="s">
        <v>278</v>
      </c>
      <c r="N698" s="264"/>
      <c r="O698" s="265">
        <v>0.67361111111111116</v>
      </c>
      <c r="P698" s="265">
        <v>0.67361111111111116</v>
      </c>
      <c r="Q698" s="266">
        <v>0.67777777777777781</v>
      </c>
      <c r="R698" s="261">
        <f>IF(Table6[[#This Row],[Work Start TimeStamp]]="","",(Table6[[#This Row],[Work Start TimeStamp]]-Table6[[#This Row],[Fault Start TimeStamp]])*24)</f>
        <v>0</v>
      </c>
      <c r="S698" s="261">
        <f>(Table6[[#This Row],[Fault Clearance time]]-Table6[[#This Row],[Work Start TimeStamp]])*24</f>
        <v>9.9999999999999645E-2</v>
      </c>
      <c r="T698" s="261">
        <f>(Table6[[#This Row],[Fault Clearance time]]-Table6[[#This Row],[Fault Start TimeStamp]])*24</f>
        <v>9.9999999999999645E-2</v>
      </c>
      <c r="U698" s="35" t="s">
        <v>277</v>
      </c>
      <c r="V698" s="102" t="s">
        <v>268</v>
      </c>
      <c r="W698" s="267">
        <f>IFERROR(Table6[[#This Row],[Breakdown Time]]*Table6[[#This Row],[Plant Equivalent Weightage]],"")</f>
        <v>3.8461538461538312E-3</v>
      </c>
      <c r="X698" s="262" t="s">
        <v>269</v>
      </c>
      <c r="Y698" s="263" t="s">
        <v>140</v>
      </c>
      <c r="Z698" s="102">
        <v>13322</v>
      </c>
      <c r="AA698" s="257">
        <f>(Table6[[#This Row],[Paired WTG Generation for loss calculation]]/24)*Table6[[#This Row],[Breakdown Time]]</f>
        <v>55.508333333333141</v>
      </c>
      <c r="AB698" s="102"/>
      <c r="AC698" s="35"/>
      <c r="AD698" s="35"/>
    </row>
    <row r="699" spans="1:30">
      <c r="A699" s="102">
        <f t="shared" si="11"/>
        <v>698</v>
      </c>
      <c r="B699" s="257">
        <f>YEAR(Table6[[#This Row],[Date]])+IF(MONTH(Table6[[#This Row],[Date]])&gt;=4,1,0)</f>
        <v>2026</v>
      </c>
      <c r="C699" s="102">
        <f>YEAR(Table6[[#This Row],[Date]])</f>
        <v>2025</v>
      </c>
      <c r="D699" s="102" t="s">
        <v>265</v>
      </c>
      <c r="E699" s="258">
        <f>Table6[[#This Row],[Date]]-DAY(Table6[[#This Row],[Date]])+1</f>
        <v>45778</v>
      </c>
      <c r="F699" s="259">
        <v>45789</v>
      </c>
      <c r="G699" s="35" t="s">
        <v>126</v>
      </c>
      <c r="H699" s="35" t="str">
        <f>IFERROR(_xlfn.XLOOKUP(Table6[[#This Row],[Affected WTG]],'Basic Data'!$A:$A,'Basic Data'!$B:$B),"")</f>
        <v>TQGXIIPL</v>
      </c>
      <c r="I699" s="35" t="str">
        <f>IFERROR(_xlfn.XLOOKUP(Table6[[#This Row],[Affected WTG]],'Basic Data'!$A:$A,'Basic Data'!$C:$C),"")</f>
        <v>GEDA</v>
      </c>
      <c r="J699" s="260">
        <f>IFERROR(_xlfn.XLOOKUP(Table6[[#This Row],[Affected WTG]],'Basic Data'!$A:$A,'Basic Data'!$E:$E),"")</f>
        <v>3.846153846153845E-2</v>
      </c>
      <c r="K699" s="102">
        <v>5506</v>
      </c>
      <c r="L699" s="35" t="str">
        <f>IFERROR(_xlfn.XLOOKUP(Table6[[#This Row],[Error Code]],'Basic Data'!$AA:$AA,'Basic Data'!$AB:$AB),"Incorrect Error Code")</f>
        <v>Rot.br. press. high</v>
      </c>
      <c r="M699" s="35" t="s">
        <v>266</v>
      </c>
      <c r="N699" s="264"/>
      <c r="O699" s="265">
        <v>0</v>
      </c>
      <c r="P699" s="265">
        <v>0</v>
      </c>
      <c r="Q699" s="266">
        <v>0.12013888888888889</v>
      </c>
      <c r="R699" s="261">
        <f>IF(Table6[[#This Row],[Work Start TimeStamp]]="","",(Table6[[#This Row],[Work Start TimeStamp]]-Table6[[#This Row],[Fault Start TimeStamp]])*24)</f>
        <v>0</v>
      </c>
      <c r="S699" s="261">
        <f>(Table6[[#This Row],[Fault Clearance time]]-Table6[[#This Row],[Work Start TimeStamp]])*24</f>
        <v>2.8833333333333333</v>
      </c>
      <c r="T699" s="261">
        <f>(Table6[[#This Row],[Fault Clearance time]]-Table6[[#This Row],[Fault Start TimeStamp]])*24</f>
        <v>2.8833333333333333</v>
      </c>
      <c r="U699" s="35" t="s">
        <v>436</v>
      </c>
      <c r="V699" s="102" t="s">
        <v>268</v>
      </c>
      <c r="W699" s="267">
        <f>IFERROR(Table6[[#This Row],[Breakdown Time]]*Table6[[#This Row],[Plant Equivalent Weightage]],"")</f>
        <v>0.11089743589743586</v>
      </c>
      <c r="X699" s="262" t="s">
        <v>296</v>
      </c>
      <c r="Y699" s="263" t="s">
        <v>128</v>
      </c>
      <c r="Z699" s="102">
        <v>11238</v>
      </c>
      <c r="AA699" s="257">
        <f>(Table6[[#This Row],[Paired WTG Generation for loss calculation]]/24)*Table6[[#This Row],[Breakdown Time]]</f>
        <v>1350.1208333333334</v>
      </c>
      <c r="AB699" s="102"/>
      <c r="AC699" s="35"/>
      <c r="AD699" s="35"/>
    </row>
    <row r="700" spans="1:30">
      <c r="A700" s="102">
        <f t="shared" si="11"/>
        <v>699</v>
      </c>
      <c r="B700" s="257">
        <f>YEAR(Table6[[#This Row],[Date]])+IF(MONTH(Table6[[#This Row],[Date]])&gt;=4,1,0)</f>
        <v>2026</v>
      </c>
      <c r="C700" s="102">
        <f>YEAR(Table6[[#This Row],[Date]])</f>
        <v>2025</v>
      </c>
      <c r="D700" s="102" t="s">
        <v>265</v>
      </c>
      <c r="E700" s="258">
        <f>Table6[[#This Row],[Date]]-DAY(Table6[[#This Row],[Date]])+1</f>
        <v>45778</v>
      </c>
      <c r="F700" s="259">
        <v>45789</v>
      </c>
      <c r="G700" s="35" t="s">
        <v>134</v>
      </c>
      <c r="H700" s="35" t="str">
        <f>IFERROR(_xlfn.XLOOKUP(Table6[[#This Row],[Affected WTG]],'Basic Data'!$A:$A,'Basic Data'!$B:$B),"")</f>
        <v>TQGXIIPL</v>
      </c>
      <c r="I700" s="35" t="str">
        <f>IFERROR(_xlfn.XLOOKUP(Table6[[#This Row],[Affected WTG]],'Basic Data'!$A:$A,'Basic Data'!$C:$C),"")</f>
        <v>GEDA</v>
      </c>
      <c r="J700" s="260">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278</v>
      </c>
      <c r="N700" s="264"/>
      <c r="O700" s="265">
        <v>0.4465277777777778</v>
      </c>
      <c r="P700" s="265">
        <v>0.4465277777777778</v>
      </c>
      <c r="Q700" s="266">
        <v>0.44791666666666669</v>
      </c>
      <c r="R700" s="261">
        <f>IF(Table6[[#This Row],[Work Start TimeStamp]]="","",(Table6[[#This Row],[Work Start TimeStamp]]-Table6[[#This Row],[Fault Start TimeStamp]])*24)</f>
        <v>0</v>
      </c>
      <c r="S700" s="261">
        <f>(Table6[[#This Row],[Fault Clearance time]]-Table6[[#This Row],[Work Start TimeStamp]])*24</f>
        <v>3.3333333333333215E-2</v>
      </c>
      <c r="T700" s="261">
        <f>(Table6[[#This Row],[Fault Clearance time]]-Table6[[#This Row],[Fault Start TimeStamp]])*24</f>
        <v>3.3333333333333215E-2</v>
      </c>
      <c r="U700" s="35" t="s">
        <v>293</v>
      </c>
      <c r="V700" s="102" t="s">
        <v>268</v>
      </c>
      <c r="W700" s="267">
        <f>IFERROR(Table6[[#This Row],[Breakdown Time]]*Table6[[#This Row],[Plant Equivalent Weightage]],"")</f>
        <v>1.2820512820512771E-3</v>
      </c>
      <c r="X700" s="262" t="s">
        <v>269</v>
      </c>
      <c r="Y700" s="263" t="s">
        <v>138</v>
      </c>
      <c r="Z700" s="102">
        <v>10435</v>
      </c>
      <c r="AA700" s="257">
        <f>(Table6[[#This Row],[Paired WTG Generation for loss calculation]]/24)*Table6[[#This Row],[Breakdown Time]]</f>
        <v>14.493055555555504</v>
      </c>
      <c r="AB700" s="102"/>
      <c r="AC700" s="35"/>
      <c r="AD700" s="35"/>
    </row>
    <row r="701" spans="1:30">
      <c r="A701" s="102">
        <f t="shared" si="11"/>
        <v>700</v>
      </c>
      <c r="B701" s="257">
        <f>YEAR(Table6[[#This Row],[Date]])+IF(MONTH(Table6[[#This Row],[Date]])&gt;=4,1,0)</f>
        <v>2026</v>
      </c>
      <c r="C701" s="102">
        <f>YEAR(Table6[[#This Row],[Date]])</f>
        <v>2025</v>
      </c>
      <c r="D701" s="102" t="s">
        <v>265</v>
      </c>
      <c r="E701" s="258">
        <f>Table6[[#This Row],[Date]]-DAY(Table6[[#This Row],[Date]])+1</f>
        <v>45778</v>
      </c>
      <c r="F701" s="259">
        <v>45789</v>
      </c>
      <c r="G701" s="35" t="s">
        <v>136</v>
      </c>
      <c r="H701" s="35" t="str">
        <f>IFERROR(_xlfn.XLOOKUP(Table6[[#This Row],[Affected WTG]],'Basic Data'!$A:$A,'Basic Data'!$B:$B),"")</f>
        <v>TQGXIIPL</v>
      </c>
      <c r="I701" s="35" t="str">
        <f>IFERROR(_xlfn.XLOOKUP(Table6[[#This Row],[Affected WTG]],'Basic Data'!$A:$A,'Basic Data'!$C:$C),"")</f>
        <v>GEDA</v>
      </c>
      <c r="J701" s="260">
        <f>IFERROR(_xlfn.XLOOKUP(Table6[[#This Row],[Affected WTG]],'Basic Data'!$A:$A,'Basic Data'!$E:$E),"")</f>
        <v>3.846153846153845E-2</v>
      </c>
      <c r="K701" s="102">
        <v>5510</v>
      </c>
      <c r="L701" s="35" t="str">
        <f>IFERROR(_xlfn.XLOOKUP(Table6[[#This Row],[Error Code]],'Basic Data'!$AA:$AA,'Basic Data'!$AB:$AB),"Incorrect Error Code")</f>
        <v>Low hydraulic pressure</v>
      </c>
      <c r="M701" s="35" t="s">
        <v>278</v>
      </c>
      <c r="N701" s="264"/>
      <c r="O701" s="265">
        <v>0.73750000000000004</v>
      </c>
      <c r="P701" s="265">
        <v>0.73750000000000004</v>
      </c>
      <c r="Q701" s="266">
        <v>0.73958333333333337</v>
      </c>
      <c r="R701" s="261">
        <f>IF(Table6[[#This Row],[Work Start TimeStamp]]="","",(Table6[[#This Row],[Work Start TimeStamp]]-Table6[[#This Row],[Fault Start TimeStamp]])*24)</f>
        <v>0</v>
      </c>
      <c r="S701" s="261">
        <f>(Table6[[#This Row],[Fault Clearance time]]-Table6[[#This Row],[Work Start TimeStamp]])*24</f>
        <v>4.9999999999999822E-2</v>
      </c>
      <c r="T701" s="261">
        <f>(Table6[[#This Row],[Fault Clearance time]]-Table6[[#This Row],[Fault Start TimeStamp]])*24</f>
        <v>4.9999999999999822E-2</v>
      </c>
      <c r="U701" s="35" t="s">
        <v>293</v>
      </c>
      <c r="V701" s="102" t="s">
        <v>268</v>
      </c>
      <c r="W701" s="267">
        <f>IFERROR(Table6[[#This Row],[Breakdown Time]]*Table6[[#This Row],[Plant Equivalent Weightage]],"")</f>
        <v>1.9230769230769156E-3</v>
      </c>
      <c r="X701" s="262" t="s">
        <v>269</v>
      </c>
      <c r="Y701" s="263" t="s">
        <v>120</v>
      </c>
      <c r="Z701" s="102">
        <v>11228</v>
      </c>
      <c r="AA701" s="257">
        <f>(Table6[[#This Row],[Paired WTG Generation for loss calculation]]/24)*Table6[[#This Row],[Breakdown Time]]</f>
        <v>23.391666666666584</v>
      </c>
      <c r="AB701" s="102"/>
      <c r="AC701" s="35"/>
      <c r="AD701" s="35"/>
    </row>
    <row r="702" spans="1:30">
      <c r="A702" s="102">
        <f t="shared" si="11"/>
        <v>701</v>
      </c>
      <c r="B702" s="257">
        <f>YEAR(Table6[[#This Row],[Date]])+IF(MONTH(Table6[[#This Row],[Date]])&gt;=4,1,0)</f>
        <v>2026</v>
      </c>
      <c r="C702" s="102">
        <f>YEAR(Table6[[#This Row],[Date]])</f>
        <v>2025</v>
      </c>
      <c r="D702" s="102" t="s">
        <v>265</v>
      </c>
      <c r="E702" s="258">
        <f>Table6[[#This Row],[Date]]-DAY(Table6[[#This Row],[Date]])+1</f>
        <v>45778</v>
      </c>
      <c r="F702" s="259">
        <v>45789</v>
      </c>
      <c r="G702" s="35" t="s">
        <v>140</v>
      </c>
      <c r="H702" s="35" t="str">
        <f>IFERROR(_xlfn.XLOOKUP(Table6[[#This Row],[Affected WTG]],'Basic Data'!$A:$A,'Basic Data'!$B:$B),"")</f>
        <v>TQGXIIPL</v>
      </c>
      <c r="I702" s="35" t="str">
        <f>IFERROR(_xlfn.XLOOKUP(Table6[[#This Row],[Affected WTG]],'Basic Data'!$A:$A,'Basic Data'!$C:$C),"")</f>
        <v>GEDA</v>
      </c>
      <c r="J702" s="260">
        <f>IFERROR(_xlfn.XLOOKUP(Table6[[#This Row],[Affected WTG]],'Basic Data'!$A:$A,'Basic Data'!$E:$E),"")</f>
        <v>3.846153846153845E-2</v>
      </c>
      <c r="K702" s="102">
        <v>55</v>
      </c>
      <c r="L702" s="35" t="str">
        <f>IFERROR(_xlfn.XLOOKUP(Table6[[#This Row],[Error Code]],'Basic Data'!$AA:$AA,'Basic Data'!$AB:$AB),"Incorrect Error Code")</f>
        <v>WTG shut down</v>
      </c>
      <c r="M702" s="35" t="s">
        <v>300</v>
      </c>
      <c r="N702" s="264"/>
      <c r="O702" s="265">
        <v>0.65416666666666667</v>
      </c>
      <c r="P702" s="265">
        <v>0.65416666666666667</v>
      </c>
      <c r="Q702" s="266">
        <v>0.66388888888888886</v>
      </c>
      <c r="R702" s="261">
        <f>IF(Table6[[#This Row],[Work Start TimeStamp]]="","",(Table6[[#This Row],[Work Start TimeStamp]]-Table6[[#This Row],[Fault Start TimeStamp]])*24)</f>
        <v>0</v>
      </c>
      <c r="S702" s="261">
        <f>(Table6[[#This Row],[Fault Clearance time]]-Table6[[#This Row],[Work Start TimeStamp]])*24</f>
        <v>0.2333333333333325</v>
      </c>
      <c r="T702" s="261">
        <f>(Table6[[#This Row],[Fault Clearance time]]-Table6[[#This Row],[Fault Start TimeStamp]])*24</f>
        <v>0.2333333333333325</v>
      </c>
      <c r="U702" s="35" t="s">
        <v>385</v>
      </c>
      <c r="V702" s="102" t="s">
        <v>268</v>
      </c>
      <c r="W702" s="267">
        <f>IFERROR(Table6[[#This Row],[Breakdown Time]]*Table6[[#This Row],[Plant Equivalent Weightage]],"")</f>
        <v>8.974358974358939E-3</v>
      </c>
      <c r="X702" s="262" t="s">
        <v>296</v>
      </c>
      <c r="Y702" s="263" t="s">
        <v>115</v>
      </c>
      <c r="Z702" s="102">
        <v>13179</v>
      </c>
      <c r="AA702" s="257">
        <f>(Table6[[#This Row],[Paired WTG Generation for loss calculation]]/24)*Table6[[#This Row],[Breakdown Time]]</f>
        <v>128.12916666666621</v>
      </c>
      <c r="AB702" s="102"/>
      <c r="AC702" s="35"/>
      <c r="AD702" s="35"/>
    </row>
    <row r="703" spans="1:30">
      <c r="A703" s="102">
        <f t="shared" si="11"/>
        <v>702</v>
      </c>
      <c r="B703" s="257">
        <f>YEAR(Table6[[#This Row],[Date]])+IF(MONTH(Table6[[#This Row],[Date]])&gt;=4,1,0)</f>
        <v>2026</v>
      </c>
      <c r="C703" s="102">
        <f>YEAR(Table6[[#This Row],[Date]])</f>
        <v>2025</v>
      </c>
      <c r="D703" s="102" t="s">
        <v>265</v>
      </c>
      <c r="E703" s="258">
        <f>Table6[[#This Row],[Date]]-DAY(Table6[[#This Row],[Date]])+1</f>
        <v>45778</v>
      </c>
      <c r="F703" s="259">
        <v>45790</v>
      </c>
      <c r="G703" s="35" t="s">
        <v>115</v>
      </c>
      <c r="H703" s="35" t="str">
        <f>IFERROR(_xlfn.XLOOKUP(Table6[[#This Row],[Affected WTG]],'Basic Data'!$A:$A,'Basic Data'!$B:$B),"")</f>
        <v>TQGXIIPL</v>
      </c>
      <c r="I703" s="35" t="str">
        <f>IFERROR(_xlfn.XLOOKUP(Table6[[#This Row],[Affected WTG]],'Basic Data'!$A:$A,'Basic Data'!$C:$C),"")</f>
        <v>GEDA</v>
      </c>
      <c r="J703" s="260">
        <f>IFERROR(_xlfn.XLOOKUP(Table6[[#This Row],[Affected WTG]],'Basic Data'!$A:$A,'Basic Data'!$E:$E),"")</f>
        <v>3.846153846153845E-2</v>
      </c>
      <c r="K703" s="102">
        <v>55</v>
      </c>
      <c r="L703" s="35" t="str">
        <f>IFERROR(_xlfn.XLOOKUP(Table6[[#This Row],[Error Code]],'Basic Data'!$AA:$AA,'Basic Data'!$AB:$AB),"Incorrect Error Code")</f>
        <v>WTG shut down</v>
      </c>
      <c r="M703" s="35" t="s">
        <v>316</v>
      </c>
      <c r="N703" s="264"/>
      <c r="O703" s="265">
        <v>0.37777777777777777</v>
      </c>
      <c r="P703" s="265">
        <v>0.37777777777777777</v>
      </c>
      <c r="Q703" s="266">
        <v>0.75</v>
      </c>
      <c r="R703" s="261">
        <f>IF(Table6[[#This Row],[Work Start TimeStamp]]="","",(Table6[[#This Row],[Work Start TimeStamp]]-Table6[[#This Row],[Fault Start TimeStamp]])*24)</f>
        <v>0</v>
      </c>
      <c r="S703" s="261">
        <f>(Table6[[#This Row],[Fault Clearance time]]-Table6[[#This Row],[Work Start TimeStamp]])*24</f>
        <v>8.9333333333333336</v>
      </c>
      <c r="T703" s="261">
        <f>(Table6[[#This Row],[Fault Clearance time]]-Table6[[#This Row],[Fault Start TimeStamp]])*24</f>
        <v>8.9333333333333336</v>
      </c>
      <c r="U703" s="35" t="s">
        <v>437</v>
      </c>
      <c r="V703" s="102" t="s">
        <v>268</v>
      </c>
      <c r="W703" s="267">
        <f>IFERROR(Table6[[#This Row],[Breakdown Time]]*Table6[[#This Row],[Plant Equivalent Weightage]],"")</f>
        <v>0.34358974358974348</v>
      </c>
      <c r="X703" s="262" t="s">
        <v>296</v>
      </c>
      <c r="Y703" s="263" t="s">
        <v>140</v>
      </c>
      <c r="Z703" s="102">
        <v>15898</v>
      </c>
      <c r="AA703" s="257">
        <f>(Table6[[#This Row],[Paired WTG Generation for loss calculation]]/24)*Table6[[#This Row],[Breakdown Time]]</f>
        <v>5917.5888888888885</v>
      </c>
      <c r="AB703" s="102"/>
      <c r="AC703" s="35"/>
      <c r="AD703" s="35"/>
    </row>
    <row r="704" spans="1:30">
      <c r="A704" s="102">
        <f t="shared" si="11"/>
        <v>703</v>
      </c>
      <c r="B704" s="257">
        <f>YEAR(Table6[[#This Row],[Date]])+IF(MONTH(Table6[[#This Row],[Date]])&gt;=4,1,0)</f>
        <v>2026</v>
      </c>
      <c r="C704" s="102">
        <f>YEAR(Table6[[#This Row],[Date]])</f>
        <v>2025</v>
      </c>
      <c r="D704" s="102" t="s">
        <v>265</v>
      </c>
      <c r="E704" s="258">
        <f>Table6[[#This Row],[Date]]-DAY(Table6[[#This Row],[Date]])+1</f>
        <v>45778</v>
      </c>
      <c r="F704" s="259">
        <v>45790</v>
      </c>
      <c r="G704" s="35" t="s">
        <v>119</v>
      </c>
      <c r="H704" s="35" t="str">
        <f>IFERROR(_xlfn.XLOOKUP(Table6[[#This Row],[Affected WTG]],'Basic Data'!$A:$A,'Basic Data'!$B:$B),"")</f>
        <v>TQGXIIPL</v>
      </c>
      <c r="I704" s="35" t="str">
        <f>IFERROR(_xlfn.XLOOKUP(Table6[[#This Row],[Affected WTG]],'Basic Data'!$A:$A,'Basic Data'!$C:$C),"")</f>
        <v>GEDA</v>
      </c>
      <c r="J704" s="260">
        <f>IFERROR(_xlfn.XLOOKUP(Table6[[#This Row],[Affected WTG]],'Basic Data'!$A:$A,'Basic Data'!$E:$E),"")</f>
        <v>3.846153846153845E-2</v>
      </c>
      <c r="K704" s="102">
        <v>2521</v>
      </c>
      <c r="L704" s="35" t="str">
        <f>IFERROR(_xlfn.XLOOKUP(Table6[[#This Row],[Error Code]],'Basic Data'!$AA:$AA,'Basic Data'!$AB:$AB),"Incorrect Error Code")</f>
        <v>Gen.sp.analog &lt;&lt;&gt;&gt; gearb.sp.</v>
      </c>
      <c r="M704" s="35" t="s">
        <v>278</v>
      </c>
      <c r="N704" s="264"/>
      <c r="O704" s="265">
        <v>0.62361111111111112</v>
      </c>
      <c r="P704" s="265">
        <v>0.62361111111111112</v>
      </c>
      <c r="Q704" s="266">
        <v>0.62569444444444444</v>
      </c>
      <c r="R704" s="261">
        <f>IF(Table6[[#This Row],[Work Start TimeStamp]]="","",(Table6[[#This Row],[Work Start TimeStamp]]-Table6[[#This Row],[Fault Start TimeStamp]])*24)</f>
        <v>0</v>
      </c>
      <c r="S704" s="261">
        <f>(Table6[[#This Row],[Fault Clearance time]]-Table6[[#This Row],[Work Start TimeStamp]])*24</f>
        <v>4.9999999999999822E-2</v>
      </c>
      <c r="T704" s="261">
        <f>(Table6[[#This Row],[Fault Clearance time]]-Table6[[#This Row],[Fault Start TimeStamp]])*24</f>
        <v>4.9999999999999822E-2</v>
      </c>
      <c r="U704" s="35" t="s">
        <v>438</v>
      </c>
      <c r="V704" s="102" t="s">
        <v>268</v>
      </c>
      <c r="W704" s="267">
        <f>IFERROR(Table6[[#This Row],[Breakdown Time]]*Table6[[#This Row],[Plant Equivalent Weightage]],"")</f>
        <v>1.9230769230769156E-3</v>
      </c>
      <c r="X704" s="262" t="s">
        <v>269</v>
      </c>
      <c r="Y704" s="263" t="s">
        <v>116</v>
      </c>
      <c r="Z704" s="102">
        <v>18876</v>
      </c>
      <c r="AA704" s="257">
        <f>(Table6[[#This Row],[Paired WTG Generation for loss calculation]]/24)*Table6[[#This Row],[Breakdown Time]]</f>
        <v>39.324999999999861</v>
      </c>
      <c r="AB704" s="102"/>
      <c r="AC704" s="35"/>
      <c r="AD704" s="35"/>
    </row>
    <row r="705" spans="1:30">
      <c r="A705" s="102">
        <f t="shared" si="11"/>
        <v>704</v>
      </c>
      <c r="B705" s="257">
        <f>YEAR(Table6[[#This Row],[Date]])+IF(MONTH(Table6[[#This Row],[Date]])&gt;=4,1,0)</f>
        <v>2026</v>
      </c>
      <c r="C705" s="102">
        <f>YEAR(Table6[[#This Row],[Date]])</f>
        <v>2025</v>
      </c>
      <c r="D705" s="102" t="s">
        <v>265</v>
      </c>
      <c r="E705" s="258">
        <f>Table6[[#This Row],[Date]]-DAY(Table6[[#This Row],[Date]])+1</f>
        <v>45778</v>
      </c>
      <c r="F705" s="259">
        <v>45790</v>
      </c>
      <c r="G705" s="35" t="s">
        <v>139</v>
      </c>
      <c r="H705" s="35" t="str">
        <f>IFERROR(_xlfn.XLOOKUP(Table6[[#This Row],[Affected WTG]],'Basic Data'!$A:$A,'Basic Data'!$B:$B),"")</f>
        <v>TQGXIIPL</v>
      </c>
      <c r="I705" s="35" t="str">
        <f>IFERROR(_xlfn.XLOOKUP(Table6[[#This Row],[Affected WTG]],'Basic Data'!$A:$A,'Basic Data'!$C:$C),"")</f>
        <v>GEDA</v>
      </c>
      <c r="J705" s="260">
        <f>IFERROR(_xlfn.XLOOKUP(Table6[[#This Row],[Affected WTG]],'Basic Data'!$A:$A,'Basic Data'!$E:$E),"")</f>
        <v>3.846153846153845E-2</v>
      </c>
      <c r="K705" s="102">
        <v>55</v>
      </c>
      <c r="L705" s="35" t="str">
        <f>IFERROR(_xlfn.XLOOKUP(Table6[[#This Row],[Error Code]],'Basic Data'!$AA:$AA,'Basic Data'!$AB:$AB),"Incorrect Error Code")</f>
        <v>WTG shut down</v>
      </c>
      <c r="M705" s="35" t="s">
        <v>300</v>
      </c>
      <c r="N705" s="264"/>
      <c r="O705" s="265">
        <v>0.85277777777777775</v>
      </c>
      <c r="P705" s="265">
        <v>0.85277777777777775</v>
      </c>
      <c r="Q705" s="266">
        <v>0.87152777777777779</v>
      </c>
      <c r="R705" s="261">
        <f>IF(Table6[[#This Row],[Work Start TimeStamp]]="","",(Table6[[#This Row],[Work Start TimeStamp]]-Table6[[#This Row],[Fault Start TimeStamp]])*24)</f>
        <v>0</v>
      </c>
      <c r="S705" s="261">
        <f>(Table6[[#This Row],[Fault Clearance time]]-Table6[[#This Row],[Work Start TimeStamp]])*24</f>
        <v>0.45000000000000107</v>
      </c>
      <c r="T705" s="261">
        <f>(Table6[[#This Row],[Fault Clearance time]]-Table6[[#This Row],[Fault Start TimeStamp]])*24</f>
        <v>0.45000000000000107</v>
      </c>
      <c r="U705" s="35" t="s">
        <v>385</v>
      </c>
      <c r="V705" s="102" t="s">
        <v>268</v>
      </c>
      <c r="W705" s="267">
        <f>IFERROR(Table6[[#This Row],[Breakdown Time]]*Table6[[#This Row],[Plant Equivalent Weightage]],"")</f>
        <v>1.7307692307692343E-2</v>
      </c>
      <c r="X705" s="262" t="s">
        <v>269</v>
      </c>
      <c r="Y705" s="263" t="s">
        <v>115</v>
      </c>
      <c r="Z705" s="102">
        <v>15857</v>
      </c>
      <c r="AA705" s="257">
        <f>(Table6[[#This Row],[Paired WTG Generation for loss calculation]]/24)*Table6[[#This Row],[Breakdown Time]]</f>
        <v>297.3187500000007</v>
      </c>
      <c r="AB705" s="102"/>
      <c r="AC705" s="35"/>
      <c r="AD705" s="35"/>
    </row>
    <row r="706" spans="1:30">
      <c r="A706" s="102">
        <f t="shared" si="11"/>
        <v>705</v>
      </c>
      <c r="B706" s="257">
        <f>YEAR(Table6[[#This Row],[Date]])+IF(MONTH(Table6[[#This Row],[Date]])&gt;=4,1,0)</f>
        <v>2026</v>
      </c>
      <c r="C706" s="102">
        <f>YEAR(Table6[[#This Row],[Date]])</f>
        <v>2025</v>
      </c>
      <c r="D706" s="102" t="s">
        <v>265</v>
      </c>
      <c r="E706" s="258">
        <f>Table6[[#This Row],[Date]]-DAY(Table6[[#This Row],[Date]])+1</f>
        <v>45778</v>
      </c>
      <c r="F706" s="259">
        <v>45791</v>
      </c>
      <c r="G706" s="35" t="s">
        <v>115</v>
      </c>
      <c r="H706" s="35" t="str">
        <f>IFERROR(_xlfn.XLOOKUP(Table6[[#This Row],[Affected WTG]],'Basic Data'!$A:$A,'Basic Data'!$B:$B),"")</f>
        <v>TQGXIIPL</v>
      </c>
      <c r="I706" s="35" t="str">
        <f>IFERROR(_xlfn.XLOOKUP(Table6[[#This Row],[Affected WTG]],'Basic Data'!$A:$A,'Basic Data'!$C:$C),"")</f>
        <v>GEDA</v>
      </c>
      <c r="J706" s="260">
        <f>IFERROR(_xlfn.XLOOKUP(Table6[[#This Row],[Affected WTG]],'Basic Data'!$A:$A,'Basic Data'!$E:$E),"")</f>
        <v>3.846153846153845E-2</v>
      </c>
      <c r="K706" s="102">
        <v>55</v>
      </c>
      <c r="L706" s="35" t="str">
        <f>IFERROR(_xlfn.XLOOKUP(Table6[[#This Row],[Error Code]],'Basic Data'!$AA:$AA,'Basic Data'!$AB:$AB),"Incorrect Error Code")</f>
        <v>WTG shut down</v>
      </c>
      <c r="M706" s="35" t="s">
        <v>316</v>
      </c>
      <c r="N706" s="264"/>
      <c r="O706" s="265">
        <v>0.70902777777777781</v>
      </c>
      <c r="P706" s="265">
        <v>0.7270833333333333</v>
      </c>
      <c r="Q706" s="266">
        <v>0.74791666666666667</v>
      </c>
      <c r="R706" s="261">
        <f>IF(Table6[[#This Row],[Work Start TimeStamp]]="","",(Table6[[#This Row],[Work Start TimeStamp]]-Table6[[#This Row],[Fault Start TimeStamp]])*24)</f>
        <v>0.43333333333333179</v>
      </c>
      <c r="S706" s="261">
        <f>(Table6[[#This Row],[Fault Clearance time]]-Table6[[#This Row],[Work Start TimeStamp]])*24</f>
        <v>0.50000000000000089</v>
      </c>
      <c r="T706" s="261">
        <f>(Table6[[#This Row],[Fault Clearance time]]-Table6[[#This Row],[Fault Start TimeStamp]])*24</f>
        <v>0.93333333333333268</v>
      </c>
      <c r="U706" s="35" t="s">
        <v>439</v>
      </c>
      <c r="V706" s="102" t="s">
        <v>268</v>
      </c>
      <c r="W706" s="267">
        <f>IFERROR(Table6[[#This Row],[Breakdown Time]]*Table6[[#This Row],[Plant Equivalent Weightage]],"")</f>
        <v>3.589743589743586E-2</v>
      </c>
      <c r="X706" s="262" t="s">
        <v>269</v>
      </c>
      <c r="Y706" s="263" t="s">
        <v>140</v>
      </c>
      <c r="Z706" s="102">
        <v>15454</v>
      </c>
      <c r="AA706" s="257">
        <f>(Table6[[#This Row],[Paired WTG Generation for loss calculation]]/24)*Table6[[#This Row],[Breakdown Time]]</f>
        <v>600.98888888888848</v>
      </c>
      <c r="AB706" s="102"/>
      <c r="AC706" s="35"/>
      <c r="AD706" s="35"/>
    </row>
    <row r="707" spans="1:30">
      <c r="A707" s="102">
        <f t="shared" si="11"/>
        <v>706</v>
      </c>
      <c r="B707" s="257">
        <f>YEAR(Table6[[#This Row],[Date]])+IF(MONTH(Table6[[#This Row],[Date]])&gt;=4,1,0)</f>
        <v>2026</v>
      </c>
      <c r="C707" s="102">
        <f>YEAR(Table6[[#This Row],[Date]])</f>
        <v>2025</v>
      </c>
      <c r="D707" s="102" t="s">
        <v>265</v>
      </c>
      <c r="E707" s="258">
        <f>Table6[[#This Row],[Date]]-DAY(Table6[[#This Row],[Date]])+1</f>
        <v>45778</v>
      </c>
      <c r="F707" s="259">
        <v>45791</v>
      </c>
      <c r="G707" s="35" t="s">
        <v>119</v>
      </c>
      <c r="H707" s="35" t="str">
        <f>IFERROR(_xlfn.XLOOKUP(Table6[[#This Row],[Affected WTG]],'Basic Data'!$A:$A,'Basic Data'!$B:$B),"")</f>
        <v>TQGXIIPL</v>
      </c>
      <c r="I707" s="35" t="str">
        <f>IFERROR(_xlfn.XLOOKUP(Table6[[#This Row],[Affected WTG]],'Basic Data'!$A:$A,'Basic Data'!$C:$C),"")</f>
        <v>GEDA</v>
      </c>
      <c r="J707" s="260">
        <f>IFERROR(_xlfn.XLOOKUP(Table6[[#This Row],[Affected WTG]],'Basic Data'!$A:$A,'Basic Data'!$E:$E),"")</f>
        <v>3.846153846153845E-2</v>
      </c>
      <c r="K707" s="102">
        <v>3211</v>
      </c>
      <c r="L707" s="35" t="str">
        <f>IFERROR(_xlfn.XLOOKUP(Table6[[#This Row],[Error Code]],'Basic Data'!$AA:$AA,'Basic Data'!$AB:$AB),"Incorrect Error Code")</f>
        <v>Conv. load shedding (CAN)</v>
      </c>
      <c r="M707" s="35" t="s">
        <v>278</v>
      </c>
      <c r="N707" s="264"/>
      <c r="O707" s="265">
        <v>0.34791666666666665</v>
      </c>
      <c r="P707" s="265">
        <v>0.34791666666666665</v>
      </c>
      <c r="Q707" s="266">
        <v>0.35069444444444442</v>
      </c>
      <c r="R707" s="261">
        <f>IF(Table6[[#This Row],[Work Start TimeStamp]]="","",(Table6[[#This Row],[Work Start TimeStamp]]-Table6[[#This Row],[Fault Start TimeStamp]])*24)</f>
        <v>0</v>
      </c>
      <c r="S707" s="261">
        <f>(Table6[[#This Row],[Fault Clearance time]]-Table6[[#This Row],[Work Start TimeStamp]])*24</f>
        <v>6.666666666666643E-2</v>
      </c>
      <c r="T707" s="261">
        <f>(Table6[[#This Row],[Fault Clearance time]]-Table6[[#This Row],[Fault Start TimeStamp]])*24</f>
        <v>6.666666666666643E-2</v>
      </c>
      <c r="U707" s="35" t="s">
        <v>438</v>
      </c>
      <c r="V707" s="102" t="s">
        <v>268</v>
      </c>
      <c r="W707" s="267">
        <f>IFERROR(Table6[[#This Row],[Breakdown Time]]*Table6[[#This Row],[Plant Equivalent Weightage]],"")</f>
        <v>2.5641025641025541E-3</v>
      </c>
      <c r="X707" s="262" t="s">
        <v>269</v>
      </c>
      <c r="Y707" s="263" t="s">
        <v>116</v>
      </c>
      <c r="Z707" s="102">
        <v>18583</v>
      </c>
      <c r="AA707" s="257">
        <f>(Table6[[#This Row],[Paired WTG Generation for loss calculation]]/24)*Table6[[#This Row],[Breakdown Time]]</f>
        <v>51.619444444444255</v>
      </c>
      <c r="AB707" s="102"/>
      <c r="AC707" s="35"/>
      <c r="AD707" s="35"/>
    </row>
    <row r="708" spans="1:30">
      <c r="A708" s="102">
        <f t="shared" si="11"/>
        <v>707</v>
      </c>
      <c r="B708" s="257">
        <f>YEAR(Table6[[#This Row],[Date]])+IF(MONTH(Table6[[#This Row],[Date]])&gt;=4,1,0)</f>
        <v>2026</v>
      </c>
      <c r="C708" s="102">
        <f>YEAR(Table6[[#This Row],[Date]])</f>
        <v>2025</v>
      </c>
      <c r="D708" s="102" t="s">
        <v>265</v>
      </c>
      <c r="E708" s="258">
        <f>Table6[[#This Row],[Date]]-DAY(Table6[[#This Row],[Date]])+1</f>
        <v>45778</v>
      </c>
      <c r="F708" s="259">
        <v>45791</v>
      </c>
      <c r="G708" s="35" t="s">
        <v>119</v>
      </c>
      <c r="H708" s="35" t="str">
        <f>IFERROR(_xlfn.XLOOKUP(Table6[[#This Row],[Affected WTG]],'Basic Data'!$A:$A,'Basic Data'!$B:$B),"")</f>
        <v>TQGXIIPL</v>
      </c>
      <c r="I708" s="35" t="str">
        <f>IFERROR(_xlfn.XLOOKUP(Table6[[#This Row],[Affected WTG]],'Basic Data'!$A:$A,'Basic Data'!$C:$C),"")</f>
        <v>GEDA</v>
      </c>
      <c r="J708" s="260">
        <f>IFERROR(_xlfn.XLOOKUP(Table6[[#This Row],[Affected WTG]],'Basic Data'!$A:$A,'Basic Data'!$E:$E),"")</f>
        <v>3.846153846153845E-2</v>
      </c>
      <c r="K708" s="102">
        <v>55</v>
      </c>
      <c r="L708" s="35" t="str">
        <f>IFERROR(_xlfn.XLOOKUP(Table6[[#This Row],[Error Code]],'Basic Data'!$AA:$AA,'Basic Data'!$AB:$AB),"Incorrect Error Code")</f>
        <v>WTG shut down</v>
      </c>
      <c r="M708" s="35" t="s">
        <v>300</v>
      </c>
      <c r="N708" s="264"/>
      <c r="O708" s="265">
        <v>0.80277777777777781</v>
      </c>
      <c r="P708" s="265">
        <v>0.80277777777777781</v>
      </c>
      <c r="Q708" s="266">
        <v>0.85069444444444442</v>
      </c>
      <c r="R708" s="261">
        <f>IF(Table6[[#This Row],[Work Start TimeStamp]]="","",(Table6[[#This Row],[Work Start TimeStamp]]-Table6[[#This Row],[Fault Start TimeStamp]])*24)</f>
        <v>0</v>
      </c>
      <c r="S708" s="261">
        <f>(Table6[[#This Row],[Fault Clearance time]]-Table6[[#This Row],[Work Start TimeStamp]])*24</f>
        <v>1.1499999999999986</v>
      </c>
      <c r="T708" s="261">
        <f>(Table6[[#This Row],[Fault Clearance time]]-Table6[[#This Row],[Fault Start TimeStamp]])*24</f>
        <v>1.1499999999999986</v>
      </c>
      <c r="U708" s="35" t="s">
        <v>385</v>
      </c>
      <c r="V708" s="102" t="s">
        <v>268</v>
      </c>
      <c r="W708" s="267">
        <f>IFERROR(Table6[[#This Row],[Breakdown Time]]*Table6[[#This Row],[Plant Equivalent Weightage]],"")</f>
        <v>4.4230769230769164E-2</v>
      </c>
      <c r="X708" s="262" t="s">
        <v>269</v>
      </c>
      <c r="Y708" s="263" t="s">
        <v>116</v>
      </c>
      <c r="Z708" s="102">
        <v>18583</v>
      </c>
      <c r="AA708" s="257">
        <f>(Table6[[#This Row],[Paired WTG Generation for loss calculation]]/24)*Table6[[#This Row],[Breakdown Time]]</f>
        <v>890.43541666666556</v>
      </c>
      <c r="AB708" s="102"/>
      <c r="AC708" s="35"/>
      <c r="AD708" s="35"/>
    </row>
    <row r="709" spans="1:30">
      <c r="A709" s="102">
        <f t="shared" si="11"/>
        <v>708</v>
      </c>
      <c r="B709" s="257">
        <f>YEAR(Table6[[#This Row],[Date]])+IF(MONTH(Table6[[#This Row],[Date]])&gt;=4,1,0)</f>
        <v>2026</v>
      </c>
      <c r="C709" s="102">
        <f>YEAR(Table6[[#This Row],[Date]])</f>
        <v>2025</v>
      </c>
      <c r="D709" s="102" t="s">
        <v>265</v>
      </c>
      <c r="E709" s="258">
        <f>Table6[[#This Row],[Date]]-DAY(Table6[[#This Row],[Date]])+1</f>
        <v>45778</v>
      </c>
      <c r="F709" s="259">
        <v>45791</v>
      </c>
      <c r="G709" s="35" t="s">
        <v>123</v>
      </c>
      <c r="H709" s="35" t="str">
        <f>IFERROR(_xlfn.XLOOKUP(Table6[[#This Row],[Affected WTG]],'Basic Data'!$A:$A,'Basic Data'!$B:$B),"")</f>
        <v>TQGXIIPL</v>
      </c>
      <c r="I709" s="35" t="str">
        <f>IFERROR(_xlfn.XLOOKUP(Table6[[#This Row],[Affected WTG]],'Basic Data'!$A:$A,'Basic Data'!$C:$C),"")</f>
        <v>GEDA</v>
      </c>
      <c r="J709" s="260">
        <f>IFERROR(_xlfn.XLOOKUP(Table6[[#This Row],[Affected WTG]],'Basic Data'!$A:$A,'Basic Data'!$E:$E),"")</f>
        <v>3.846153846153845E-2</v>
      </c>
      <c r="K709" s="102">
        <v>88</v>
      </c>
      <c r="L709" s="35" t="str">
        <f>IFERROR(_xlfn.XLOOKUP(Table6[[#This Row],[Error Code]],'Basic Data'!$AA:$AA,'Basic Data'!$AB:$AB),"Incorrect Error Code")</f>
        <v>Outs.temp. nacelle implaus.</v>
      </c>
      <c r="M709" s="35" t="s">
        <v>278</v>
      </c>
      <c r="N709" s="264"/>
      <c r="O709" s="265">
        <v>0.65416666666666667</v>
      </c>
      <c r="P709" s="265">
        <v>0.65416666666666667</v>
      </c>
      <c r="Q709" s="266">
        <v>0.65625</v>
      </c>
      <c r="R709" s="261">
        <f>IF(Table6[[#This Row],[Work Start TimeStamp]]="","",(Table6[[#This Row],[Work Start TimeStamp]]-Table6[[#This Row],[Fault Start TimeStamp]])*24)</f>
        <v>0</v>
      </c>
      <c r="S709" s="261">
        <f>(Table6[[#This Row],[Fault Clearance time]]-Table6[[#This Row],[Work Start TimeStamp]])*24</f>
        <v>4.9999999999999822E-2</v>
      </c>
      <c r="T709" s="261">
        <f>(Table6[[#This Row],[Fault Clearance time]]-Table6[[#This Row],[Fault Start TimeStamp]])*24</f>
        <v>4.9999999999999822E-2</v>
      </c>
      <c r="U709" s="35" t="s">
        <v>293</v>
      </c>
      <c r="V709" s="102" t="s">
        <v>268</v>
      </c>
      <c r="W709" s="267">
        <f>IFERROR(Table6[[#This Row],[Breakdown Time]]*Table6[[#This Row],[Plant Equivalent Weightage]],"")</f>
        <v>1.9230769230769156E-3</v>
      </c>
      <c r="X709" s="262" t="s">
        <v>269</v>
      </c>
      <c r="Y709" s="263" t="s">
        <v>117</v>
      </c>
      <c r="Z709" s="102">
        <v>14080</v>
      </c>
      <c r="AA709" s="257">
        <f>(Table6[[#This Row],[Paired WTG Generation for loss calculation]]/24)*Table6[[#This Row],[Breakdown Time]]</f>
        <v>29.333333333333226</v>
      </c>
      <c r="AB709" s="102"/>
      <c r="AC709" s="35"/>
      <c r="AD709" s="35"/>
    </row>
    <row r="710" spans="1:30">
      <c r="A710" s="102">
        <f t="shared" si="11"/>
        <v>709</v>
      </c>
      <c r="B710" s="257">
        <f>YEAR(Table6[[#This Row],[Date]])+IF(MONTH(Table6[[#This Row],[Date]])&gt;=4,1,0)</f>
        <v>2026</v>
      </c>
      <c r="C710" s="102">
        <f>YEAR(Table6[[#This Row],[Date]])</f>
        <v>2025</v>
      </c>
      <c r="D710" s="102" t="s">
        <v>265</v>
      </c>
      <c r="E710" s="258">
        <f>Table6[[#This Row],[Date]]-DAY(Table6[[#This Row],[Date]])+1</f>
        <v>45778</v>
      </c>
      <c r="F710" s="259">
        <v>45791</v>
      </c>
      <c r="G710" s="35" t="s">
        <v>123</v>
      </c>
      <c r="H710" s="35" t="str">
        <f>IFERROR(_xlfn.XLOOKUP(Table6[[#This Row],[Affected WTG]],'Basic Data'!$A:$A,'Basic Data'!$B:$B),"")</f>
        <v>TQGXIIPL</v>
      </c>
      <c r="I710" s="35" t="str">
        <f>IFERROR(_xlfn.XLOOKUP(Table6[[#This Row],[Affected WTG]],'Basic Data'!$A:$A,'Basic Data'!$C:$C),"")</f>
        <v>GEDA</v>
      </c>
      <c r="J710" s="260">
        <f>IFERROR(_xlfn.XLOOKUP(Table6[[#This Row],[Affected WTG]],'Basic Data'!$A:$A,'Basic Data'!$E:$E),"")</f>
        <v>3.846153846153845E-2</v>
      </c>
      <c r="K710" s="102">
        <v>6690</v>
      </c>
      <c r="L710" s="35" t="str">
        <f>IFERROR(_xlfn.XLOOKUP(Table6[[#This Row],[Error Code]],'Basic Data'!$AA:$AA,'Basic Data'!$AB:$AB),"Incorrect Error Code")</f>
        <v>Icing (stop)</v>
      </c>
      <c r="M710" s="35" t="s">
        <v>278</v>
      </c>
      <c r="N710" s="264"/>
      <c r="O710" s="265">
        <v>0.65833333333333333</v>
      </c>
      <c r="P710" s="265">
        <v>0.65833333333333333</v>
      </c>
      <c r="Q710" s="266">
        <v>0.66111111111111109</v>
      </c>
      <c r="R710" s="261">
        <f>IF(Table6[[#This Row],[Work Start TimeStamp]]="","",(Table6[[#This Row],[Work Start TimeStamp]]-Table6[[#This Row],[Fault Start TimeStamp]])*24)</f>
        <v>0</v>
      </c>
      <c r="S710" s="261">
        <f>(Table6[[#This Row],[Fault Clearance time]]-Table6[[#This Row],[Work Start TimeStamp]])*24</f>
        <v>6.666666666666643E-2</v>
      </c>
      <c r="T710" s="261">
        <f>(Table6[[#This Row],[Fault Clearance time]]-Table6[[#This Row],[Fault Start TimeStamp]])*24</f>
        <v>6.666666666666643E-2</v>
      </c>
      <c r="U710" s="35" t="s">
        <v>293</v>
      </c>
      <c r="V710" s="102" t="s">
        <v>268</v>
      </c>
      <c r="W710" s="267">
        <f>IFERROR(Table6[[#This Row],[Breakdown Time]]*Table6[[#This Row],[Plant Equivalent Weightage]],"")</f>
        <v>2.5641025641025541E-3</v>
      </c>
      <c r="X710" s="262" t="s">
        <v>269</v>
      </c>
      <c r="Y710" s="263" t="s">
        <v>117</v>
      </c>
      <c r="Z710" s="102">
        <v>14080</v>
      </c>
      <c r="AA710" s="257">
        <f>(Table6[[#This Row],[Paired WTG Generation for loss calculation]]/24)*Table6[[#This Row],[Breakdown Time]]</f>
        <v>39.111111111110972</v>
      </c>
      <c r="AB710" s="102"/>
      <c r="AC710" s="35"/>
      <c r="AD710" s="35"/>
    </row>
    <row r="711" spans="1:30">
      <c r="A711" s="102">
        <f t="shared" si="11"/>
        <v>710</v>
      </c>
      <c r="B711" s="257">
        <f>YEAR(Table6[[#This Row],[Date]])+IF(MONTH(Table6[[#This Row],[Date]])&gt;=4,1,0)</f>
        <v>2026</v>
      </c>
      <c r="C711" s="102">
        <f>YEAR(Table6[[#This Row],[Date]])</f>
        <v>2025</v>
      </c>
      <c r="D711" s="102" t="s">
        <v>265</v>
      </c>
      <c r="E711" s="258">
        <f>Table6[[#This Row],[Date]]-DAY(Table6[[#This Row],[Date]])+1</f>
        <v>45778</v>
      </c>
      <c r="F711" s="259">
        <v>45791</v>
      </c>
      <c r="G711" s="35" t="s">
        <v>123</v>
      </c>
      <c r="H711" s="35" t="str">
        <f>IFERROR(_xlfn.XLOOKUP(Table6[[#This Row],[Affected WTG]],'Basic Data'!$A:$A,'Basic Data'!$B:$B),"")</f>
        <v>TQGXIIPL</v>
      </c>
      <c r="I711" s="35" t="str">
        <f>IFERROR(_xlfn.XLOOKUP(Table6[[#This Row],[Affected WTG]],'Basic Data'!$A:$A,'Basic Data'!$C:$C),"")</f>
        <v>GEDA</v>
      </c>
      <c r="J711" s="260">
        <f>IFERROR(_xlfn.XLOOKUP(Table6[[#This Row],[Affected WTG]],'Basic Data'!$A:$A,'Basic Data'!$E:$E),"")</f>
        <v>3.846153846153845E-2</v>
      </c>
      <c r="K711" s="102">
        <v>88</v>
      </c>
      <c r="L711" s="35" t="str">
        <f>IFERROR(_xlfn.XLOOKUP(Table6[[#This Row],[Error Code]],'Basic Data'!$AA:$AA,'Basic Data'!$AB:$AB),"Incorrect Error Code")</f>
        <v>Outs.temp. nacelle implaus.</v>
      </c>
      <c r="M711" s="35" t="s">
        <v>266</v>
      </c>
      <c r="N711" s="264"/>
      <c r="O711" s="265">
        <v>0.6791666666666667</v>
      </c>
      <c r="P711" s="265">
        <v>0.6791666666666667</v>
      </c>
      <c r="Q711" s="266">
        <v>0.71180555555555558</v>
      </c>
      <c r="R711" s="261">
        <f>IF(Table6[[#This Row],[Work Start TimeStamp]]="","",(Table6[[#This Row],[Work Start TimeStamp]]-Table6[[#This Row],[Fault Start TimeStamp]])*24)</f>
        <v>0</v>
      </c>
      <c r="S711" s="261">
        <f>(Table6[[#This Row],[Fault Clearance time]]-Table6[[#This Row],[Work Start TimeStamp]])*24</f>
        <v>0.78333333333333321</v>
      </c>
      <c r="T711" s="261">
        <f>(Table6[[#This Row],[Fault Clearance time]]-Table6[[#This Row],[Fault Start TimeStamp]])*24</f>
        <v>0.78333333333333321</v>
      </c>
      <c r="U711" s="35" t="s">
        <v>440</v>
      </c>
      <c r="V711" s="102" t="s">
        <v>268</v>
      </c>
      <c r="W711" s="267">
        <f>IFERROR(Table6[[#This Row],[Breakdown Time]]*Table6[[#This Row],[Plant Equivalent Weightage]],"")</f>
        <v>3.0128205128205115E-2</v>
      </c>
      <c r="X711" s="262" t="s">
        <v>269</v>
      </c>
      <c r="Y711" s="263" t="s">
        <v>117</v>
      </c>
      <c r="Z711" s="102">
        <v>14080</v>
      </c>
      <c r="AA711" s="257">
        <f>(Table6[[#This Row],[Paired WTG Generation for loss calculation]]/24)*Table6[[#This Row],[Breakdown Time]]</f>
        <v>459.55555555555543</v>
      </c>
      <c r="AB711" s="102"/>
      <c r="AC711" s="35"/>
      <c r="AD711" s="35"/>
    </row>
    <row r="712" spans="1:30">
      <c r="A712" s="102">
        <f t="shared" si="11"/>
        <v>711</v>
      </c>
      <c r="B712" s="257">
        <f>YEAR(Table6[[#This Row],[Date]])+IF(MONTH(Table6[[#This Row],[Date]])&gt;=4,1,0)</f>
        <v>2026</v>
      </c>
      <c r="C712" s="102">
        <f>YEAR(Table6[[#This Row],[Date]])</f>
        <v>2025</v>
      </c>
      <c r="D712" s="102" t="s">
        <v>265</v>
      </c>
      <c r="E712" s="258">
        <f>Table6[[#This Row],[Date]]-DAY(Table6[[#This Row],[Date]])+1</f>
        <v>45778</v>
      </c>
      <c r="F712" s="259">
        <v>45791</v>
      </c>
      <c r="G712" s="35" t="s">
        <v>124</v>
      </c>
      <c r="H712" s="35" t="str">
        <f>IFERROR(_xlfn.XLOOKUP(Table6[[#This Row],[Affected WTG]],'Basic Data'!$A:$A,'Basic Data'!$B:$B),"")</f>
        <v>TQGXIIPL</v>
      </c>
      <c r="I712" s="35" t="str">
        <f>IFERROR(_xlfn.XLOOKUP(Table6[[#This Row],[Affected WTG]],'Basic Data'!$A:$A,'Basic Data'!$C:$C),"")</f>
        <v>GEDA</v>
      </c>
      <c r="J712" s="260">
        <f>IFERROR(_xlfn.XLOOKUP(Table6[[#This Row],[Affected WTG]],'Basic Data'!$A:$A,'Basic Data'!$E:$E),"")</f>
        <v>3.846153846153845E-2</v>
      </c>
      <c r="K712" s="102">
        <v>4970</v>
      </c>
      <c r="L712" s="35" t="str">
        <f>IFERROR(_xlfn.XLOOKUP(Table6[[#This Row],[Error Code]],'Basic Data'!$AA:$AA,'Basic Data'!$AB:$AB),"Incorrect Error Code")</f>
        <v>Tower oscillation XF</v>
      </c>
      <c r="M712" s="35" t="s">
        <v>266</v>
      </c>
      <c r="N712" s="264"/>
      <c r="O712" s="265">
        <v>0.79374999999999996</v>
      </c>
      <c r="P712" s="265">
        <v>0.79374999999999996</v>
      </c>
      <c r="Q712" s="266">
        <v>0.80277777777777781</v>
      </c>
      <c r="R712" s="261">
        <f>IF(Table6[[#This Row],[Work Start TimeStamp]]="","",(Table6[[#This Row],[Work Start TimeStamp]]-Table6[[#This Row],[Fault Start TimeStamp]])*24)</f>
        <v>0</v>
      </c>
      <c r="S712" s="261">
        <f>(Table6[[#This Row],[Fault Clearance time]]-Table6[[#This Row],[Work Start TimeStamp]])*24</f>
        <v>0.21666666666666856</v>
      </c>
      <c r="T712" s="261">
        <f>(Table6[[#This Row],[Fault Clearance time]]-Table6[[#This Row],[Fault Start TimeStamp]])*24</f>
        <v>0.21666666666666856</v>
      </c>
      <c r="U712" s="35" t="s">
        <v>440</v>
      </c>
      <c r="V712" s="102" t="s">
        <v>268</v>
      </c>
      <c r="W712" s="267">
        <f>IFERROR(Table6[[#This Row],[Breakdown Time]]*Table6[[#This Row],[Plant Equivalent Weightage]],"")</f>
        <v>8.3333333333334043E-3</v>
      </c>
      <c r="X712" s="262" t="s">
        <v>269</v>
      </c>
      <c r="Y712" s="263" t="s">
        <v>129</v>
      </c>
      <c r="Z712" s="102">
        <v>15173</v>
      </c>
      <c r="AA712" s="257">
        <f>(Table6[[#This Row],[Paired WTG Generation for loss calculation]]/24)*Table6[[#This Row],[Breakdown Time]]</f>
        <v>136.97847222222342</v>
      </c>
      <c r="AB712" s="102"/>
      <c r="AC712" s="35"/>
      <c r="AD712" s="35"/>
    </row>
    <row r="713" spans="1:30">
      <c r="A713" s="102">
        <f t="shared" si="11"/>
        <v>712</v>
      </c>
      <c r="B713" s="257">
        <f>YEAR(Table6[[#This Row],[Date]])+IF(MONTH(Table6[[#This Row],[Date]])&gt;=4,1,0)</f>
        <v>2026</v>
      </c>
      <c r="C713" s="102">
        <f>YEAR(Table6[[#This Row],[Date]])</f>
        <v>2025</v>
      </c>
      <c r="D713" s="102" t="s">
        <v>265</v>
      </c>
      <c r="E713" s="258">
        <f>Table6[[#This Row],[Date]]-DAY(Table6[[#This Row],[Date]])+1</f>
        <v>45778</v>
      </c>
      <c r="F713" s="259">
        <v>45791</v>
      </c>
      <c r="G713" s="35" t="s">
        <v>126</v>
      </c>
      <c r="H713" s="35" t="str">
        <f>IFERROR(_xlfn.XLOOKUP(Table6[[#This Row],[Affected WTG]],'Basic Data'!$A:$A,'Basic Data'!$B:$B),"")</f>
        <v>TQGXIIPL</v>
      </c>
      <c r="I713" s="35" t="str">
        <f>IFERROR(_xlfn.XLOOKUP(Table6[[#This Row],[Affected WTG]],'Basic Data'!$A:$A,'Basic Data'!$C:$C),"")</f>
        <v>GEDA</v>
      </c>
      <c r="J713" s="260">
        <f>IFERROR(_xlfn.XLOOKUP(Table6[[#This Row],[Affected WTG]],'Basic Data'!$A:$A,'Basic Data'!$E:$E),"")</f>
        <v>3.846153846153845E-2</v>
      </c>
      <c r="K713" s="102">
        <v>6130</v>
      </c>
      <c r="L713" s="35" t="str">
        <f>IFERROR(_xlfn.XLOOKUP(Table6[[#This Row],[Error Code]],'Basic Data'!$AA:$AA,'Basic Data'!$AB:$AB),"Incorrect Error Code")</f>
        <v>Yaw speed high</v>
      </c>
      <c r="M713" s="35" t="s">
        <v>278</v>
      </c>
      <c r="N713" s="264"/>
      <c r="O713" s="265">
        <v>0.44236111111111109</v>
      </c>
      <c r="P713" s="265">
        <v>0.44236111111111109</v>
      </c>
      <c r="Q713" s="266">
        <v>0.44305555555555554</v>
      </c>
      <c r="R713" s="261">
        <f>IF(Table6[[#This Row],[Work Start TimeStamp]]="","",(Table6[[#This Row],[Work Start TimeStamp]]-Table6[[#This Row],[Fault Start TimeStamp]])*24)</f>
        <v>0</v>
      </c>
      <c r="S713" s="261">
        <f>(Table6[[#This Row],[Fault Clearance time]]-Table6[[#This Row],[Work Start TimeStamp]])*24</f>
        <v>1.6666666666666607E-2</v>
      </c>
      <c r="T713" s="261">
        <f>(Table6[[#This Row],[Fault Clearance time]]-Table6[[#This Row],[Fault Start TimeStamp]])*24</f>
        <v>1.6666666666666607E-2</v>
      </c>
      <c r="U713" s="35" t="s">
        <v>293</v>
      </c>
      <c r="V713" s="102" t="s">
        <v>268</v>
      </c>
      <c r="W713" s="267">
        <f>IFERROR(Table6[[#This Row],[Breakdown Time]]*Table6[[#This Row],[Plant Equivalent Weightage]],"")</f>
        <v>6.4102564102563853E-4</v>
      </c>
      <c r="X713" s="262" t="s">
        <v>269</v>
      </c>
      <c r="Y713" s="263" t="s">
        <v>128</v>
      </c>
      <c r="Z713" s="102">
        <v>14700</v>
      </c>
      <c r="AA713" s="257">
        <f>(Table6[[#This Row],[Paired WTG Generation for loss calculation]]/24)*Table6[[#This Row],[Breakdown Time]]</f>
        <v>10.208333333333297</v>
      </c>
      <c r="AB713" s="102"/>
      <c r="AC713" s="35"/>
      <c r="AD713" s="35"/>
    </row>
    <row r="714" spans="1:30">
      <c r="A714" s="102">
        <f t="shared" si="11"/>
        <v>713</v>
      </c>
      <c r="B714" s="257">
        <f>YEAR(Table6[[#This Row],[Date]])+IF(MONTH(Table6[[#This Row],[Date]])&gt;=4,1,0)</f>
        <v>2026</v>
      </c>
      <c r="C714" s="102">
        <f>YEAR(Table6[[#This Row],[Date]])</f>
        <v>2025</v>
      </c>
      <c r="D714" s="102" t="s">
        <v>265</v>
      </c>
      <c r="E714" s="258">
        <f>Table6[[#This Row],[Date]]-DAY(Table6[[#This Row],[Date]])+1</f>
        <v>45778</v>
      </c>
      <c r="F714" s="259">
        <v>45791</v>
      </c>
      <c r="G714" s="35" t="s">
        <v>137</v>
      </c>
      <c r="H714" s="35" t="str">
        <f>IFERROR(_xlfn.XLOOKUP(Table6[[#This Row],[Affected WTG]],'Basic Data'!$A:$A,'Basic Data'!$B:$B),"")</f>
        <v>TQGXIIPL</v>
      </c>
      <c r="I714" s="35" t="str">
        <f>IFERROR(_xlfn.XLOOKUP(Table6[[#This Row],[Affected WTG]],'Basic Data'!$A:$A,'Basic Data'!$C:$C),"")</f>
        <v>GEDA</v>
      </c>
      <c r="J714" s="260">
        <f>IFERROR(_xlfn.XLOOKUP(Table6[[#This Row],[Affected WTG]],'Basic Data'!$A:$A,'Basic Data'!$E:$E),"")</f>
        <v>3.846153846153845E-2</v>
      </c>
      <c r="K714" s="102">
        <v>55</v>
      </c>
      <c r="L714" s="35" t="str">
        <f>IFERROR(_xlfn.XLOOKUP(Table6[[#This Row],[Error Code]],'Basic Data'!$AA:$AA,'Basic Data'!$AB:$AB),"Incorrect Error Code")</f>
        <v>WTG shut down</v>
      </c>
      <c r="M714" s="35" t="s">
        <v>316</v>
      </c>
      <c r="N714" s="264"/>
      <c r="O714" s="265">
        <v>0.62152777777777779</v>
      </c>
      <c r="P714" s="265">
        <v>0.62152777777777779</v>
      </c>
      <c r="Q714" s="266">
        <v>0.69236111111111109</v>
      </c>
      <c r="R714" s="261">
        <f>IF(Table6[[#This Row],[Work Start TimeStamp]]="","",(Table6[[#This Row],[Work Start TimeStamp]]-Table6[[#This Row],[Fault Start TimeStamp]])*24)</f>
        <v>0</v>
      </c>
      <c r="S714" s="261">
        <f>(Table6[[#This Row],[Fault Clearance time]]-Table6[[#This Row],[Work Start TimeStamp]])*24</f>
        <v>1.6999999999999993</v>
      </c>
      <c r="T714" s="261">
        <f>(Table6[[#This Row],[Fault Clearance time]]-Table6[[#This Row],[Fault Start TimeStamp]])*24</f>
        <v>1.6999999999999993</v>
      </c>
      <c r="U714" s="35" t="s">
        <v>441</v>
      </c>
      <c r="V714" s="102" t="s">
        <v>268</v>
      </c>
      <c r="W714" s="267">
        <f>IFERROR(Table6[[#This Row],[Breakdown Time]]*Table6[[#This Row],[Plant Equivalent Weightage]],"")</f>
        <v>6.5384615384615333E-2</v>
      </c>
      <c r="X714" s="262" t="s">
        <v>269</v>
      </c>
      <c r="Y714" s="263" t="s">
        <v>125</v>
      </c>
      <c r="Z714" s="102">
        <v>14181</v>
      </c>
      <c r="AA714" s="257">
        <f>(Table6[[#This Row],[Paired WTG Generation for loss calculation]]/24)*Table6[[#This Row],[Breakdown Time]]</f>
        <v>1004.4874999999996</v>
      </c>
      <c r="AB714" s="102"/>
      <c r="AC714" s="35"/>
      <c r="AD714" s="35"/>
    </row>
    <row r="715" spans="1:30">
      <c r="A715" s="102">
        <f t="shared" si="11"/>
        <v>714</v>
      </c>
      <c r="B715" s="257">
        <f>YEAR(Table6[[#This Row],[Date]])+IF(MONTH(Table6[[#This Row],[Date]])&gt;=4,1,0)</f>
        <v>2026</v>
      </c>
      <c r="C715" s="102">
        <f>YEAR(Table6[[#This Row],[Date]])</f>
        <v>2025</v>
      </c>
      <c r="D715" s="102" t="s">
        <v>265</v>
      </c>
      <c r="E715" s="258">
        <f>Table6[[#This Row],[Date]]-DAY(Table6[[#This Row],[Date]])+1</f>
        <v>45778</v>
      </c>
      <c r="F715" s="259">
        <v>45791</v>
      </c>
      <c r="G715" s="35" t="s">
        <v>137</v>
      </c>
      <c r="H715" s="35" t="str">
        <f>IFERROR(_xlfn.XLOOKUP(Table6[[#This Row],[Affected WTG]],'Basic Data'!$A:$A,'Basic Data'!$B:$B),"")</f>
        <v>TQGXIIPL</v>
      </c>
      <c r="I715" s="35" t="str">
        <f>IFERROR(_xlfn.XLOOKUP(Table6[[#This Row],[Affected WTG]],'Basic Data'!$A:$A,'Basic Data'!$C:$C),"")</f>
        <v>GEDA</v>
      </c>
      <c r="J715" s="260">
        <f>IFERROR(_xlfn.XLOOKUP(Table6[[#This Row],[Affected WTG]],'Basic Data'!$A:$A,'Basic Data'!$E:$E),"")</f>
        <v>3.846153846153845E-2</v>
      </c>
      <c r="K715" s="102">
        <v>4970</v>
      </c>
      <c r="L715" s="35" t="str">
        <f>IFERROR(_xlfn.XLOOKUP(Table6[[#This Row],[Error Code]],'Basic Data'!$AA:$AA,'Basic Data'!$AB:$AB),"Incorrect Error Code")</f>
        <v>Tower oscillation XF</v>
      </c>
      <c r="M715" s="35" t="s">
        <v>266</v>
      </c>
      <c r="N715" s="264"/>
      <c r="O715" s="265">
        <v>0.79166666666666663</v>
      </c>
      <c r="P715" s="265">
        <v>0.79166666666666663</v>
      </c>
      <c r="Q715" s="266">
        <v>0.80208333333333337</v>
      </c>
      <c r="R715" s="261">
        <f>IF(Table6[[#This Row],[Work Start TimeStamp]]="","",(Table6[[#This Row],[Work Start TimeStamp]]-Table6[[#This Row],[Fault Start TimeStamp]])*24)</f>
        <v>0</v>
      </c>
      <c r="S715" s="261">
        <f>(Table6[[#This Row],[Fault Clearance time]]-Table6[[#This Row],[Work Start TimeStamp]])*24</f>
        <v>0.25000000000000178</v>
      </c>
      <c r="T715" s="261">
        <f>(Table6[[#This Row],[Fault Clearance time]]-Table6[[#This Row],[Fault Start TimeStamp]])*24</f>
        <v>0.25000000000000178</v>
      </c>
      <c r="U715" s="35" t="s">
        <v>440</v>
      </c>
      <c r="V715" s="102" t="s">
        <v>268</v>
      </c>
      <c r="W715" s="267">
        <f>IFERROR(Table6[[#This Row],[Breakdown Time]]*Table6[[#This Row],[Plant Equivalent Weightage]],"")</f>
        <v>9.6153846153846801E-3</v>
      </c>
      <c r="X715" s="262" t="s">
        <v>269</v>
      </c>
      <c r="Y715" s="263" t="s">
        <v>125</v>
      </c>
      <c r="Z715" s="102">
        <v>14181</v>
      </c>
      <c r="AA715" s="257">
        <f>(Table6[[#This Row],[Paired WTG Generation for loss calculation]]/24)*Table6[[#This Row],[Breakdown Time]]</f>
        <v>147.71875000000105</v>
      </c>
      <c r="AB715" s="102"/>
      <c r="AC715" s="35"/>
      <c r="AD715" s="35"/>
    </row>
    <row r="716" spans="1:30">
      <c r="A716" s="102">
        <f t="shared" si="11"/>
        <v>715</v>
      </c>
      <c r="B716" s="257">
        <f>YEAR(Table6[[#This Row],[Date]])+IF(MONTH(Table6[[#This Row],[Date]])&gt;=4,1,0)</f>
        <v>2026</v>
      </c>
      <c r="C716" s="102">
        <f>YEAR(Table6[[#This Row],[Date]])</f>
        <v>2025</v>
      </c>
      <c r="D716" s="102" t="s">
        <v>265</v>
      </c>
      <c r="E716" s="258">
        <f>Table6[[#This Row],[Date]]-DAY(Table6[[#This Row],[Date]])+1</f>
        <v>45778</v>
      </c>
      <c r="F716" s="259">
        <v>45791</v>
      </c>
      <c r="G716" s="35" t="s">
        <v>139</v>
      </c>
      <c r="H716" s="35" t="str">
        <f>IFERROR(_xlfn.XLOOKUP(Table6[[#This Row],[Affected WTG]],'Basic Data'!$A:$A,'Basic Data'!$B:$B),"")</f>
        <v>TQGXIIPL</v>
      </c>
      <c r="I716" s="35" t="str">
        <f>IFERROR(_xlfn.XLOOKUP(Table6[[#This Row],[Affected WTG]],'Basic Data'!$A:$A,'Basic Data'!$C:$C),"")</f>
        <v>GEDA</v>
      </c>
      <c r="J716" s="260">
        <f>IFERROR(_xlfn.XLOOKUP(Table6[[#This Row],[Affected WTG]],'Basic Data'!$A:$A,'Basic Data'!$E:$E),"")</f>
        <v>3.846153846153845E-2</v>
      </c>
      <c r="K716" s="102">
        <v>55</v>
      </c>
      <c r="L716" s="35" t="str">
        <f>IFERROR(_xlfn.XLOOKUP(Table6[[#This Row],[Error Code]],'Basic Data'!$AA:$AA,'Basic Data'!$AB:$AB),"Incorrect Error Code")</f>
        <v>WTG shut down</v>
      </c>
      <c r="M716" s="35" t="s">
        <v>300</v>
      </c>
      <c r="N716" s="264"/>
      <c r="O716" s="265">
        <v>0.79236111111111107</v>
      </c>
      <c r="P716" s="265">
        <v>0.79236111111111107</v>
      </c>
      <c r="Q716" s="266">
        <v>0.80347222222222225</v>
      </c>
      <c r="R716" s="261">
        <f>IF(Table6[[#This Row],[Work Start TimeStamp]]="","",(Table6[[#This Row],[Work Start TimeStamp]]-Table6[[#This Row],[Fault Start TimeStamp]])*24)</f>
        <v>0</v>
      </c>
      <c r="S716" s="261">
        <f>(Table6[[#This Row],[Fault Clearance time]]-Table6[[#This Row],[Work Start TimeStamp]])*24</f>
        <v>0.26666666666666838</v>
      </c>
      <c r="T716" s="261">
        <f>(Table6[[#This Row],[Fault Clearance time]]-Table6[[#This Row],[Fault Start TimeStamp]])*24</f>
        <v>0.26666666666666838</v>
      </c>
      <c r="U716" s="35" t="s">
        <v>385</v>
      </c>
      <c r="V716" s="102" t="s">
        <v>268</v>
      </c>
      <c r="W716" s="267">
        <f>IFERROR(Table6[[#This Row],[Breakdown Time]]*Table6[[#This Row],[Plant Equivalent Weightage]],"")</f>
        <v>1.0256410256410319E-2</v>
      </c>
      <c r="X716" s="262" t="s">
        <v>269</v>
      </c>
      <c r="Y716" s="263" t="s">
        <v>115</v>
      </c>
      <c r="Z716" s="102">
        <v>16319</v>
      </c>
      <c r="AA716" s="257">
        <f>(Table6[[#This Row],[Paired WTG Generation for loss calculation]]/24)*Table6[[#This Row],[Breakdown Time]]</f>
        <v>181.32222222222339</v>
      </c>
      <c r="AB716" s="102"/>
      <c r="AC716" s="35"/>
      <c r="AD716" s="35"/>
    </row>
    <row r="717" spans="1:30">
      <c r="A717" s="102">
        <f t="shared" si="11"/>
        <v>716</v>
      </c>
      <c r="B717" s="257">
        <f>YEAR(Table6[[#This Row],[Date]])+IF(MONTH(Table6[[#This Row],[Date]])&gt;=4,1,0)</f>
        <v>2026</v>
      </c>
      <c r="C717" s="102">
        <f>YEAR(Table6[[#This Row],[Date]])</f>
        <v>2025</v>
      </c>
      <c r="D717" s="102" t="s">
        <v>265</v>
      </c>
      <c r="E717" s="258">
        <f>Table6[[#This Row],[Date]]-DAY(Table6[[#This Row],[Date]])+1</f>
        <v>45778</v>
      </c>
      <c r="F717" s="259">
        <v>45791</v>
      </c>
      <c r="G717" s="35" t="s">
        <v>139</v>
      </c>
      <c r="H717" s="35" t="str">
        <f>IFERROR(_xlfn.XLOOKUP(Table6[[#This Row],[Affected WTG]],'Basic Data'!$A:$A,'Basic Data'!$B:$B),"")</f>
        <v>TQGXIIPL</v>
      </c>
      <c r="I717" s="35" t="str">
        <f>IFERROR(_xlfn.XLOOKUP(Table6[[#This Row],[Affected WTG]],'Basic Data'!$A:$A,'Basic Data'!$C:$C),"")</f>
        <v>GEDA</v>
      </c>
      <c r="J717" s="260">
        <f>IFERROR(_xlfn.XLOOKUP(Table6[[#This Row],[Affected WTG]],'Basic Data'!$A:$A,'Basic Data'!$E:$E),"")</f>
        <v>3.846153846153845E-2</v>
      </c>
      <c r="K717" s="102">
        <v>55</v>
      </c>
      <c r="L717" s="35" t="str">
        <f>IFERROR(_xlfn.XLOOKUP(Table6[[#This Row],[Error Code]],'Basic Data'!$AA:$AA,'Basic Data'!$AB:$AB),"Incorrect Error Code")</f>
        <v>WTG shut down</v>
      </c>
      <c r="M717" s="35" t="s">
        <v>300</v>
      </c>
      <c r="N717" s="264"/>
      <c r="O717" s="265">
        <v>0.80833333333333335</v>
      </c>
      <c r="P717" s="265">
        <v>0.80833333333333335</v>
      </c>
      <c r="Q717" s="266">
        <v>0.83333333333333337</v>
      </c>
      <c r="R717" s="261">
        <f>IF(Table6[[#This Row],[Work Start TimeStamp]]="","",(Table6[[#This Row],[Work Start TimeStamp]]-Table6[[#This Row],[Fault Start TimeStamp]])*24)</f>
        <v>0</v>
      </c>
      <c r="S717" s="261">
        <f>(Table6[[#This Row],[Fault Clearance time]]-Table6[[#This Row],[Work Start TimeStamp]])*24</f>
        <v>0.60000000000000053</v>
      </c>
      <c r="T717" s="261">
        <f>(Table6[[#This Row],[Fault Clearance time]]-Table6[[#This Row],[Fault Start TimeStamp]])*24</f>
        <v>0.60000000000000053</v>
      </c>
      <c r="U717" s="35" t="s">
        <v>385</v>
      </c>
      <c r="V717" s="102" t="s">
        <v>268</v>
      </c>
      <c r="W717" s="267">
        <f>IFERROR(Table6[[#This Row],[Breakdown Time]]*Table6[[#This Row],[Plant Equivalent Weightage]],"")</f>
        <v>2.3076923076923092E-2</v>
      </c>
      <c r="X717" s="262" t="s">
        <v>269</v>
      </c>
      <c r="Y717" s="263" t="s">
        <v>115</v>
      </c>
      <c r="Z717" s="102">
        <v>16319</v>
      </c>
      <c r="AA717" s="257">
        <f>(Table6[[#This Row],[Paired WTG Generation for loss calculation]]/24)*Table6[[#This Row],[Breakdown Time]]</f>
        <v>407.97500000000036</v>
      </c>
      <c r="AB717" s="102"/>
      <c r="AC717" s="35"/>
      <c r="AD717" s="35"/>
    </row>
    <row r="718" spans="1:30">
      <c r="A718" s="102">
        <f t="shared" ref="A718:A781" si="12">A717+1</f>
        <v>717</v>
      </c>
      <c r="B718" s="257">
        <f>YEAR(Table6[[#This Row],[Date]])+IF(MONTH(Table6[[#This Row],[Date]])&gt;=4,1,0)</f>
        <v>2026</v>
      </c>
      <c r="C718" s="102">
        <f>YEAR(Table6[[#This Row],[Date]])</f>
        <v>2025</v>
      </c>
      <c r="D718" s="102" t="s">
        <v>265</v>
      </c>
      <c r="E718" s="258">
        <f>Table6[[#This Row],[Date]]-DAY(Table6[[#This Row],[Date]])+1</f>
        <v>45778</v>
      </c>
      <c r="F718" s="259">
        <v>45792</v>
      </c>
      <c r="G718" s="35" t="s">
        <v>115</v>
      </c>
      <c r="H718" s="35" t="str">
        <f>IFERROR(_xlfn.XLOOKUP(Table6[[#This Row],[Affected WTG]],'Basic Data'!$A:$A,'Basic Data'!$B:$B),"")</f>
        <v>TQGXIIPL</v>
      </c>
      <c r="I718" s="35" t="str">
        <f>IFERROR(_xlfn.XLOOKUP(Table6[[#This Row],[Affected WTG]],'Basic Data'!$A:$A,'Basic Data'!$C:$C),"")</f>
        <v>GEDA</v>
      </c>
      <c r="J718" s="260">
        <f>IFERROR(_xlfn.XLOOKUP(Table6[[#This Row],[Affected WTG]],'Basic Data'!$A:$A,'Basic Data'!$E:$E),"")</f>
        <v>3.846153846153845E-2</v>
      </c>
      <c r="K718" s="102">
        <v>6130</v>
      </c>
      <c r="L718" s="35" t="str">
        <f>IFERROR(_xlfn.XLOOKUP(Table6[[#This Row],[Error Code]],'Basic Data'!$AA:$AA,'Basic Data'!$AB:$AB),"Incorrect Error Code")</f>
        <v>Yaw speed high</v>
      </c>
      <c r="M718" s="35" t="s">
        <v>266</v>
      </c>
      <c r="N718" s="264"/>
      <c r="O718" s="265">
        <v>0.76875000000000004</v>
      </c>
      <c r="P718" s="265">
        <v>0.76875000000000004</v>
      </c>
      <c r="Q718" s="266">
        <v>0.7729166666666667</v>
      </c>
      <c r="R718" s="261">
        <f>IF(Table6[[#This Row],[Work Start TimeStamp]]="","",(Table6[[#This Row],[Work Start TimeStamp]]-Table6[[#This Row],[Fault Start TimeStamp]])*24)</f>
        <v>0</v>
      </c>
      <c r="S718" s="261">
        <f>(Table6[[#This Row],[Fault Clearance time]]-Table6[[#This Row],[Work Start TimeStamp]])*24</f>
        <v>9.9999999999999645E-2</v>
      </c>
      <c r="T718" s="261">
        <f>(Table6[[#This Row],[Fault Clearance time]]-Table6[[#This Row],[Fault Start TimeStamp]])*24</f>
        <v>9.9999999999999645E-2</v>
      </c>
      <c r="U718" s="35" t="s">
        <v>440</v>
      </c>
      <c r="V718" s="102" t="s">
        <v>268</v>
      </c>
      <c r="W718" s="267">
        <f>IFERROR(Table6[[#This Row],[Breakdown Time]]*Table6[[#This Row],[Plant Equivalent Weightage]],"")</f>
        <v>3.8461538461538312E-3</v>
      </c>
      <c r="X718" s="262" t="s">
        <v>269</v>
      </c>
      <c r="Y718" s="263" t="s">
        <v>140</v>
      </c>
      <c r="Z718" s="102">
        <v>11056</v>
      </c>
      <c r="AA718" s="257">
        <f>(Table6[[#This Row],[Paired WTG Generation for loss calculation]]/24)*Table6[[#This Row],[Breakdown Time]]</f>
        <v>46.066666666666507</v>
      </c>
      <c r="AB718" s="102"/>
      <c r="AC718" s="35"/>
      <c r="AD718" s="35"/>
    </row>
    <row r="719" spans="1:30">
      <c r="A719" s="102">
        <f t="shared" si="12"/>
        <v>718</v>
      </c>
      <c r="B719" s="257">
        <f>YEAR(Table6[[#This Row],[Date]])+IF(MONTH(Table6[[#This Row],[Date]])&gt;=4,1,0)</f>
        <v>2026</v>
      </c>
      <c r="C719" s="102">
        <f>YEAR(Table6[[#This Row],[Date]])</f>
        <v>2025</v>
      </c>
      <c r="D719" s="102" t="s">
        <v>265</v>
      </c>
      <c r="E719" s="258">
        <f>Table6[[#This Row],[Date]]-DAY(Table6[[#This Row],[Date]])+1</f>
        <v>45778</v>
      </c>
      <c r="F719" s="259">
        <v>45792</v>
      </c>
      <c r="G719" s="35" t="s">
        <v>119</v>
      </c>
      <c r="H719" s="35" t="str">
        <f>IFERROR(_xlfn.XLOOKUP(Table6[[#This Row],[Affected WTG]],'Basic Data'!$A:$A,'Basic Data'!$B:$B),"")</f>
        <v>TQGXIIPL</v>
      </c>
      <c r="I719" s="35" t="str">
        <f>IFERROR(_xlfn.XLOOKUP(Table6[[#This Row],[Affected WTG]],'Basic Data'!$A:$A,'Basic Data'!$C:$C),"")</f>
        <v>GEDA</v>
      </c>
      <c r="J719" s="260">
        <f>IFERROR(_xlfn.XLOOKUP(Table6[[#This Row],[Affected WTG]],'Basic Data'!$A:$A,'Basic Data'!$E:$E),"")</f>
        <v>3.846153846153845E-2</v>
      </c>
      <c r="K719" s="102">
        <v>3110</v>
      </c>
      <c r="L719" s="35" t="str">
        <f>IFERROR(_xlfn.XLOOKUP(Table6[[#This Row],[Error Code]],'Basic Data'!$AA:$AA,'Basic Data'!$AB:$AB),"Incorrect Error Code")</f>
        <v>Frequency converter error</v>
      </c>
      <c r="M719" s="35" t="s">
        <v>266</v>
      </c>
      <c r="N719" s="264"/>
      <c r="O719" s="265">
        <v>0.12708333333333333</v>
      </c>
      <c r="P719" s="265">
        <v>0.12708333333333333</v>
      </c>
      <c r="Q719" s="266">
        <v>0.15</v>
      </c>
      <c r="R719" s="261">
        <f>IF(Table6[[#This Row],[Work Start TimeStamp]]="","",(Table6[[#This Row],[Work Start TimeStamp]]-Table6[[#This Row],[Fault Start TimeStamp]])*24)</f>
        <v>0</v>
      </c>
      <c r="S719" s="261">
        <f>(Table6[[#This Row],[Fault Clearance time]]-Table6[[#This Row],[Work Start TimeStamp]])*24</f>
        <v>0.55000000000000004</v>
      </c>
      <c r="T719" s="261">
        <f>(Table6[[#This Row],[Fault Clearance time]]-Table6[[#This Row],[Fault Start TimeStamp]])*24</f>
        <v>0.55000000000000004</v>
      </c>
      <c r="U719" s="35" t="s">
        <v>440</v>
      </c>
      <c r="V719" s="102" t="s">
        <v>268</v>
      </c>
      <c r="W719" s="267">
        <f>IFERROR(Table6[[#This Row],[Breakdown Time]]*Table6[[#This Row],[Plant Equivalent Weightage]],"")</f>
        <v>2.1153846153846148E-2</v>
      </c>
      <c r="X719" s="262" t="s">
        <v>269</v>
      </c>
      <c r="Y719" s="263" t="s">
        <v>116</v>
      </c>
      <c r="Z719" s="102">
        <v>13755</v>
      </c>
      <c r="AA719" s="257">
        <f>(Table6[[#This Row],[Paired WTG Generation for loss calculation]]/24)*Table6[[#This Row],[Breakdown Time]]</f>
        <v>315.21875</v>
      </c>
      <c r="AB719" s="102"/>
      <c r="AC719" s="35"/>
      <c r="AD719" s="35"/>
    </row>
    <row r="720" spans="1:30">
      <c r="A720" s="102">
        <f t="shared" si="12"/>
        <v>719</v>
      </c>
      <c r="B720" s="257">
        <f>YEAR(Table6[[#This Row],[Date]])+IF(MONTH(Table6[[#This Row],[Date]])&gt;=4,1,0)</f>
        <v>2026</v>
      </c>
      <c r="C720" s="102">
        <f>YEAR(Table6[[#This Row],[Date]])</f>
        <v>2025</v>
      </c>
      <c r="D720" s="102" t="s">
        <v>265</v>
      </c>
      <c r="E720" s="258">
        <f>Table6[[#This Row],[Date]]-DAY(Table6[[#This Row],[Date]])+1</f>
        <v>45778</v>
      </c>
      <c r="F720" s="259">
        <v>45792</v>
      </c>
      <c r="G720" s="35" t="s">
        <v>119</v>
      </c>
      <c r="H720" s="35" t="str">
        <f>IFERROR(_xlfn.XLOOKUP(Table6[[#This Row],[Affected WTG]],'Basic Data'!$A:$A,'Basic Data'!$B:$B),"")</f>
        <v>TQGXIIPL</v>
      </c>
      <c r="I720" s="35" t="str">
        <f>IFERROR(_xlfn.XLOOKUP(Table6[[#This Row],[Affected WTG]],'Basic Data'!$A:$A,'Basic Data'!$C:$C),"")</f>
        <v>GEDA</v>
      </c>
      <c r="J720" s="260">
        <f>IFERROR(_xlfn.XLOOKUP(Table6[[#This Row],[Affected WTG]],'Basic Data'!$A:$A,'Basic Data'!$E:$E),"")</f>
        <v>3.846153846153845E-2</v>
      </c>
      <c r="K720" s="102">
        <v>55</v>
      </c>
      <c r="L720" s="35" t="str">
        <f>IFERROR(_xlfn.XLOOKUP(Table6[[#This Row],[Error Code]],'Basic Data'!$AA:$AA,'Basic Data'!$AB:$AB),"Incorrect Error Code")</f>
        <v>WTG shut down</v>
      </c>
      <c r="M720" s="35" t="s">
        <v>316</v>
      </c>
      <c r="N720" s="264"/>
      <c r="O720" s="265">
        <v>0.45763888888888887</v>
      </c>
      <c r="P720" s="265">
        <v>0.45763888888888887</v>
      </c>
      <c r="Q720" s="266">
        <v>0.77361111111111114</v>
      </c>
      <c r="R720" s="261">
        <f>IF(Table6[[#This Row],[Work Start TimeStamp]]="","",(Table6[[#This Row],[Work Start TimeStamp]]-Table6[[#This Row],[Fault Start TimeStamp]])*24)</f>
        <v>0</v>
      </c>
      <c r="S720" s="261">
        <f>(Table6[[#This Row],[Fault Clearance time]]-Table6[[#This Row],[Work Start TimeStamp]])*24</f>
        <v>7.5833333333333339</v>
      </c>
      <c r="T720" s="261">
        <f>(Table6[[#This Row],[Fault Clearance time]]-Table6[[#This Row],[Fault Start TimeStamp]])*24</f>
        <v>7.5833333333333339</v>
      </c>
      <c r="U720" s="35" t="s">
        <v>442</v>
      </c>
      <c r="V720" s="102" t="s">
        <v>268</v>
      </c>
      <c r="W720" s="267">
        <f>IFERROR(Table6[[#This Row],[Breakdown Time]]*Table6[[#This Row],[Plant Equivalent Weightage]],"")</f>
        <v>0.29166666666666657</v>
      </c>
      <c r="X720" s="262" t="s">
        <v>296</v>
      </c>
      <c r="Y720" s="263" t="s">
        <v>116</v>
      </c>
      <c r="Z720" s="102">
        <v>13755</v>
      </c>
      <c r="AA720" s="257">
        <f>(Table6[[#This Row],[Paired WTG Generation for loss calculation]]/24)*Table6[[#This Row],[Breakdown Time]]</f>
        <v>4346.197916666667</v>
      </c>
      <c r="AB720" s="102"/>
      <c r="AC720" s="35"/>
      <c r="AD720" s="35"/>
    </row>
    <row r="721" spans="1:30">
      <c r="A721" s="102">
        <f t="shared" si="12"/>
        <v>720</v>
      </c>
      <c r="B721" s="257">
        <f>YEAR(Table6[[#This Row],[Date]])+IF(MONTH(Table6[[#This Row],[Date]])&gt;=4,1,0)</f>
        <v>2026</v>
      </c>
      <c r="C721" s="102">
        <f>YEAR(Table6[[#This Row],[Date]])</f>
        <v>2025</v>
      </c>
      <c r="D721" s="102" t="s">
        <v>265</v>
      </c>
      <c r="E721" s="258">
        <f>Table6[[#This Row],[Date]]-DAY(Table6[[#This Row],[Date]])+1</f>
        <v>45778</v>
      </c>
      <c r="F721" s="259">
        <v>45792</v>
      </c>
      <c r="G721" s="35" t="s">
        <v>121</v>
      </c>
      <c r="H721" s="35" t="str">
        <f>IFERROR(_xlfn.XLOOKUP(Table6[[#This Row],[Affected WTG]],'Basic Data'!$A:$A,'Basic Data'!$B:$B),"")</f>
        <v>TQGXIIPL</v>
      </c>
      <c r="I721" s="35" t="str">
        <f>IFERROR(_xlfn.XLOOKUP(Table6[[#This Row],[Affected WTG]],'Basic Data'!$A:$A,'Basic Data'!$C:$C),"")</f>
        <v>GEDA</v>
      </c>
      <c r="J721" s="260">
        <f>IFERROR(_xlfn.XLOOKUP(Table6[[#This Row],[Affected WTG]],'Basic Data'!$A:$A,'Basic Data'!$E:$E),"")</f>
        <v>3.846153846153845E-2</v>
      </c>
      <c r="K721" s="102">
        <v>3800</v>
      </c>
      <c r="L721" s="35" t="str">
        <f>IFERROR(_xlfn.XLOOKUP(Table6[[#This Row],[Error Code]],'Basic Data'!$AA:$AA,'Basic Data'!$AB:$AB),"Incorrect Error Code")</f>
        <v>Circuit breaker</v>
      </c>
      <c r="M721" s="35" t="s">
        <v>291</v>
      </c>
      <c r="N721" s="264"/>
      <c r="O721" s="265">
        <v>0.11597222222222223</v>
      </c>
      <c r="P721" s="265">
        <v>0.11597222222222223</v>
      </c>
      <c r="Q721" s="266">
        <v>0.53749999999999998</v>
      </c>
      <c r="R721" s="261">
        <f>IF(Table6[[#This Row],[Work Start TimeStamp]]="","",(Table6[[#This Row],[Work Start TimeStamp]]-Table6[[#This Row],[Fault Start TimeStamp]])*24)</f>
        <v>0</v>
      </c>
      <c r="S721" s="261">
        <f>(Table6[[#This Row],[Fault Clearance time]]-Table6[[#This Row],[Work Start TimeStamp]])*24</f>
        <v>10.116666666666665</v>
      </c>
      <c r="T721" s="261">
        <f>(Table6[[#This Row],[Fault Clearance time]]-Table6[[#This Row],[Fault Start TimeStamp]])*24</f>
        <v>10.116666666666665</v>
      </c>
      <c r="U721" s="35" t="s">
        <v>443</v>
      </c>
      <c r="V721" s="102" t="s">
        <v>268</v>
      </c>
      <c r="W721" s="267">
        <f>IFERROR(Table6[[#This Row],[Breakdown Time]]*Table6[[#This Row],[Plant Equivalent Weightage]],"")</f>
        <v>0.38910256410256394</v>
      </c>
      <c r="X721" s="262" t="s">
        <v>296</v>
      </c>
      <c r="Y721" s="263" t="s">
        <v>118</v>
      </c>
      <c r="Z721" s="102">
        <v>10727</v>
      </c>
      <c r="AA721" s="257">
        <f>(Table6[[#This Row],[Paired WTG Generation for loss calculation]]/24)*Table6[[#This Row],[Breakdown Time]]</f>
        <v>4521.7284722222212</v>
      </c>
      <c r="AB721" s="102"/>
      <c r="AC721" s="35"/>
      <c r="AD721" s="35"/>
    </row>
    <row r="722" spans="1:30">
      <c r="A722" s="102">
        <f t="shared" si="12"/>
        <v>721</v>
      </c>
      <c r="B722" s="257">
        <f>YEAR(Table6[[#This Row],[Date]])+IF(MONTH(Table6[[#This Row],[Date]])&gt;=4,1,0)</f>
        <v>2026</v>
      </c>
      <c r="C722" s="102">
        <f>YEAR(Table6[[#This Row],[Date]])</f>
        <v>2025</v>
      </c>
      <c r="D722" s="102" t="s">
        <v>265</v>
      </c>
      <c r="E722" s="258">
        <f>Table6[[#This Row],[Date]]-DAY(Table6[[#This Row],[Date]])+1</f>
        <v>45778</v>
      </c>
      <c r="F722" s="259">
        <v>45792</v>
      </c>
      <c r="G722" s="35" t="s">
        <v>121</v>
      </c>
      <c r="H722" s="35" t="str">
        <f>IFERROR(_xlfn.XLOOKUP(Table6[[#This Row],[Affected WTG]],'Basic Data'!$A:$A,'Basic Data'!$B:$B),"")</f>
        <v>TQGXIIPL</v>
      </c>
      <c r="I722" s="35" t="str">
        <f>IFERROR(_xlfn.XLOOKUP(Table6[[#This Row],[Affected WTG]],'Basic Data'!$A:$A,'Basic Data'!$C:$C),"")</f>
        <v>GEDA</v>
      </c>
      <c r="J722" s="260">
        <f>IFERROR(_xlfn.XLOOKUP(Table6[[#This Row],[Affected WTG]],'Basic Data'!$A:$A,'Basic Data'!$E:$E),"")</f>
        <v>3.846153846153845E-2</v>
      </c>
      <c r="K722" s="102">
        <v>3800</v>
      </c>
      <c r="L722" s="35" t="str">
        <f>IFERROR(_xlfn.XLOOKUP(Table6[[#This Row],[Error Code]],'Basic Data'!$AA:$AA,'Basic Data'!$AB:$AB),"Incorrect Error Code")</f>
        <v>Circuit breaker</v>
      </c>
      <c r="M722" s="35" t="s">
        <v>266</v>
      </c>
      <c r="N722" s="264"/>
      <c r="O722" s="265">
        <v>0.93055555555555558</v>
      </c>
      <c r="P722" s="265">
        <v>0.93055555555555558</v>
      </c>
      <c r="Q722" s="266">
        <v>0.99998842592592596</v>
      </c>
      <c r="R722" s="261">
        <f>IF(Table6[[#This Row],[Work Start TimeStamp]]="","",(Table6[[#This Row],[Work Start TimeStamp]]-Table6[[#This Row],[Fault Start TimeStamp]])*24)</f>
        <v>0</v>
      </c>
      <c r="S722" s="261">
        <f>(Table6[[#This Row],[Fault Clearance time]]-Table6[[#This Row],[Work Start TimeStamp]])*24</f>
        <v>1.6663888888888891</v>
      </c>
      <c r="T722" s="261">
        <f>(Table6[[#This Row],[Fault Clearance time]]-Table6[[#This Row],[Fault Start TimeStamp]])*24</f>
        <v>1.6663888888888891</v>
      </c>
      <c r="U722" s="35" t="s">
        <v>444</v>
      </c>
      <c r="V722" s="102" t="s">
        <v>268</v>
      </c>
      <c r="W722" s="267">
        <f>IFERROR(Table6[[#This Row],[Breakdown Time]]*Table6[[#This Row],[Plant Equivalent Weightage]],"")</f>
        <v>6.4091880341880333E-2</v>
      </c>
      <c r="X722" s="262" t="s">
        <v>296</v>
      </c>
      <c r="Y722" s="263" t="s">
        <v>118</v>
      </c>
      <c r="Z722" s="102">
        <v>10727</v>
      </c>
      <c r="AA722" s="257">
        <f>(Table6[[#This Row],[Paired WTG Generation for loss calculation]]/24)*Table6[[#This Row],[Breakdown Time]]</f>
        <v>744.8064004629631</v>
      </c>
      <c r="AB722" s="102"/>
      <c r="AC722" s="35"/>
      <c r="AD722" s="35"/>
    </row>
    <row r="723" spans="1:30">
      <c r="A723" s="102">
        <f t="shared" si="12"/>
        <v>722</v>
      </c>
      <c r="B723" s="257">
        <f>YEAR(Table6[[#This Row],[Date]])+IF(MONTH(Table6[[#This Row],[Date]])&gt;=4,1,0)</f>
        <v>2026</v>
      </c>
      <c r="C723" s="102">
        <f>YEAR(Table6[[#This Row],[Date]])</f>
        <v>2025</v>
      </c>
      <c r="D723" s="102" t="s">
        <v>265</v>
      </c>
      <c r="E723" s="258">
        <f>Table6[[#This Row],[Date]]-DAY(Table6[[#This Row],[Date]])+1</f>
        <v>45778</v>
      </c>
      <c r="F723" s="259">
        <v>45792</v>
      </c>
      <c r="G723" s="35" t="s">
        <v>122</v>
      </c>
      <c r="H723" s="35" t="str">
        <f>IFERROR(_xlfn.XLOOKUP(Table6[[#This Row],[Affected WTG]],'Basic Data'!$A:$A,'Basic Data'!$B:$B),"")</f>
        <v>TQGXIIPL</v>
      </c>
      <c r="I723" s="35" t="str">
        <f>IFERROR(_xlfn.XLOOKUP(Table6[[#This Row],[Affected WTG]],'Basic Data'!$A:$A,'Basic Data'!$C:$C),"")</f>
        <v>GEDA</v>
      </c>
      <c r="J723" s="260">
        <f>IFERROR(_xlfn.XLOOKUP(Table6[[#This Row],[Affected WTG]],'Basic Data'!$A:$A,'Basic Data'!$E:$E),"")</f>
        <v>3.846153846153845E-2</v>
      </c>
      <c r="K723" s="102">
        <v>55</v>
      </c>
      <c r="L723" s="35" t="str">
        <f>IFERROR(_xlfn.XLOOKUP(Table6[[#This Row],[Error Code]],'Basic Data'!$AA:$AA,'Basic Data'!$AB:$AB),"Incorrect Error Code")</f>
        <v>WTG shut down</v>
      </c>
      <c r="M723" s="35" t="s">
        <v>300</v>
      </c>
      <c r="N723" s="264"/>
      <c r="O723" s="265">
        <v>0.82638888888888884</v>
      </c>
      <c r="P723" s="265">
        <v>0.82638888888888884</v>
      </c>
      <c r="Q723" s="266">
        <v>0.84166666666666667</v>
      </c>
      <c r="R723" s="261">
        <f>IF(Table6[[#This Row],[Work Start TimeStamp]]="","",(Table6[[#This Row],[Work Start TimeStamp]]-Table6[[#This Row],[Fault Start TimeStamp]])*24)</f>
        <v>0</v>
      </c>
      <c r="S723" s="261">
        <f>(Table6[[#This Row],[Fault Clearance time]]-Table6[[#This Row],[Work Start TimeStamp]])*24</f>
        <v>0.36666666666666803</v>
      </c>
      <c r="T723" s="261">
        <f>(Table6[[#This Row],[Fault Clearance time]]-Table6[[#This Row],[Fault Start TimeStamp]])*24</f>
        <v>0.36666666666666803</v>
      </c>
      <c r="U723" s="35" t="s">
        <v>385</v>
      </c>
      <c r="V723" s="102" t="s">
        <v>268</v>
      </c>
      <c r="W723" s="267">
        <f>IFERROR(Table6[[#This Row],[Breakdown Time]]*Table6[[#This Row],[Plant Equivalent Weightage]],"")</f>
        <v>1.4102564102564151E-2</v>
      </c>
      <c r="X723" s="262" t="s">
        <v>269</v>
      </c>
      <c r="Y723" s="263" t="s">
        <v>140</v>
      </c>
      <c r="Z723" s="102">
        <v>11056</v>
      </c>
      <c r="AA723" s="257">
        <f>(Table6[[#This Row],[Paired WTG Generation for loss calculation]]/24)*Table6[[#This Row],[Breakdown Time]]</f>
        <v>168.91111111111175</v>
      </c>
      <c r="AB723" s="102"/>
      <c r="AC723" s="35"/>
      <c r="AD723" s="35"/>
    </row>
    <row r="724" spans="1:30">
      <c r="A724" s="102">
        <f t="shared" si="12"/>
        <v>723</v>
      </c>
      <c r="B724" s="257">
        <f>YEAR(Table6[[#This Row],[Date]])+IF(MONTH(Table6[[#This Row],[Date]])&gt;=4,1,0)</f>
        <v>2026</v>
      </c>
      <c r="C724" s="102">
        <f>YEAR(Table6[[#This Row],[Date]])</f>
        <v>2025</v>
      </c>
      <c r="D724" s="102" t="s">
        <v>265</v>
      </c>
      <c r="E724" s="258">
        <f>Table6[[#This Row],[Date]]-DAY(Table6[[#This Row],[Date]])+1</f>
        <v>45778</v>
      </c>
      <c r="F724" s="259">
        <v>45792</v>
      </c>
      <c r="G724" s="35" t="s">
        <v>129</v>
      </c>
      <c r="H724" s="35" t="str">
        <f>IFERROR(_xlfn.XLOOKUP(Table6[[#This Row],[Affected WTG]],'Basic Data'!$A:$A,'Basic Data'!$B:$B),"")</f>
        <v>TQGXIIPL</v>
      </c>
      <c r="I724" s="35" t="str">
        <f>IFERROR(_xlfn.XLOOKUP(Table6[[#This Row],[Affected WTG]],'Basic Data'!$A:$A,'Basic Data'!$C:$C),"")</f>
        <v>GEDA</v>
      </c>
      <c r="J724" s="260">
        <f>IFERROR(_xlfn.XLOOKUP(Table6[[#This Row],[Affected WTG]],'Basic Data'!$A:$A,'Basic Data'!$E:$E),"")</f>
        <v>3.846153846153845E-2</v>
      </c>
      <c r="K724" s="102">
        <v>58</v>
      </c>
      <c r="L724" s="35" t="str">
        <f>IFERROR(_xlfn.XLOOKUP(Table6[[#This Row],[Error Code]],'Basic Data'!$AA:$AA,'Basic Data'!$AB:$AB),"Incorrect Error Code")</f>
        <v>Wind dir.dev. level 2</v>
      </c>
      <c r="M724" s="35" t="s">
        <v>266</v>
      </c>
      <c r="N724" s="264"/>
      <c r="O724" s="265">
        <v>0.7104166666666667</v>
      </c>
      <c r="P724" s="265">
        <v>0.7104166666666667</v>
      </c>
      <c r="Q724" s="266">
        <v>0.71250000000000002</v>
      </c>
      <c r="R724" s="261">
        <f>IF(Table6[[#This Row],[Work Start TimeStamp]]="","",(Table6[[#This Row],[Work Start TimeStamp]]-Table6[[#This Row],[Fault Start TimeStamp]])*24)</f>
        <v>0</v>
      </c>
      <c r="S724" s="261">
        <f>(Table6[[#This Row],[Fault Clearance time]]-Table6[[#This Row],[Work Start TimeStamp]])*24</f>
        <v>4.9999999999999822E-2</v>
      </c>
      <c r="T724" s="261">
        <f>(Table6[[#This Row],[Fault Clearance time]]-Table6[[#This Row],[Fault Start TimeStamp]])*24</f>
        <v>4.9999999999999822E-2</v>
      </c>
      <c r="U724" s="35" t="s">
        <v>440</v>
      </c>
      <c r="V724" s="102" t="s">
        <v>268</v>
      </c>
      <c r="W724" s="267">
        <f>IFERROR(Table6[[#This Row],[Breakdown Time]]*Table6[[#This Row],[Plant Equivalent Weightage]],"")</f>
        <v>1.9230769230769156E-3</v>
      </c>
      <c r="X724" s="262" t="s">
        <v>269</v>
      </c>
      <c r="Y724" s="263" t="s">
        <v>124</v>
      </c>
      <c r="Z724" s="102">
        <v>9261</v>
      </c>
      <c r="AA724" s="257">
        <f>(Table6[[#This Row],[Paired WTG Generation for loss calculation]]/24)*Table6[[#This Row],[Breakdown Time]]</f>
        <v>19.293749999999932</v>
      </c>
      <c r="AB724" s="102"/>
      <c r="AC724" s="35"/>
      <c r="AD724" s="35"/>
    </row>
    <row r="725" spans="1:30">
      <c r="A725" s="102">
        <f t="shared" si="12"/>
        <v>724</v>
      </c>
      <c r="B725" s="257">
        <f>YEAR(Table6[[#This Row],[Date]])+IF(MONTH(Table6[[#This Row],[Date]])&gt;=4,1,0)</f>
        <v>2026</v>
      </c>
      <c r="C725" s="102">
        <f>YEAR(Table6[[#This Row],[Date]])</f>
        <v>2025</v>
      </c>
      <c r="D725" s="102" t="s">
        <v>265</v>
      </c>
      <c r="E725" s="258">
        <f>Table6[[#This Row],[Date]]-DAY(Table6[[#This Row],[Date]])+1</f>
        <v>45778</v>
      </c>
      <c r="F725" s="259">
        <v>45792</v>
      </c>
      <c r="G725" s="35" t="s">
        <v>130</v>
      </c>
      <c r="H725" s="35" t="str">
        <f>IFERROR(_xlfn.XLOOKUP(Table6[[#This Row],[Affected WTG]],'Basic Data'!$A:$A,'Basic Data'!$B:$B),"")</f>
        <v>TQGXIIPL</v>
      </c>
      <c r="I725" s="35" t="str">
        <f>IFERROR(_xlfn.XLOOKUP(Table6[[#This Row],[Affected WTG]],'Basic Data'!$A:$A,'Basic Data'!$C:$C),"")</f>
        <v>GEDA</v>
      </c>
      <c r="J725" s="260">
        <f>IFERROR(_xlfn.XLOOKUP(Table6[[#This Row],[Affected WTG]],'Basic Data'!$A:$A,'Basic Data'!$E:$E),"")</f>
        <v>3.846153846153845E-2</v>
      </c>
      <c r="K725" s="102">
        <v>5510</v>
      </c>
      <c r="L725" s="35" t="str">
        <f>IFERROR(_xlfn.XLOOKUP(Table6[[#This Row],[Error Code]],'Basic Data'!$AA:$AA,'Basic Data'!$AB:$AB),"Incorrect Error Code")</f>
        <v>Low hydraulic pressure</v>
      </c>
      <c r="M725" s="35" t="s">
        <v>266</v>
      </c>
      <c r="N725" s="264"/>
      <c r="O725" s="265">
        <v>0.77500000000000002</v>
      </c>
      <c r="P725" s="265">
        <v>0.77500000000000002</v>
      </c>
      <c r="Q725" s="266">
        <v>0.77708333333333335</v>
      </c>
      <c r="R725" s="261">
        <f>IF(Table6[[#This Row],[Work Start TimeStamp]]="","",(Table6[[#This Row],[Work Start TimeStamp]]-Table6[[#This Row],[Fault Start TimeStamp]])*24)</f>
        <v>0</v>
      </c>
      <c r="S725" s="261">
        <f>(Table6[[#This Row],[Fault Clearance time]]-Table6[[#This Row],[Work Start TimeStamp]])*24</f>
        <v>4.9999999999999822E-2</v>
      </c>
      <c r="T725" s="261">
        <f>(Table6[[#This Row],[Fault Clearance time]]-Table6[[#This Row],[Fault Start TimeStamp]])*24</f>
        <v>4.9999999999999822E-2</v>
      </c>
      <c r="U725" s="35" t="s">
        <v>440</v>
      </c>
      <c r="V725" s="102" t="s">
        <v>268</v>
      </c>
      <c r="W725" s="267">
        <f>IFERROR(Table6[[#This Row],[Breakdown Time]]*Table6[[#This Row],[Plant Equivalent Weightage]],"")</f>
        <v>1.9230769230769156E-3</v>
      </c>
      <c r="X725" s="262" t="s">
        <v>269</v>
      </c>
      <c r="Y725" s="263" t="s">
        <v>135</v>
      </c>
      <c r="Z725" s="102">
        <v>8783</v>
      </c>
      <c r="AA725" s="257">
        <f>(Table6[[#This Row],[Paired WTG Generation for loss calculation]]/24)*Table6[[#This Row],[Breakdown Time]]</f>
        <v>18.297916666666602</v>
      </c>
      <c r="AB725" s="102"/>
      <c r="AC725" s="35"/>
      <c r="AD725" s="35"/>
    </row>
    <row r="726" spans="1:30">
      <c r="A726" s="102">
        <f t="shared" si="12"/>
        <v>725</v>
      </c>
      <c r="B726" s="257">
        <f>YEAR(Table6[[#This Row],[Date]])+IF(MONTH(Table6[[#This Row],[Date]])&gt;=4,1,0)</f>
        <v>2026</v>
      </c>
      <c r="C726" s="102">
        <f>YEAR(Table6[[#This Row],[Date]])</f>
        <v>2025</v>
      </c>
      <c r="D726" s="102" t="s">
        <v>265</v>
      </c>
      <c r="E726" s="258">
        <f>Table6[[#This Row],[Date]]-DAY(Table6[[#This Row],[Date]])+1</f>
        <v>45778</v>
      </c>
      <c r="F726" s="259">
        <v>45792</v>
      </c>
      <c r="G726" s="35" t="s">
        <v>137</v>
      </c>
      <c r="H726" s="35" t="str">
        <f>IFERROR(_xlfn.XLOOKUP(Table6[[#This Row],[Affected WTG]],'Basic Data'!$A:$A,'Basic Data'!$B:$B),"")</f>
        <v>TQGXIIPL</v>
      </c>
      <c r="I726" s="35" t="str">
        <f>IFERROR(_xlfn.XLOOKUP(Table6[[#This Row],[Affected WTG]],'Basic Data'!$A:$A,'Basic Data'!$C:$C),"")</f>
        <v>GEDA</v>
      </c>
      <c r="J726" s="260">
        <f>IFERROR(_xlfn.XLOOKUP(Table6[[#This Row],[Affected WTG]],'Basic Data'!$A:$A,'Basic Data'!$E:$E),"")</f>
        <v>3.846153846153845E-2</v>
      </c>
      <c r="K726" s="102">
        <v>55</v>
      </c>
      <c r="L726" s="35" t="str">
        <f>IFERROR(_xlfn.XLOOKUP(Table6[[#This Row],[Error Code]],'Basic Data'!$AA:$AA,'Basic Data'!$AB:$AB),"Incorrect Error Code")</f>
        <v>WTG shut down</v>
      </c>
      <c r="M726" s="35" t="s">
        <v>300</v>
      </c>
      <c r="N726" s="264"/>
      <c r="O726" s="265">
        <v>0.82152777777777775</v>
      </c>
      <c r="P726" s="265">
        <v>0.82152777777777775</v>
      </c>
      <c r="Q726" s="266">
        <v>0.84583333333333333</v>
      </c>
      <c r="R726" s="261">
        <f>IF(Table6[[#This Row],[Work Start TimeStamp]]="","",(Table6[[#This Row],[Work Start TimeStamp]]-Table6[[#This Row],[Fault Start TimeStamp]])*24)</f>
        <v>0</v>
      </c>
      <c r="S726" s="261">
        <f>(Table6[[#This Row],[Fault Clearance time]]-Table6[[#This Row],[Work Start TimeStamp]])*24</f>
        <v>0.58333333333333393</v>
      </c>
      <c r="T726" s="261">
        <f>(Table6[[#This Row],[Fault Clearance time]]-Table6[[#This Row],[Fault Start TimeStamp]])*24</f>
        <v>0.58333333333333393</v>
      </c>
      <c r="U726" s="35" t="s">
        <v>385</v>
      </c>
      <c r="V726" s="102" t="s">
        <v>268</v>
      </c>
      <c r="W726" s="267">
        <f>IFERROR(Table6[[#This Row],[Breakdown Time]]*Table6[[#This Row],[Plant Equivalent Weightage]],"")</f>
        <v>2.2435897435897453E-2</v>
      </c>
      <c r="X726" s="262" t="s">
        <v>269</v>
      </c>
      <c r="Y726" s="263" t="s">
        <v>125</v>
      </c>
      <c r="Z726" s="102">
        <v>9679</v>
      </c>
      <c r="AA726" s="257">
        <f>(Table6[[#This Row],[Paired WTG Generation for loss calculation]]/24)*Table6[[#This Row],[Breakdown Time]]</f>
        <v>235.25347222222248</v>
      </c>
      <c r="AB726" s="102"/>
      <c r="AC726" s="35"/>
      <c r="AD726" s="35"/>
    </row>
    <row r="727" spans="1:30">
      <c r="A727" s="102">
        <f t="shared" si="12"/>
        <v>726</v>
      </c>
      <c r="B727" s="257">
        <f>YEAR(Table6[[#This Row],[Date]])+IF(MONTH(Table6[[#This Row],[Date]])&gt;=4,1,0)</f>
        <v>2026</v>
      </c>
      <c r="C727" s="102">
        <f>YEAR(Table6[[#This Row],[Date]])</f>
        <v>2025</v>
      </c>
      <c r="D727" s="102" t="s">
        <v>265</v>
      </c>
      <c r="E727" s="258">
        <f>Table6[[#This Row],[Date]]-DAY(Table6[[#This Row],[Date]])+1</f>
        <v>45778</v>
      </c>
      <c r="F727" s="259">
        <v>45793</v>
      </c>
      <c r="G727" s="35" t="s">
        <v>115</v>
      </c>
      <c r="H727" s="35" t="str">
        <f>IFERROR(_xlfn.XLOOKUP(Table6[[#This Row],[Affected WTG]],'Basic Data'!$A:$A,'Basic Data'!$B:$B),"")</f>
        <v>TQGXIIPL</v>
      </c>
      <c r="I727" s="35" t="str">
        <f>IFERROR(_xlfn.XLOOKUP(Table6[[#This Row],[Affected WTG]],'Basic Data'!$A:$A,'Basic Data'!$C:$C),"")</f>
        <v>GEDA</v>
      </c>
      <c r="J727" s="260">
        <f>IFERROR(_xlfn.XLOOKUP(Table6[[#This Row],[Affected WTG]],'Basic Data'!$A:$A,'Basic Data'!$E:$E),"")</f>
        <v>3.846153846153845E-2</v>
      </c>
      <c r="K727" s="102">
        <v>6130</v>
      </c>
      <c r="L727" s="35" t="str">
        <f>IFERROR(_xlfn.XLOOKUP(Table6[[#This Row],[Error Code]],'Basic Data'!$AA:$AA,'Basic Data'!$AB:$AB),"Incorrect Error Code")</f>
        <v>Yaw speed high</v>
      </c>
      <c r="M727" s="35" t="s">
        <v>266</v>
      </c>
      <c r="N727" s="264"/>
      <c r="O727" s="265">
        <v>0.7104166666666667</v>
      </c>
      <c r="P727" s="265">
        <v>0.7104166666666667</v>
      </c>
      <c r="Q727" s="266">
        <v>0.71250000000000002</v>
      </c>
      <c r="R727" s="261">
        <f>IF(Table6[[#This Row],[Work Start TimeStamp]]="","",(Table6[[#This Row],[Work Start TimeStamp]]-Table6[[#This Row],[Fault Start TimeStamp]])*24)</f>
        <v>0</v>
      </c>
      <c r="S727" s="261">
        <f>(Table6[[#This Row],[Fault Clearance time]]-Table6[[#This Row],[Work Start TimeStamp]])*24</f>
        <v>4.9999999999999822E-2</v>
      </c>
      <c r="T727" s="261">
        <f>(Table6[[#This Row],[Fault Clearance time]]-Table6[[#This Row],[Fault Start TimeStamp]])*24</f>
        <v>4.9999999999999822E-2</v>
      </c>
      <c r="U727" s="35" t="s">
        <v>440</v>
      </c>
      <c r="V727" s="102" t="s">
        <v>268</v>
      </c>
      <c r="W727" s="267">
        <f>IFERROR(Table6[[#This Row],[Breakdown Time]]*Table6[[#This Row],[Plant Equivalent Weightage]],"")</f>
        <v>1.9230769230769156E-3</v>
      </c>
      <c r="X727" s="262" t="s">
        <v>269</v>
      </c>
      <c r="Y727" s="263" t="s">
        <v>140</v>
      </c>
      <c r="Z727" s="102">
        <v>17902</v>
      </c>
      <c r="AA727" s="257">
        <f>(Table6[[#This Row],[Paired WTG Generation for loss calculation]]/24)*Table6[[#This Row],[Breakdown Time]]</f>
        <v>37.295833333333199</v>
      </c>
      <c r="AB727" s="102"/>
      <c r="AC727" s="35"/>
      <c r="AD727" s="35"/>
    </row>
    <row r="728" spans="1:30">
      <c r="A728" s="102">
        <f t="shared" si="12"/>
        <v>727</v>
      </c>
      <c r="B728" s="257">
        <f>YEAR(Table6[[#This Row],[Date]])+IF(MONTH(Table6[[#This Row],[Date]])&gt;=4,1,0)</f>
        <v>2026</v>
      </c>
      <c r="C728" s="102">
        <f>YEAR(Table6[[#This Row],[Date]])</f>
        <v>2025</v>
      </c>
      <c r="D728" s="102" t="s">
        <v>265</v>
      </c>
      <c r="E728" s="258">
        <f>Table6[[#This Row],[Date]]-DAY(Table6[[#This Row],[Date]])+1</f>
        <v>45778</v>
      </c>
      <c r="F728" s="259">
        <v>45793</v>
      </c>
      <c r="G728" s="35" t="s">
        <v>115</v>
      </c>
      <c r="H728" s="35" t="str">
        <f>IFERROR(_xlfn.XLOOKUP(Table6[[#This Row],[Affected WTG]],'Basic Data'!$A:$A,'Basic Data'!$B:$B),"")</f>
        <v>TQGXIIPL</v>
      </c>
      <c r="I728" s="35" t="str">
        <f>IFERROR(_xlfn.XLOOKUP(Table6[[#This Row],[Affected WTG]],'Basic Data'!$A:$A,'Basic Data'!$C:$C),"")</f>
        <v>GEDA</v>
      </c>
      <c r="J728" s="260">
        <f>IFERROR(_xlfn.XLOOKUP(Table6[[#This Row],[Affected WTG]],'Basic Data'!$A:$A,'Basic Data'!$E:$E),"")</f>
        <v>3.846153846153845E-2</v>
      </c>
      <c r="K728" s="102">
        <v>55</v>
      </c>
      <c r="L728" s="35" t="str">
        <f>IFERROR(_xlfn.XLOOKUP(Table6[[#This Row],[Error Code]],'Basic Data'!$AA:$AA,'Basic Data'!$AB:$AB),"Incorrect Error Code")</f>
        <v>WTG shut down</v>
      </c>
      <c r="M728" s="35" t="s">
        <v>300</v>
      </c>
      <c r="N728" s="264"/>
      <c r="O728" s="265">
        <v>0.76666666666666672</v>
      </c>
      <c r="P728" s="265">
        <v>0.76666666666666672</v>
      </c>
      <c r="Q728" s="266">
        <v>0.79166666666666663</v>
      </c>
      <c r="R728" s="261">
        <f>IF(Table6[[#This Row],[Work Start TimeStamp]]="","",(Table6[[#This Row],[Work Start TimeStamp]]-Table6[[#This Row],[Fault Start TimeStamp]])*24)</f>
        <v>0</v>
      </c>
      <c r="S728" s="261">
        <f>(Table6[[#This Row],[Fault Clearance time]]-Table6[[#This Row],[Work Start TimeStamp]])*24</f>
        <v>0.59999999999999787</v>
      </c>
      <c r="T728" s="261">
        <f>(Table6[[#This Row],[Fault Clearance time]]-Table6[[#This Row],[Fault Start TimeStamp]])*24</f>
        <v>0.59999999999999787</v>
      </c>
      <c r="U728" s="35" t="s">
        <v>385</v>
      </c>
      <c r="V728" s="102" t="s">
        <v>268</v>
      </c>
      <c r="W728" s="267">
        <f>IFERROR(Table6[[#This Row],[Breakdown Time]]*Table6[[#This Row],[Plant Equivalent Weightage]],"")</f>
        <v>2.3076923076922988E-2</v>
      </c>
      <c r="X728" s="262" t="s">
        <v>269</v>
      </c>
      <c r="Y728" s="263" t="s">
        <v>140</v>
      </c>
      <c r="Z728" s="102">
        <v>17902</v>
      </c>
      <c r="AA728" s="257">
        <f>(Table6[[#This Row],[Paired WTG Generation for loss calculation]]/24)*Table6[[#This Row],[Breakdown Time]]</f>
        <v>447.54999999999836</v>
      </c>
      <c r="AB728" s="102"/>
      <c r="AC728" s="35"/>
      <c r="AD728" s="35"/>
    </row>
    <row r="729" spans="1:30">
      <c r="A729" s="102">
        <f t="shared" si="12"/>
        <v>728</v>
      </c>
      <c r="B729" s="257">
        <f>YEAR(Table6[[#This Row],[Date]])+IF(MONTH(Table6[[#This Row],[Date]])&gt;=4,1,0)</f>
        <v>2026</v>
      </c>
      <c r="C729" s="102">
        <f>YEAR(Table6[[#This Row],[Date]])</f>
        <v>2025</v>
      </c>
      <c r="D729" s="102" t="s">
        <v>265</v>
      </c>
      <c r="E729" s="258">
        <f>Table6[[#This Row],[Date]]-DAY(Table6[[#This Row],[Date]])+1</f>
        <v>45778</v>
      </c>
      <c r="F729" s="259">
        <v>45793</v>
      </c>
      <c r="G729" s="35" t="s">
        <v>116</v>
      </c>
      <c r="H729" s="35" t="str">
        <f>IFERROR(_xlfn.XLOOKUP(Table6[[#This Row],[Affected WTG]],'Basic Data'!$A:$A,'Basic Data'!$B:$B),"")</f>
        <v>TQGXIIPL</v>
      </c>
      <c r="I729" s="35" t="str">
        <f>IFERROR(_xlfn.XLOOKUP(Table6[[#This Row],[Affected WTG]],'Basic Data'!$A:$A,'Basic Data'!$C:$C),"")</f>
        <v>GEDA</v>
      </c>
      <c r="J729" s="260">
        <f>IFERROR(_xlfn.XLOOKUP(Table6[[#This Row],[Affected WTG]],'Basic Data'!$A:$A,'Basic Data'!$E:$E),"")</f>
        <v>3.846153846153845E-2</v>
      </c>
      <c r="K729" s="102">
        <v>4960</v>
      </c>
      <c r="L729" s="35" t="str">
        <f>IFERROR(_xlfn.XLOOKUP(Table6[[#This Row],[Error Code]],'Basic Data'!$AA:$AA,'Basic Data'!$AB:$AB),"Incorrect Error Code")</f>
        <v>Tower oscillation YF</v>
      </c>
      <c r="M729" s="35" t="s">
        <v>266</v>
      </c>
      <c r="N729" s="264"/>
      <c r="O729" s="265">
        <v>0.69930555555555551</v>
      </c>
      <c r="P729" s="265">
        <v>0.69930555555555551</v>
      </c>
      <c r="Q729" s="266">
        <v>0.7104166666666667</v>
      </c>
      <c r="R729" s="261">
        <f>IF(Table6[[#This Row],[Work Start TimeStamp]]="","",(Table6[[#This Row],[Work Start TimeStamp]]-Table6[[#This Row],[Fault Start TimeStamp]])*24)</f>
        <v>0</v>
      </c>
      <c r="S729" s="261">
        <f>(Table6[[#This Row],[Fault Clearance time]]-Table6[[#This Row],[Work Start TimeStamp]])*24</f>
        <v>0.26666666666666838</v>
      </c>
      <c r="T729" s="261">
        <f>(Table6[[#This Row],[Fault Clearance time]]-Table6[[#This Row],[Fault Start TimeStamp]])*24</f>
        <v>0.26666666666666838</v>
      </c>
      <c r="U729" s="35" t="s">
        <v>440</v>
      </c>
      <c r="V729" s="102" t="s">
        <v>268</v>
      </c>
      <c r="W729" s="267">
        <f>IFERROR(Table6[[#This Row],[Breakdown Time]]*Table6[[#This Row],[Plant Equivalent Weightage]],"")</f>
        <v>1.0256410256410319E-2</v>
      </c>
      <c r="X729" s="262" t="s">
        <v>269</v>
      </c>
      <c r="Y729" s="263" t="s">
        <v>119</v>
      </c>
      <c r="Z729" s="102">
        <v>17636</v>
      </c>
      <c r="AA729" s="257">
        <f>(Table6[[#This Row],[Paired WTG Generation for loss calculation]]/24)*Table6[[#This Row],[Breakdown Time]]</f>
        <v>195.95555555555683</v>
      </c>
      <c r="AB729" s="102"/>
      <c r="AC729" s="35"/>
      <c r="AD729" s="35"/>
    </row>
    <row r="730" spans="1:30">
      <c r="A730" s="102">
        <f t="shared" si="12"/>
        <v>729</v>
      </c>
      <c r="B730" s="257">
        <f>YEAR(Table6[[#This Row],[Date]])+IF(MONTH(Table6[[#This Row],[Date]])&gt;=4,1,0)</f>
        <v>2026</v>
      </c>
      <c r="C730" s="102">
        <f>YEAR(Table6[[#This Row],[Date]])</f>
        <v>2025</v>
      </c>
      <c r="D730" s="102" t="s">
        <v>265</v>
      </c>
      <c r="E730" s="258">
        <f>Table6[[#This Row],[Date]]-DAY(Table6[[#This Row],[Date]])+1</f>
        <v>45778</v>
      </c>
      <c r="F730" s="259">
        <v>45793</v>
      </c>
      <c r="G730" s="35" t="s">
        <v>119</v>
      </c>
      <c r="H730" s="35" t="str">
        <f>IFERROR(_xlfn.XLOOKUP(Table6[[#This Row],[Affected WTG]],'Basic Data'!$A:$A,'Basic Data'!$B:$B),"")</f>
        <v>TQGXIIPL</v>
      </c>
      <c r="I730" s="35" t="str">
        <f>IFERROR(_xlfn.XLOOKUP(Table6[[#This Row],[Affected WTG]],'Basic Data'!$A:$A,'Basic Data'!$C:$C),"")</f>
        <v>GEDA</v>
      </c>
      <c r="J730" s="260">
        <f>IFERROR(_xlfn.XLOOKUP(Table6[[#This Row],[Affected WTG]],'Basic Data'!$A:$A,'Basic Data'!$E:$E),"")</f>
        <v>3.846153846153845E-2</v>
      </c>
      <c r="K730" s="102">
        <v>4960</v>
      </c>
      <c r="L730" s="35" t="str">
        <f>IFERROR(_xlfn.XLOOKUP(Table6[[#This Row],[Error Code]],'Basic Data'!$AA:$AA,'Basic Data'!$AB:$AB),"Incorrect Error Code")</f>
        <v>Tower oscillation YF</v>
      </c>
      <c r="M730" s="35" t="s">
        <v>266</v>
      </c>
      <c r="N730" s="264"/>
      <c r="O730" s="265">
        <v>0.71458333333333335</v>
      </c>
      <c r="P730" s="265">
        <v>0.71458333333333335</v>
      </c>
      <c r="Q730" s="266">
        <v>0.71875</v>
      </c>
      <c r="R730" s="261">
        <f>IF(Table6[[#This Row],[Work Start TimeStamp]]="","",(Table6[[#This Row],[Work Start TimeStamp]]-Table6[[#This Row],[Fault Start TimeStamp]])*24)</f>
        <v>0</v>
      </c>
      <c r="S730" s="261">
        <f>(Table6[[#This Row],[Fault Clearance time]]-Table6[[#This Row],[Work Start TimeStamp]])*24</f>
        <v>9.9999999999999645E-2</v>
      </c>
      <c r="T730" s="261">
        <f>(Table6[[#This Row],[Fault Clearance time]]-Table6[[#This Row],[Fault Start TimeStamp]])*24</f>
        <v>9.9999999999999645E-2</v>
      </c>
      <c r="U730" s="35" t="s">
        <v>440</v>
      </c>
      <c r="V730" s="102" t="s">
        <v>268</v>
      </c>
      <c r="W730" s="267">
        <f>IFERROR(Table6[[#This Row],[Breakdown Time]]*Table6[[#This Row],[Plant Equivalent Weightage]],"")</f>
        <v>3.8461538461538312E-3</v>
      </c>
      <c r="X730" s="262" t="s">
        <v>269</v>
      </c>
      <c r="Y730" s="263" t="s">
        <v>116</v>
      </c>
      <c r="Z730" s="102">
        <v>18473</v>
      </c>
      <c r="AA730" s="257">
        <f>(Table6[[#This Row],[Paired WTG Generation for loss calculation]]/24)*Table6[[#This Row],[Breakdown Time]]</f>
        <v>76.970833333333061</v>
      </c>
      <c r="AB730" s="102"/>
      <c r="AC730" s="35"/>
      <c r="AD730" s="35"/>
    </row>
    <row r="731" spans="1:30">
      <c r="A731" s="102">
        <f t="shared" si="12"/>
        <v>730</v>
      </c>
      <c r="B731" s="257">
        <f>YEAR(Table6[[#This Row],[Date]])+IF(MONTH(Table6[[#This Row],[Date]])&gt;=4,1,0)</f>
        <v>2026</v>
      </c>
      <c r="C731" s="102">
        <f>YEAR(Table6[[#This Row],[Date]])</f>
        <v>2025</v>
      </c>
      <c r="D731" s="102" t="s">
        <v>265</v>
      </c>
      <c r="E731" s="258">
        <f>Table6[[#This Row],[Date]]-DAY(Table6[[#This Row],[Date]])+1</f>
        <v>45778</v>
      </c>
      <c r="F731" s="259">
        <v>45793</v>
      </c>
      <c r="G731" s="35" t="s">
        <v>119</v>
      </c>
      <c r="H731" s="35" t="str">
        <f>IFERROR(_xlfn.XLOOKUP(Table6[[#This Row],[Affected WTG]],'Basic Data'!$A:$A,'Basic Data'!$B:$B),"")</f>
        <v>TQGXIIPL</v>
      </c>
      <c r="I731" s="35" t="str">
        <f>IFERROR(_xlfn.XLOOKUP(Table6[[#This Row],[Affected WTG]],'Basic Data'!$A:$A,'Basic Data'!$C:$C),"")</f>
        <v>GEDA</v>
      </c>
      <c r="J731" s="260">
        <f>IFERROR(_xlfn.XLOOKUP(Table6[[#This Row],[Affected WTG]],'Basic Data'!$A:$A,'Basic Data'!$E:$E),"")</f>
        <v>3.846153846153845E-2</v>
      </c>
      <c r="K731" s="102">
        <v>6605</v>
      </c>
      <c r="L731" s="35" t="str">
        <f>IFERROR(_xlfn.XLOOKUP(Table6[[#This Row],[Error Code]],'Basic Data'!$AA:$AA,'Basic Data'!$AB:$AB),"Incorrect Error Code")</f>
        <v>Wind.dir. diff. level 2</v>
      </c>
      <c r="M731" s="35" t="s">
        <v>266</v>
      </c>
      <c r="N731" s="264"/>
      <c r="O731" s="265">
        <v>0.74722222222222223</v>
      </c>
      <c r="P731" s="265">
        <v>0.74722222222222223</v>
      </c>
      <c r="Q731" s="266">
        <v>0.74861111111111112</v>
      </c>
      <c r="R731" s="261">
        <f>IF(Table6[[#This Row],[Work Start TimeStamp]]="","",(Table6[[#This Row],[Work Start TimeStamp]]-Table6[[#This Row],[Fault Start TimeStamp]])*24)</f>
        <v>0</v>
      </c>
      <c r="S731" s="261">
        <f>(Table6[[#This Row],[Fault Clearance time]]-Table6[[#This Row],[Work Start TimeStamp]])*24</f>
        <v>3.3333333333333215E-2</v>
      </c>
      <c r="T731" s="261">
        <f>(Table6[[#This Row],[Fault Clearance time]]-Table6[[#This Row],[Fault Start TimeStamp]])*24</f>
        <v>3.3333333333333215E-2</v>
      </c>
      <c r="U731" s="35" t="s">
        <v>440</v>
      </c>
      <c r="V731" s="102" t="s">
        <v>268</v>
      </c>
      <c r="W731" s="267">
        <f>IFERROR(Table6[[#This Row],[Breakdown Time]]*Table6[[#This Row],[Plant Equivalent Weightage]],"")</f>
        <v>1.2820512820512771E-3</v>
      </c>
      <c r="X731" s="262" t="s">
        <v>269</v>
      </c>
      <c r="Y731" s="263" t="s">
        <v>116</v>
      </c>
      <c r="Z731" s="102">
        <v>18473</v>
      </c>
      <c r="AA731" s="257">
        <f>(Table6[[#This Row],[Paired WTG Generation for loss calculation]]/24)*Table6[[#This Row],[Breakdown Time]]</f>
        <v>25.656944444444356</v>
      </c>
      <c r="AB731" s="102"/>
      <c r="AC731" s="35"/>
      <c r="AD731" s="35"/>
    </row>
    <row r="732" spans="1:30">
      <c r="A732" s="102">
        <f t="shared" si="12"/>
        <v>731</v>
      </c>
      <c r="B732" s="257">
        <f>YEAR(Table6[[#This Row],[Date]])+IF(MONTH(Table6[[#This Row],[Date]])&gt;=4,1,0)</f>
        <v>2026</v>
      </c>
      <c r="C732" s="102">
        <f>YEAR(Table6[[#This Row],[Date]])</f>
        <v>2025</v>
      </c>
      <c r="D732" s="102" t="s">
        <v>265</v>
      </c>
      <c r="E732" s="258">
        <f>Table6[[#This Row],[Date]]-DAY(Table6[[#This Row],[Date]])+1</f>
        <v>45778</v>
      </c>
      <c r="F732" s="259">
        <v>45793</v>
      </c>
      <c r="G732" s="35" t="s">
        <v>121</v>
      </c>
      <c r="H732" s="35" t="str">
        <f>IFERROR(_xlfn.XLOOKUP(Table6[[#This Row],[Affected WTG]],'Basic Data'!$A:$A,'Basic Data'!$B:$B),"")</f>
        <v>TQGXIIPL</v>
      </c>
      <c r="I732" s="35" t="str">
        <f>IFERROR(_xlfn.XLOOKUP(Table6[[#This Row],[Affected WTG]],'Basic Data'!$A:$A,'Basic Data'!$C:$C),"")</f>
        <v>GEDA</v>
      </c>
      <c r="J732" s="260">
        <f>IFERROR(_xlfn.XLOOKUP(Table6[[#This Row],[Affected WTG]],'Basic Data'!$A:$A,'Basic Data'!$E:$E),"")</f>
        <v>3.846153846153845E-2</v>
      </c>
      <c r="K732" s="102">
        <v>3800</v>
      </c>
      <c r="L732" s="35" t="str">
        <f>IFERROR(_xlfn.XLOOKUP(Table6[[#This Row],[Error Code]],'Basic Data'!$AA:$AA,'Basic Data'!$AB:$AB),"Incorrect Error Code")</f>
        <v>Circuit breaker</v>
      </c>
      <c r="M732" s="35" t="s">
        <v>291</v>
      </c>
      <c r="N732" s="264"/>
      <c r="O732" s="265">
        <v>0</v>
      </c>
      <c r="P732" s="265">
        <v>0</v>
      </c>
      <c r="Q732" s="266">
        <v>0.69444444444444442</v>
      </c>
      <c r="R732" s="261">
        <f>IF(Table6[[#This Row],[Work Start TimeStamp]]="","",(Table6[[#This Row],[Work Start TimeStamp]]-Table6[[#This Row],[Fault Start TimeStamp]])*24)</f>
        <v>0</v>
      </c>
      <c r="S732" s="261">
        <f>(Table6[[#This Row],[Fault Clearance time]]-Table6[[#This Row],[Work Start TimeStamp]])*24</f>
        <v>16.666666666666664</v>
      </c>
      <c r="T732" s="261">
        <f>(Table6[[#This Row],[Fault Clearance time]]-Table6[[#This Row],[Fault Start TimeStamp]])*24</f>
        <v>16.666666666666664</v>
      </c>
      <c r="U732" s="35" t="s">
        <v>445</v>
      </c>
      <c r="V732" s="102" t="s">
        <v>357</v>
      </c>
      <c r="W732" s="267">
        <f>IFERROR(Table6[[#This Row],[Breakdown Time]]*Table6[[#This Row],[Plant Equivalent Weightage]],"")</f>
        <v>0.64102564102564075</v>
      </c>
      <c r="X732" s="262" t="s">
        <v>296</v>
      </c>
      <c r="Y732" s="263" t="s">
        <v>118</v>
      </c>
      <c r="Z732" s="102">
        <v>13328</v>
      </c>
      <c r="AA732" s="257">
        <f>(Table6[[#This Row],[Paired WTG Generation for loss calculation]]/24)*Table6[[#This Row],[Breakdown Time]]</f>
        <v>9255.5555555555547</v>
      </c>
      <c r="AB732" s="102"/>
      <c r="AC732" s="35"/>
      <c r="AD732" s="35"/>
    </row>
    <row r="733" spans="1:30">
      <c r="A733" s="102">
        <f t="shared" si="12"/>
        <v>732</v>
      </c>
      <c r="B733" s="257">
        <f>YEAR(Table6[[#This Row],[Date]])+IF(MONTH(Table6[[#This Row],[Date]])&gt;=4,1,0)</f>
        <v>2026</v>
      </c>
      <c r="C733" s="102">
        <f>YEAR(Table6[[#This Row],[Date]])</f>
        <v>2025</v>
      </c>
      <c r="D733" s="102" t="s">
        <v>265</v>
      </c>
      <c r="E733" s="258">
        <f>Table6[[#This Row],[Date]]-DAY(Table6[[#This Row],[Date]])+1</f>
        <v>45778</v>
      </c>
      <c r="F733" s="259">
        <v>45793</v>
      </c>
      <c r="G733" s="35" t="s">
        <v>121</v>
      </c>
      <c r="H733" s="35" t="str">
        <f>IFERROR(_xlfn.XLOOKUP(Table6[[#This Row],[Affected WTG]],'Basic Data'!$A:$A,'Basic Data'!$B:$B),"")</f>
        <v>TQGXIIPL</v>
      </c>
      <c r="I733" s="35" t="str">
        <f>IFERROR(_xlfn.XLOOKUP(Table6[[#This Row],[Affected WTG]],'Basic Data'!$A:$A,'Basic Data'!$C:$C),"")</f>
        <v>GEDA</v>
      </c>
      <c r="J733" s="260">
        <f>IFERROR(_xlfn.XLOOKUP(Table6[[#This Row],[Affected WTG]],'Basic Data'!$A:$A,'Basic Data'!$E:$E),"")</f>
        <v>3.846153846153845E-2</v>
      </c>
      <c r="K733" s="102">
        <v>3800</v>
      </c>
      <c r="L733" s="35" t="str">
        <f>IFERROR(_xlfn.XLOOKUP(Table6[[#This Row],[Error Code]],'Basic Data'!$AA:$AA,'Basic Data'!$AB:$AB),"Incorrect Error Code")</f>
        <v>Circuit breaker</v>
      </c>
      <c r="M733" s="35" t="s">
        <v>291</v>
      </c>
      <c r="N733" s="264"/>
      <c r="O733" s="265">
        <v>0.7993055555555556</v>
      </c>
      <c r="P733" s="265">
        <v>0.7993055555555556</v>
      </c>
      <c r="Q733" s="266">
        <v>0.99998842592592596</v>
      </c>
      <c r="R733" s="261">
        <f>IF(Table6[[#This Row],[Work Start TimeStamp]]="","",(Table6[[#This Row],[Work Start TimeStamp]]-Table6[[#This Row],[Fault Start TimeStamp]])*24)</f>
        <v>0</v>
      </c>
      <c r="S733" s="261">
        <f>(Table6[[#This Row],[Fault Clearance time]]-Table6[[#This Row],[Work Start TimeStamp]])*24</f>
        <v>4.8163888888888886</v>
      </c>
      <c r="T733" s="261">
        <f>(Table6[[#This Row],[Fault Clearance time]]-Table6[[#This Row],[Fault Start TimeStamp]])*24</f>
        <v>4.8163888888888886</v>
      </c>
      <c r="U733" s="35" t="s">
        <v>445</v>
      </c>
      <c r="V733" s="102" t="s">
        <v>357</v>
      </c>
      <c r="W733" s="267">
        <f>IFERROR(Table6[[#This Row],[Breakdown Time]]*Table6[[#This Row],[Plant Equivalent Weightage]],"")</f>
        <v>0.18524572649572643</v>
      </c>
      <c r="X733" s="262" t="s">
        <v>296</v>
      </c>
      <c r="Y733" s="263" t="s">
        <v>118</v>
      </c>
      <c r="Z733" s="102">
        <v>13328</v>
      </c>
      <c r="AA733" s="257">
        <f>(Table6[[#This Row],[Paired WTG Generation for loss calculation]]/24)*Table6[[#This Row],[Breakdown Time]]</f>
        <v>2674.7012962962963</v>
      </c>
      <c r="AB733" s="102"/>
      <c r="AC733" s="35"/>
      <c r="AD733" s="35"/>
    </row>
    <row r="734" spans="1:30">
      <c r="A734" s="102">
        <f t="shared" si="12"/>
        <v>733</v>
      </c>
      <c r="B734" s="257">
        <f>YEAR(Table6[[#This Row],[Date]])+IF(MONTH(Table6[[#This Row],[Date]])&gt;=4,1,0)</f>
        <v>2026</v>
      </c>
      <c r="C734" s="102">
        <f>YEAR(Table6[[#This Row],[Date]])</f>
        <v>2025</v>
      </c>
      <c r="D734" s="102" t="s">
        <v>265</v>
      </c>
      <c r="E734" s="258">
        <f>Table6[[#This Row],[Date]]-DAY(Table6[[#This Row],[Date]])+1</f>
        <v>45778</v>
      </c>
      <c r="F734" s="259">
        <v>45793</v>
      </c>
      <c r="G734" s="35" t="s">
        <v>123</v>
      </c>
      <c r="H734" s="35" t="str">
        <f>IFERROR(_xlfn.XLOOKUP(Table6[[#This Row],[Affected WTG]],'Basic Data'!$A:$A,'Basic Data'!$B:$B),"")</f>
        <v>TQGXIIPL</v>
      </c>
      <c r="I734" s="35" t="str">
        <f>IFERROR(_xlfn.XLOOKUP(Table6[[#This Row],[Affected WTG]],'Basic Data'!$A:$A,'Basic Data'!$C:$C),"")</f>
        <v>GEDA</v>
      </c>
      <c r="J734" s="260">
        <f>IFERROR(_xlfn.XLOOKUP(Table6[[#This Row],[Affected WTG]],'Basic Data'!$A:$A,'Basic Data'!$E:$E),"")</f>
        <v>3.846153846153845E-2</v>
      </c>
      <c r="K734" s="102">
        <v>6690</v>
      </c>
      <c r="L734" s="35" t="str">
        <f>IFERROR(_xlfn.XLOOKUP(Table6[[#This Row],[Error Code]],'Basic Data'!$AA:$AA,'Basic Data'!$AB:$AB),"Incorrect Error Code")</f>
        <v>Icing (stop)</v>
      </c>
      <c r="M734" s="35" t="s">
        <v>291</v>
      </c>
      <c r="N734" s="264"/>
      <c r="O734" s="265">
        <v>0.63680555555555551</v>
      </c>
      <c r="P734" s="265">
        <v>0.63680555555555551</v>
      </c>
      <c r="Q734" s="266">
        <v>0.99998842592592596</v>
      </c>
      <c r="R734" s="261">
        <f>IF(Table6[[#This Row],[Work Start TimeStamp]]="","",(Table6[[#This Row],[Work Start TimeStamp]]-Table6[[#This Row],[Fault Start TimeStamp]])*24)</f>
        <v>0</v>
      </c>
      <c r="S734" s="261">
        <f>(Table6[[#This Row],[Fault Clearance time]]-Table6[[#This Row],[Work Start TimeStamp]])*24</f>
        <v>8.7163888888888899</v>
      </c>
      <c r="T734" s="261">
        <f>(Table6[[#This Row],[Fault Clearance time]]-Table6[[#This Row],[Fault Start TimeStamp]])*24</f>
        <v>8.7163888888888899</v>
      </c>
      <c r="U734" s="35" t="s">
        <v>446</v>
      </c>
      <c r="V734" s="102" t="s">
        <v>268</v>
      </c>
      <c r="W734" s="267">
        <f>IFERROR(Table6[[#This Row],[Breakdown Time]]*Table6[[#This Row],[Plant Equivalent Weightage]],"")</f>
        <v>0.33524572649572643</v>
      </c>
      <c r="X734" s="262" t="s">
        <v>269</v>
      </c>
      <c r="Y734" s="263" t="s">
        <v>117</v>
      </c>
      <c r="Z734" s="102">
        <v>17202</v>
      </c>
      <c r="AA734" s="257">
        <f>(Table6[[#This Row],[Paired WTG Generation for loss calculation]]/24)*Table6[[#This Row],[Breakdown Time]]</f>
        <v>6247.4717361111116</v>
      </c>
      <c r="AB734" s="102"/>
      <c r="AC734" s="35"/>
      <c r="AD734" s="35"/>
    </row>
    <row r="735" spans="1:30">
      <c r="A735" s="102">
        <f t="shared" si="12"/>
        <v>734</v>
      </c>
      <c r="B735" s="257">
        <f>YEAR(Table6[[#This Row],[Date]])+IF(MONTH(Table6[[#This Row],[Date]])&gt;=4,1,0)</f>
        <v>2026</v>
      </c>
      <c r="C735" s="102">
        <f>YEAR(Table6[[#This Row],[Date]])</f>
        <v>2025</v>
      </c>
      <c r="D735" s="102" t="s">
        <v>265</v>
      </c>
      <c r="E735" s="258">
        <f>Table6[[#This Row],[Date]]-DAY(Table6[[#This Row],[Date]])+1</f>
        <v>45778</v>
      </c>
      <c r="F735" s="259">
        <v>45793</v>
      </c>
      <c r="G735" s="35" t="s">
        <v>125</v>
      </c>
      <c r="H735" s="35" t="str">
        <f>IFERROR(_xlfn.XLOOKUP(Table6[[#This Row],[Affected WTG]],'Basic Data'!$A:$A,'Basic Data'!$B:$B),"")</f>
        <v>TQGXIIPL</v>
      </c>
      <c r="I735" s="35" t="str">
        <f>IFERROR(_xlfn.XLOOKUP(Table6[[#This Row],[Affected WTG]],'Basic Data'!$A:$A,'Basic Data'!$C:$C),"")</f>
        <v>GEDA</v>
      </c>
      <c r="J735" s="260">
        <f>IFERROR(_xlfn.XLOOKUP(Table6[[#This Row],[Affected WTG]],'Basic Data'!$A:$A,'Basic Data'!$E:$E),"")</f>
        <v>3.846153846153845E-2</v>
      </c>
      <c r="K735" s="102">
        <v>53</v>
      </c>
      <c r="L735" s="35" t="str">
        <f>IFERROR(_xlfn.XLOOKUP(Table6[[#This Row],[Error Code]],'Basic Data'!$AA:$AA,'Basic Data'!$AB:$AB),"Incorrect Error Code")</f>
        <v>Wind dir.dev. level 1</v>
      </c>
      <c r="M735" s="35" t="s">
        <v>278</v>
      </c>
      <c r="N735" s="264"/>
      <c r="O735" s="265">
        <v>0.7</v>
      </c>
      <c r="P735" s="265">
        <v>0.7</v>
      </c>
      <c r="Q735" s="266">
        <v>0.70138888888888884</v>
      </c>
      <c r="R735" s="261">
        <f>IF(Table6[[#This Row],[Work Start TimeStamp]]="","",(Table6[[#This Row],[Work Start TimeStamp]]-Table6[[#This Row],[Fault Start TimeStamp]])*24)</f>
        <v>0</v>
      </c>
      <c r="S735" s="261">
        <f>(Table6[[#This Row],[Fault Clearance time]]-Table6[[#This Row],[Work Start TimeStamp]])*24</f>
        <v>3.3333333333333215E-2</v>
      </c>
      <c r="T735" s="261">
        <f>(Table6[[#This Row],[Fault Clearance time]]-Table6[[#This Row],[Fault Start TimeStamp]])*24</f>
        <v>3.3333333333333215E-2</v>
      </c>
      <c r="U735" s="35" t="s">
        <v>293</v>
      </c>
      <c r="V735" s="102" t="s">
        <v>268</v>
      </c>
      <c r="W735" s="267">
        <f>IFERROR(Table6[[#This Row],[Breakdown Time]]*Table6[[#This Row],[Plant Equivalent Weightage]],"")</f>
        <v>1.2820512820512771E-3</v>
      </c>
      <c r="X735" s="262" t="s">
        <v>269</v>
      </c>
      <c r="Y735" s="263" t="s">
        <v>126</v>
      </c>
      <c r="Z735" s="102">
        <v>16669</v>
      </c>
      <c r="AA735" s="257">
        <f>(Table6[[#This Row],[Paired WTG Generation for loss calculation]]/24)*Table6[[#This Row],[Breakdown Time]]</f>
        <v>23.151388888888807</v>
      </c>
      <c r="AB735" s="102"/>
      <c r="AC735" s="35"/>
      <c r="AD735" s="35"/>
    </row>
    <row r="736" spans="1:30">
      <c r="A736" s="102">
        <f t="shared" si="12"/>
        <v>735</v>
      </c>
      <c r="B736" s="257">
        <f>YEAR(Table6[[#This Row],[Date]])+IF(MONTH(Table6[[#This Row],[Date]])&gt;=4,1,0)</f>
        <v>2026</v>
      </c>
      <c r="C736" s="102">
        <f>YEAR(Table6[[#This Row],[Date]])</f>
        <v>2025</v>
      </c>
      <c r="D736" s="102" t="s">
        <v>265</v>
      </c>
      <c r="E736" s="258">
        <f>Table6[[#This Row],[Date]]-DAY(Table6[[#This Row],[Date]])+1</f>
        <v>45778</v>
      </c>
      <c r="F736" s="259">
        <v>45793</v>
      </c>
      <c r="G736" s="35" t="s">
        <v>125</v>
      </c>
      <c r="H736" s="35" t="str">
        <f>IFERROR(_xlfn.XLOOKUP(Table6[[#This Row],[Affected WTG]],'Basic Data'!$A:$A,'Basic Data'!$B:$B),"")</f>
        <v>TQGXIIPL</v>
      </c>
      <c r="I736" s="35" t="str">
        <f>IFERROR(_xlfn.XLOOKUP(Table6[[#This Row],[Affected WTG]],'Basic Data'!$A:$A,'Basic Data'!$C:$C),"")</f>
        <v>GEDA</v>
      </c>
      <c r="J736" s="260">
        <f>IFERROR(_xlfn.XLOOKUP(Table6[[#This Row],[Affected WTG]],'Basic Data'!$A:$A,'Basic Data'!$E:$E),"")</f>
        <v>3.846153846153845E-2</v>
      </c>
      <c r="K736" s="102">
        <v>175</v>
      </c>
      <c r="L736" s="35" t="str">
        <f>IFERROR(_xlfn.XLOOKUP(Table6[[#This Row],[Error Code]],'Basic Data'!$AA:$AA,'Basic Data'!$AB:$AB),"Incorrect Error Code")</f>
        <v>SLC error</v>
      </c>
      <c r="M736" s="35" t="s">
        <v>266</v>
      </c>
      <c r="N736" s="264"/>
      <c r="O736" s="265">
        <v>0.75</v>
      </c>
      <c r="P736" s="265">
        <v>0.75</v>
      </c>
      <c r="Q736" s="266">
        <v>0.75555555555555554</v>
      </c>
      <c r="R736" s="261">
        <f>IF(Table6[[#This Row],[Work Start TimeStamp]]="","",(Table6[[#This Row],[Work Start TimeStamp]]-Table6[[#This Row],[Fault Start TimeStamp]])*24)</f>
        <v>0</v>
      </c>
      <c r="S736" s="261">
        <f>(Table6[[#This Row],[Fault Clearance time]]-Table6[[#This Row],[Work Start TimeStamp]])*24</f>
        <v>0.13333333333333286</v>
      </c>
      <c r="T736" s="261">
        <f>(Table6[[#This Row],[Fault Clearance time]]-Table6[[#This Row],[Fault Start TimeStamp]])*24</f>
        <v>0.13333333333333286</v>
      </c>
      <c r="U736" s="35" t="s">
        <v>447</v>
      </c>
      <c r="V736" s="102" t="s">
        <v>268</v>
      </c>
      <c r="W736" s="267">
        <f>IFERROR(Table6[[#This Row],[Breakdown Time]]*Table6[[#This Row],[Plant Equivalent Weightage]],"")</f>
        <v>5.1282051282051083E-3</v>
      </c>
      <c r="X736" s="262" t="s">
        <v>269</v>
      </c>
      <c r="Y736" s="263" t="s">
        <v>126</v>
      </c>
      <c r="Z736" s="102">
        <v>16669</v>
      </c>
      <c r="AA736" s="257">
        <f>(Table6[[#This Row],[Paired WTG Generation for loss calculation]]/24)*Table6[[#This Row],[Breakdown Time]]</f>
        <v>92.605555555555227</v>
      </c>
      <c r="AB736" s="102"/>
      <c r="AC736" s="35"/>
      <c r="AD736" s="35"/>
    </row>
    <row r="737" spans="1:30">
      <c r="A737" s="102">
        <f t="shared" si="12"/>
        <v>736</v>
      </c>
      <c r="B737" s="257">
        <f>YEAR(Table6[[#This Row],[Date]])+IF(MONTH(Table6[[#This Row],[Date]])&gt;=4,1,0)</f>
        <v>2026</v>
      </c>
      <c r="C737" s="102">
        <f>YEAR(Table6[[#This Row],[Date]])</f>
        <v>2025</v>
      </c>
      <c r="D737" s="102" t="s">
        <v>265</v>
      </c>
      <c r="E737" s="258">
        <f>Table6[[#This Row],[Date]]-DAY(Table6[[#This Row],[Date]])+1</f>
        <v>45778</v>
      </c>
      <c r="F737" s="259">
        <v>45793</v>
      </c>
      <c r="G737" s="35" t="s">
        <v>127</v>
      </c>
      <c r="H737" s="35" t="str">
        <f>IFERROR(_xlfn.XLOOKUP(Table6[[#This Row],[Affected WTG]],'Basic Data'!$A:$A,'Basic Data'!$B:$B),"")</f>
        <v>TQGXIIPL</v>
      </c>
      <c r="I737" s="35" t="str">
        <f>IFERROR(_xlfn.XLOOKUP(Table6[[#This Row],[Affected WTG]],'Basic Data'!$A:$A,'Basic Data'!$C:$C),"")</f>
        <v>GEDA</v>
      </c>
      <c r="J737" s="260">
        <f>IFERROR(_xlfn.XLOOKUP(Table6[[#This Row],[Affected WTG]],'Basic Data'!$A:$A,'Basic Data'!$E:$E),"")</f>
        <v>3.846153846153845E-2</v>
      </c>
      <c r="K737" s="102">
        <v>55</v>
      </c>
      <c r="L737" s="35" t="str">
        <f>IFERROR(_xlfn.XLOOKUP(Table6[[#This Row],[Error Code]],'Basic Data'!$AA:$AA,'Basic Data'!$AB:$AB),"Incorrect Error Code")</f>
        <v>WTG shut down</v>
      </c>
      <c r="M737" s="35" t="s">
        <v>316</v>
      </c>
      <c r="N737" s="264"/>
      <c r="O737" s="265">
        <v>0.45347222222222222</v>
      </c>
      <c r="P737" s="265">
        <v>0.45347222222222222</v>
      </c>
      <c r="Q737" s="266">
        <v>0.54722222222222228</v>
      </c>
      <c r="R737" s="261">
        <f>IF(Table6[[#This Row],[Work Start TimeStamp]]="","",(Table6[[#This Row],[Work Start TimeStamp]]-Table6[[#This Row],[Fault Start TimeStamp]])*24)</f>
        <v>0</v>
      </c>
      <c r="S737" s="261">
        <f>(Table6[[#This Row],[Fault Clearance time]]-Table6[[#This Row],[Work Start TimeStamp]])*24</f>
        <v>2.2500000000000013</v>
      </c>
      <c r="T737" s="261">
        <f>(Table6[[#This Row],[Fault Clearance time]]-Table6[[#This Row],[Fault Start TimeStamp]])*24</f>
        <v>2.2500000000000013</v>
      </c>
      <c r="U737" s="35" t="s">
        <v>448</v>
      </c>
      <c r="V737" s="102" t="s">
        <v>268</v>
      </c>
      <c r="W737" s="267">
        <f>IFERROR(Table6[[#This Row],[Breakdown Time]]*Table6[[#This Row],[Plant Equivalent Weightage]],"")</f>
        <v>8.6538461538461564E-2</v>
      </c>
      <c r="X737" s="262" t="s">
        <v>273</v>
      </c>
      <c r="Y737" s="263" t="s">
        <v>125</v>
      </c>
      <c r="Z737" s="102">
        <v>17201</v>
      </c>
      <c r="AA737" s="257">
        <f>(Table6[[#This Row],[Paired WTG Generation for loss calculation]]/24)*Table6[[#This Row],[Breakdown Time]]</f>
        <v>1612.5937500000011</v>
      </c>
      <c r="AB737" s="102"/>
      <c r="AC737" s="35"/>
      <c r="AD737" s="35"/>
    </row>
    <row r="738" spans="1:30">
      <c r="A738" s="102">
        <f t="shared" si="12"/>
        <v>737</v>
      </c>
      <c r="B738" s="257">
        <f>YEAR(Table6[[#This Row],[Date]])+IF(MONTH(Table6[[#This Row],[Date]])&gt;=4,1,0)</f>
        <v>2026</v>
      </c>
      <c r="C738" s="102">
        <f>YEAR(Table6[[#This Row],[Date]])</f>
        <v>2025</v>
      </c>
      <c r="D738" s="102" t="s">
        <v>265</v>
      </c>
      <c r="E738" s="258">
        <f>Table6[[#This Row],[Date]]-DAY(Table6[[#This Row],[Date]])+1</f>
        <v>45778</v>
      </c>
      <c r="F738" s="259">
        <v>45793</v>
      </c>
      <c r="G738" s="35" t="s">
        <v>127</v>
      </c>
      <c r="H738" s="35" t="str">
        <f>IFERROR(_xlfn.XLOOKUP(Table6[[#This Row],[Affected WTG]],'Basic Data'!$A:$A,'Basic Data'!$B:$B),"")</f>
        <v>TQGXIIPL</v>
      </c>
      <c r="I738" s="35" t="str">
        <f>IFERROR(_xlfn.XLOOKUP(Table6[[#This Row],[Affected WTG]],'Basic Data'!$A:$A,'Basic Data'!$C:$C),"")</f>
        <v>GEDA</v>
      </c>
      <c r="J738" s="260">
        <f>IFERROR(_xlfn.XLOOKUP(Table6[[#This Row],[Affected WTG]],'Basic Data'!$A:$A,'Basic Data'!$E:$E),"")</f>
        <v>3.846153846153845E-2</v>
      </c>
      <c r="K738" s="102">
        <v>53</v>
      </c>
      <c r="L738" s="35" t="str">
        <f>IFERROR(_xlfn.XLOOKUP(Table6[[#This Row],[Error Code]],'Basic Data'!$AA:$AA,'Basic Data'!$AB:$AB),"Incorrect Error Code")</f>
        <v>Wind dir.dev. level 1</v>
      </c>
      <c r="M738" s="35" t="s">
        <v>278</v>
      </c>
      <c r="N738" s="264"/>
      <c r="O738" s="265">
        <v>0.69722222222222219</v>
      </c>
      <c r="P738" s="265">
        <v>0.69722222222222219</v>
      </c>
      <c r="Q738" s="266">
        <v>0.69861111111111107</v>
      </c>
      <c r="R738" s="261">
        <f>IF(Table6[[#This Row],[Work Start TimeStamp]]="","",(Table6[[#This Row],[Work Start TimeStamp]]-Table6[[#This Row],[Fault Start TimeStamp]])*24)</f>
        <v>0</v>
      </c>
      <c r="S738" s="261">
        <f>(Table6[[#This Row],[Fault Clearance time]]-Table6[[#This Row],[Work Start TimeStamp]])*24</f>
        <v>3.3333333333333215E-2</v>
      </c>
      <c r="T738" s="261">
        <f>(Table6[[#This Row],[Fault Clearance time]]-Table6[[#This Row],[Fault Start TimeStamp]])*24</f>
        <v>3.3333333333333215E-2</v>
      </c>
      <c r="U738" s="35" t="s">
        <v>293</v>
      </c>
      <c r="V738" s="102" t="s">
        <v>268</v>
      </c>
      <c r="W738" s="267">
        <f>IFERROR(Table6[[#This Row],[Breakdown Time]]*Table6[[#This Row],[Plant Equivalent Weightage]],"")</f>
        <v>1.2820512820512771E-3</v>
      </c>
      <c r="X738" s="262" t="s">
        <v>269</v>
      </c>
      <c r="Y738" s="263" t="s">
        <v>125</v>
      </c>
      <c r="Z738" s="102">
        <v>17201</v>
      </c>
      <c r="AA738" s="257">
        <f>(Table6[[#This Row],[Paired WTG Generation for loss calculation]]/24)*Table6[[#This Row],[Breakdown Time]]</f>
        <v>23.890277777777694</v>
      </c>
      <c r="AB738" s="102"/>
      <c r="AC738" s="35"/>
      <c r="AD738" s="35"/>
    </row>
    <row r="739" spans="1:30">
      <c r="A739" s="102">
        <f t="shared" si="12"/>
        <v>738</v>
      </c>
      <c r="B739" s="257">
        <f>YEAR(Table6[[#This Row],[Date]])+IF(MONTH(Table6[[#This Row],[Date]])&gt;=4,1,0)</f>
        <v>2026</v>
      </c>
      <c r="C739" s="102">
        <f>YEAR(Table6[[#This Row],[Date]])</f>
        <v>2025</v>
      </c>
      <c r="D739" s="102" t="s">
        <v>265</v>
      </c>
      <c r="E739" s="258">
        <f>Table6[[#This Row],[Date]]-DAY(Table6[[#This Row],[Date]])+1</f>
        <v>45778</v>
      </c>
      <c r="F739" s="259">
        <v>45793</v>
      </c>
      <c r="G739" s="35" t="s">
        <v>127</v>
      </c>
      <c r="H739" s="35" t="str">
        <f>IFERROR(_xlfn.XLOOKUP(Table6[[#This Row],[Affected WTG]],'Basic Data'!$A:$A,'Basic Data'!$B:$B),"")</f>
        <v>TQGXIIPL</v>
      </c>
      <c r="I739" s="35" t="str">
        <f>IFERROR(_xlfn.XLOOKUP(Table6[[#This Row],[Affected WTG]],'Basic Data'!$A:$A,'Basic Data'!$C:$C),"")</f>
        <v>GEDA</v>
      </c>
      <c r="J739" s="260">
        <f>IFERROR(_xlfn.XLOOKUP(Table6[[#This Row],[Affected WTG]],'Basic Data'!$A:$A,'Basic Data'!$E:$E),"")</f>
        <v>3.846153846153845E-2</v>
      </c>
      <c r="K739" s="102">
        <v>55</v>
      </c>
      <c r="L739" s="35" t="str">
        <f>IFERROR(_xlfn.XLOOKUP(Table6[[#This Row],[Error Code]],'Basic Data'!$AA:$AA,'Basic Data'!$AB:$AB),"Incorrect Error Code")</f>
        <v>WTG shut down</v>
      </c>
      <c r="M739" s="35" t="s">
        <v>300</v>
      </c>
      <c r="N739" s="264"/>
      <c r="O739" s="265">
        <v>0.76597222222222228</v>
      </c>
      <c r="P739" s="265">
        <v>0.76597222222222228</v>
      </c>
      <c r="Q739" s="266">
        <v>0.76875000000000004</v>
      </c>
      <c r="R739" s="261">
        <f>IF(Table6[[#This Row],[Work Start TimeStamp]]="","",(Table6[[#This Row],[Work Start TimeStamp]]-Table6[[#This Row],[Fault Start TimeStamp]])*24)</f>
        <v>0</v>
      </c>
      <c r="S739" s="261">
        <f>(Table6[[#This Row],[Fault Clearance time]]-Table6[[#This Row],[Work Start TimeStamp]])*24</f>
        <v>6.666666666666643E-2</v>
      </c>
      <c r="T739" s="261">
        <f>(Table6[[#This Row],[Fault Clearance time]]-Table6[[#This Row],[Fault Start TimeStamp]])*24</f>
        <v>6.666666666666643E-2</v>
      </c>
      <c r="U739" s="35" t="s">
        <v>385</v>
      </c>
      <c r="V739" s="102" t="s">
        <v>268</v>
      </c>
      <c r="W739" s="267">
        <f>IFERROR(Table6[[#This Row],[Breakdown Time]]*Table6[[#This Row],[Plant Equivalent Weightage]],"")</f>
        <v>2.5641025641025541E-3</v>
      </c>
      <c r="X739" s="262" t="s">
        <v>269</v>
      </c>
      <c r="Y739" s="263" t="s">
        <v>125</v>
      </c>
      <c r="Z739" s="102">
        <v>17201</v>
      </c>
      <c r="AA739" s="257">
        <f>(Table6[[#This Row],[Paired WTG Generation for loss calculation]]/24)*Table6[[#This Row],[Breakdown Time]]</f>
        <v>47.780555555555388</v>
      </c>
      <c r="AB739" s="102"/>
      <c r="AC739" s="35"/>
      <c r="AD739" s="35"/>
    </row>
    <row r="740" spans="1:30">
      <c r="A740" s="102">
        <f t="shared" si="12"/>
        <v>739</v>
      </c>
      <c r="B740" s="257">
        <f>YEAR(Table6[[#This Row],[Date]])+IF(MONTH(Table6[[#This Row],[Date]])&gt;=4,1,0)</f>
        <v>2026</v>
      </c>
      <c r="C740" s="102">
        <f>YEAR(Table6[[#This Row],[Date]])</f>
        <v>2025</v>
      </c>
      <c r="D740" s="102" t="s">
        <v>265</v>
      </c>
      <c r="E740" s="258">
        <f>Table6[[#This Row],[Date]]-DAY(Table6[[#This Row],[Date]])+1</f>
        <v>45778</v>
      </c>
      <c r="F740" s="259">
        <v>45793</v>
      </c>
      <c r="G740" s="35" t="s">
        <v>134</v>
      </c>
      <c r="H740" s="35" t="str">
        <f>IFERROR(_xlfn.XLOOKUP(Table6[[#This Row],[Affected WTG]],'Basic Data'!$A:$A,'Basic Data'!$B:$B),"")</f>
        <v>TQGXIIPL</v>
      </c>
      <c r="I740" s="35" t="str">
        <f>IFERROR(_xlfn.XLOOKUP(Table6[[#This Row],[Affected WTG]],'Basic Data'!$A:$A,'Basic Data'!$C:$C),"")</f>
        <v>GEDA</v>
      </c>
      <c r="J740" s="260">
        <f>IFERROR(_xlfn.XLOOKUP(Table6[[#This Row],[Affected WTG]],'Basic Data'!$A:$A,'Basic Data'!$E:$E),"")</f>
        <v>3.846153846153845E-2</v>
      </c>
      <c r="K740" s="102">
        <v>55</v>
      </c>
      <c r="L740" s="35" t="str">
        <f>IFERROR(_xlfn.XLOOKUP(Table6[[#This Row],[Error Code]],'Basic Data'!$AA:$AA,'Basic Data'!$AB:$AB),"Incorrect Error Code")</f>
        <v>WTG shut down</v>
      </c>
      <c r="M740" s="35" t="s">
        <v>266</v>
      </c>
      <c r="N740" s="264"/>
      <c r="O740" s="265">
        <v>3.9583333333333331E-2</v>
      </c>
      <c r="P740" s="265">
        <v>3.9583333333333331E-2</v>
      </c>
      <c r="Q740" s="266">
        <v>7.2222222222222215E-2</v>
      </c>
      <c r="R740" s="261">
        <f>IF(Table6[[#This Row],[Work Start TimeStamp]]="","",(Table6[[#This Row],[Work Start TimeStamp]]-Table6[[#This Row],[Fault Start TimeStamp]])*24)</f>
        <v>0</v>
      </c>
      <c r="S740" s="261">
        <f>(Table6[[#This Row],[Fault Clearance time]]-Table6[[#This Row],[Work Start TimeStamp]])*24</f>
        <v>0.78333333333333321</v>
      </c>
      <c r="T740" s="261">
        <f>(Table6[[#This Row],[Fault Clearance time]]-Table6[[#This Row],[Fault Start TimeStamp]])*24</f>
        <v>0.78333333333333321</v>
      </c>
      <c r="U740" s="35" t="s">
        <v>449</v>
      </c>
      <c r="V740" s="102" t="s">
        <v>268</v>
      </c>
      <c r="W740" s="267">
        <f>IFERROR(Table6[[#This Row],[Breakdown Time]]*Table6[[#This Row],[Plant Equivalent Weightage]],"")</f>
        <v>3.0128205128205115E-2</v>
      </c>
      <c r="X740" s="262" t="s">
        <v>296</v>
      </c>
      <c r="Y740" s="263" t="s">
        <v>138</v>
      </c>
      <c r="Z740" s="102">
        <v>15031</v>
      </c>
      <c r="AA740" s="257">
        <f>(Table6[[#This Row],[Paired WTG Generation for loss calculation]]/24)*Table6[[#This Row],[Breakdown Time]]</f>
        <v>490.59513888888881</v>
      </c>
      <c r="AB740" s="102"/>
      <c r="AC740" s="35"/>
      <c r="AD740" s="35"/>
    </row>
    <row r="741" spans="1:30">
      <c r="A741" s="102">
        <f t="shared" si="12"/>
        <v>740</v>
      </c>
      <c r="B741" s="257">
        <f>YEAR(Table6[[#This Row],[Date]])+IF(MONTH(Table6[[#This Row],[Date]])&gt;=4,1,0)</f>
        <v>2026</v>
      </c>
      <c r="C741" s="102">
        <f>YEAR(Table6[[#This Row],[Date]])</f>
        <v>2025</v>
      </c>
      <c r="D741" s="102" t="s">
        <v>265</v>
      </c>
      <c r="E741" s="258">
        <f>Table6[[#This Row],[Date]]-DAY(Table6[[#This Row],[Date]])+1</f>
        <v>45778</v>
      </c>
      <c r="F741" s="259">
        <v>45793</v>
      </c>
      <c r="G741" s="35" t="s">
        <v>134</v>
      </c>
      <c r="H741" s="35" t="str">
        <f>IFERROR(_xlfn.XLOOKUP(Table6[[#This Row],[Affected WTG]],'Basic Data'!$A:$A,'Basic Data'!$B:$B),"")</f>
        <v>TQGXIIPL</v>
      </c>
      <c r="I741" s="35" t="str">
        <f>IFERROR(_xlfn.XLOOKUP(Table6[[#This Row],[Affected WTG]],'Basic Data'!$A:$A,'Basic Data'!$C:$C),"")</f>
        <v>GEDA</v>
      </c>
      <c r="J741" s="260">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266</v>
      </c>
      <c r="N741" s="264"/>
      <c r="O741" s="265">
        <v>0.77847222222222223</v>
      </c>
      <c r="P741" s="265">
        <v>0.77847222222222223</v>
      </c>
      <c r="Q741" s="266">
        <v>0.77916666666666667</v>
      </c>
      <c r="R741" s="261">
        <f>IF(Table6[[#This Row],[Work Start TimeStamp]]="","",(Table6[[#This Row],[Work Start TimeStamp]]-Table6[[#This Row],[Fault Start TimeStamp]])*24)</f>
        <v>0</v>
      </c>
      <c r="S741" s="261">
        <f>(Table6[[#This Row],[Fault Clearance time]]-Table6[[#This Row],[Work Start TimeStamp]])*24</f>
        <v>1.6666666666666607E-2</v>
      </c>
      <c r="T741" s="261">
        <f>(Table6[[#This Row],[Fault Clearance time]]-Table6[[#This Row],[Fault Start TimeStamp]])*24</f>
        <v>1.6666666666666607E-2</v>
      </c>
      <c r="U741" s="35" t="s">
        <v>450</v>
      </c>
      <c r="V741" s="102" t="s">
        <v>268</v>
      </c>
      <c r="W741" s="267">
        <f>IFERROR(Table6[[#This Row],[Breakdown Time]]*Table6[[#This Row],[Plant Equivalent Weightage]],"")</f>
        <v>6.4102564102563853E-4</v>
      </c>
      <c r="X741" s="262" t="s">
        <v>269</v>
      </c>
      <c r="Y741" s="263" t="s">
        <v>138</v>
      </c>
      <c r="Z741" s="102">
        <v>15031</v>
      </c>
      <c r="AA741" s="257">
        <f>(Table6[[#This Row],[Paired WTG Generation for loss calculation]]/24)*Table6[[#This Row],[Breakdown Time]]</f>
        <v>10.438194444444406</v>
      </c>
      <c r="AB741" s="102"/>
      <c r="AC741" s="35"/>
      <c r="AD741" s="35"/>
    </row>
    <row r="742" spans="1:30">
      <c r="A742" s="102">
        <f t="shared" si="12"/>
        <v>741</v>
      </c>
      <c r="B742" s="257">
        <f>YEAR(Table6[[#This Row],[Date]])+IF(MONTH(Table6[[#This Row],[Date]])&gt;=4,1,0)</f>
        <v>2026</v>
      </c>
      <c r="C742" s="102">
        <f>YEAR(Table6[[#This Row],[Date]])</f>
        <v>2025</v>
      </c>
      <c r="D742" s="102" t="s">
        <v>265</v>
      </c>
      <c r="E742" s="258">
        <f>Table6[[#This Row],[Date]]-DAY(Table6[[#This Row],[Date]])+1</f>
        <v>45778</v>
      </c>
      <c r="F742" s="259">
        <v>45793</v>
      </c>
      <c r="G742" s="35" t="s">
        <v>137</v>
      </c>
      <c r="H742" s="35" t="str">
        <f>IFERROR(_xlfn.XLOOKUP(Table6[[#This Row],[Affected WTG]],'Basic Data'!$A:$A,'Basic Data'!$B:$B),"")</f>
        <v>TQGXIIPL</v>
      </c>
      <c r="I742" s="35" t="str">
        <f>IFERROR(_xlfn.XLOOKUP(Table6[[#This Row],[Affected WTG]],'Basic Data'!$A:$A,'Basic Data'!$C:$C),"")</f>
        <v>GEDA</v>
      </c>
      <c r="J742" s="260">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266</v>
      </c>
      <c r="N742" s="264"/>
      <c r="O742" s="265">
        <v>0.19375000000000001</v>
      </c>
      <c r="P742" s="265">
        <v>0.19375000000000001</v>
      </c>
      <c r="Q742" s="266">
        <v>0.2013888888888889</v>
      </c>
      <c r="R742" s="261">
        <f>IF(Table6[[#This Row],[Work Start TimeStamp]]="","",(Table6[[#This Row],[Work Start TimeStamp]]-Table6[[#This Row],[Fault Start TimeStamp]])*24)</f>
        <v>0</v>
      </c>
      <c r="S742" s="261">
        <f>(Table6[[#This Row],[Fault Clearance time]]-Table6[[#This Row],[Work Start TimeStamp]])*24</f>
        <v>0.18333333333333335</v>
      </c>
      <c r="T742" s="261">
        <f>(Table6[[#This Row],[Fault Clearance time]]-Table6[[#This Row],[Fault Start TimeStamp]])*24</f>
        <v>0.18333333333333335</v>
      </c>
      <c r="U742" s="35" t="s">
        <v>451</v>
      </c>
      <c r="V742" s="102" t="s">
        <v>268</v>
      </c>
      <c r="W742" s="267">
        <f>IFERROR(Table6[[#This Row],[Breakdown Time]]*Table6[[#This Row],[Plant Equivalent Weightage]],"")</f>
        <v>7.0512820512820496E-3</v>
      </c>
      <c r="X742" s="262" t="s">
        <v>269</v>
      </c>
      <c r="Y742" s="263" t="s">
        <v>125</v>
      </c>
      <c r="Z742" s="102">
        <v>17201</v>
      </c>
      <c r="AA742" s="257">
        <f>(Table6[[#This Row],[Paired WTG Generation for loss calculation]]/24)*Table6[[#This Row],[Breakdown Time]]</f>
        <v>131.39652777777781</v>
      </c>
      <c r="AB742" s="102"/>
      <c r="AC742" s="35"/>
      <c r="AD742" s="35"/>
    </row>
    <row r="743" spans="1:30">
      <c r="A743" s="102">
        <f t="shared" si="12"/>
        <v>742</v>
      </c>
      <c r="B743" s="257">
        <f>YEAR(Table6[[#This Row],[Date]])+IF(MONTH(Table6[[#This Row],[Date]])&gt;=4,1,0)</f>
        <v>2026</v>
      </c>
      <c r="C743" s="102">
        <f>YEAR(Table6[[#This Row],[Date]])</f>
        <v>2025</v>
      </c>
      <c r="D743" s="102" t="s">
        <v>265</v>
      </c>
      <c r="E743" s="258">
        <f>Table6[[#This Row],[Date]]-DAY(Table6[[#This Row],[Date]])+1</f>
        <v>45778</v>
      </c>
      <c r="F743" s="259">
        <v>45793</v>
      </c>
      <c r="G743" s="35" t="s">
        <v>137</v>
      </c>
      <c r="H743" s="35" t="str">
        <f>IFERROR(_xlfn.XLOOKUP(Table6[[#This Row],[Affected WTG]],'Basic Data'!$A:$A,'Basic Data'!$B:$B),"")</f>
        <v>TQGXIIPL</v>
      </c>
      <c r="I743" s="35" t="str">
        <f>IFERROR(_xlfn.XLOOKUP(Table6[[#This Row],[Affected WTG]],'Basic Data'!$A:$A,'Basic Data'!$C:$C),"")</f>
        <v>GEDA</v>
      </c>
      <c r="J743" s="260">
        <f>IFERROR(_xlfn.XLOOKUP(Table6[[#This Row],[Affected WTG]],'Basic Data'!$A:$A,'Basic Data'!$E:$E),"")</f>
        <v>3.846153846153845E-2</v>
      </c>
      <c r="K743" s="102">
        <v>58</v>
      </c>
      <c r="L743" s="35" t="str">
        <f>IFERROR(_xlfn.XLOOKUP(Table6[[#This Row],[Error Code]],'Basic Data'!$AA:$AA,'Basic Data'!$AB:$AB),"Incorrect Error Code")</f>
        <v>Wind dir.dev. level 2</v>
      </c>
      <c r="M743" s="35" t="s">
        <v>278</v>
      </c>
      <c r="N743" s="264"/>
      <c r="O743" s="265">
        <v>0.74513888888888891</v>
      </c>
      <c r="P743" s="265">
        <v>0.74513888888888891</v>
      </c>
      <c r="Q743" s="266">
        <v>0.74583333333333335</v>
      </c>
      <c r="R743" s="261">
        <f>IF(Table6[[#This Row],[Work Start TimeStamp]]="","",(Table6[[#This Row],[Work Start TimeStamp]]-Table6[[#This Row],[Fault Start TimeStamp]])*24)</f>
        <v>0</v>
      </c>
      <c r="S743" s="261">
        <f>(Table6[[#This Row],[Fault Clearance time]]-Table6[[#This Row],[Work Start TimeStamp]])*24</f>
        <v>1.6666666666666607E-2</v>
      </c>
      <c r="T743" s="261">
        <f>(Table6[[#This Row],[Fault Clearance time]]-Table6[[#This Row],[Fault Start TimeStamp]])*24</f>
        <v>1.6666666666666607E-2</v>
      </c>
      <c r="U743" s="35" t="s">
        <v>293</v>
      </c>
      <c r="V743" s="102" t="s">
        <v>268</v>
      </c>
      <c r="W743" s="267">
        <f>IFERROR(Table6[[#This Row],[Breakdown Time]]*Table6[[#This Row],[Plant Equivalent Weightage]],"")</f>
        <v>6.4102564102563853E-4</v>
      </c>
      <c r="X743" s="262" t="s">
        <v>269</v>
      </c>
      <c r="Y743" s="263" t="s">
        <v>125</v>
      </c>
      <c r="Z743" s="102">
        <v>17201</v>
      </c>
      <c r="AA743" s="257">
        <f>(Table6[[#This Row],[Paired WTG Generation for loss calculation]]/24)*Table6[[#This Row],[Breakdown Time]]</f>
        <v>11.945138888888847</v>
      </c>
      <c r="AB743" s="102"/>
      <c r="AC743" s="35"/>
      <c r="AD743" s="35"/>
    </row>
    <row r="744" spans="1:30">
      <c r="A744" s="102">
        <f t="shared" si="12"/>
        <v>743</v>
      </c>
      <c r="B744" s="257">
        <f>YEAR(Table6[[#This Row],[Date]])+IF(MONTH(Table6[[#This Row],[Date]])&gt;=4,1,0)</f>
        <v>2026</v>
      </c>
      <c r="C744" s="102">
        <f>YEAR(Table6[[#This Row],[Date]])</f>
        <v>2025</v>
      </c>
      <c r="D744" s="102" t="s">
        <v>265</v>
      </c>
      <c r="E744" s="258">
        <f>Table6[[#This Row],[Date]]-DAY(Table6[[#This Row],[Date]])+1</f>
        <v>45778</v>
      </c>
      <c r="F744" s="259">
        <v>45793</v>
      </c>
      <c r="G744" s="35" t="s">
        <v>139</v>
      </c>
      <c r="H744" s="35" t="str">
        <f>IFERROR(_xlfn.XLOOKUP(Table6[[#This Row],[Affected WTG]],'Basic Data'!$A:$A,'Basic Data'!$B:$B),"")</f>
        <v>TQGXIIPL</v>
      </c>
      <c r="I744" s="35" t="str">
        <f>IFERROR(_xlfn.XLOOKUP(Table6[[#This Row],[Affected WTG]],'Basic Data'!$A:$A,'Basic Data'!$C:$C),"")</f>
        <v>GEDA</v>
      </c>
      <c r="J744" s="260">
        <f>IFERROR(_xlfn.XLOOKUP(Table6[[#This Row],[Affected WTG]],'Basic Data'!$A:$A,'Basic Data'!$E:$E),"")</f>
        <v>3.846153846153845E-2</v>
      </c>
      <c r="K744" s="102">
        <v>55</v>
      </c>
      <c r="L744" s="35" t="str">
        <f>IFERROR(_xlfn.XLOOKUP(Table6[[#This Row],[Error Code]],'Basic Data'!$AA:$AA,'Basic Data'!$AB:$AB),"Incorrect Error Code")</f>
        <v>WTG shut down</v>
      </c>
      <c r="M744" s="35" t="s">
        <v>300</v>
      </c>
      <c r="N744" s="264"/>
      <c r="O744" s="265">
        <v>0.77361111111111114</v>
      </c>
      <c r="P744" s="265">
        <v>0.77361111111111114</v>
      </c>
      <c r="Q744" s="266">
        <v>0.79236111111111107</v>
      </c>
      <c r="R744" s="261">
        <f>IF(Table6[[#This Row],[Work Start TimeStamp]]="","",(Table6[[#This Row],[Work Start TimeStamp]]-Table6[[#This Row],[Fault Start TimeStamp]])*24)</f>
        <v>0</v>
      </c>
      <c r="S744" s="261">
        <f>(Table6[[#This Row],[Fault Clearance time]]-Table6[[#This Row],[Work Start TimeStamp]])*24</f>
        <v>0.4499999999999984</v>
      </c>
      <c r="T744" s="261">
        <f>(Table6[[#This Row],[Fault Clearance time]]-Table6[[#This Row],[Fault Start TimeStamp]])*24</f>
        <v>0.4499999999999984</v>
      </c>
      <c r="U744" s="35" t="s">
        <v>385</v>
      </c>
      <c r="V744" s="102" t="s">
        <v>268</v>
      </c>
      <c r="W744" s="267">
        <f>IFERROR(Table6[[#This Row],[Breakdown Time]]*Table6[[#This Row],[Plant Equivalent Weightage]],"")</f>
        <v>1.7307692307692239E-2</v>
      </c>
      <c r="X744" s="262" t="s">
        <v>269</v>
      </c>
      <c r="Y744" s="263" t="s">
        <v>115</v>
      </c>
      <c r="Z744" s="102">
        <v>15323</v>
      </c>
      <c r="AA744" s="257">
        <f>(Table6[[#This Row],[Paired WTG Generation for loss calculation]]/24)*Table6[[#This Row],[Breakdown Time]]</f>
        <v>287.30624999999901</v>
      </c>
      <c r="AB744" s="102"/>
      <c r="AC744" s="35"/>
      <c r="AD744" s="35"/>
    </row>
    <row r="745" spans="1:30">
      <c r="A745" s="102">
        <f t="shared" si="12"/>
        <v>744</v>
      </c>
      <c r="B745" s="257">
        <f>YEAR(Table6[[#This Row],[Date]])+IF(MONTH(Table6[[#This Row],[Date]])&gt;=4,1,0)</f>
        <v>2026</v>
      </c>
      <c r="C745" s="102">
        <f>YEAR(Table6[[#This Row],[Date]])</f>
        <v>2025</v>
      </c>
      <c r="D745" s="102" t="s">
        <v>265</v>
      </c>
      <c r="E745" s="258">
        <f>Table6[[#This Row],[Date]]-DAY(Table6[[#This Row],[Date]])+1</f>
        <v>45778</v>
      </c>
      <c r="F745" s="259">
        <v>45794</v>
      </c>
      <c r="G745" s="35" t="s">
        <v>119</v>
      </c>
      <c r="H745" s="35" t="str">
        <f>IFERROR(_xlfn.XLOOKUP(Table6[[#This Row],[Affected WTG]],'Basic Data'!$A:$A,'Basic Data'!$B:$B),"")</f>
        <v>TQGXIIPL</v>
      </c>
      <c r="I745" s="35" t="str">
        <f>IFERROR(_xlfn.XLOOKUP(Table6[[#This Row],[Affected WTG]],'Basic Data'!$A:$A,'Basic Data'!$C:$C),"")</f>
        <v>GEDA</v>
      </c>
      <c r="J745" s="260">
        <f>IFERROR(_xlfn.XLOOKUP(Table6[[#This Row],[Affected WTG]],'Basic Data'!$A:$A,'Basic Data'!$E:$E),"")</f>
        <v>3.846153846153845E-2</v>
      </c>
      <c r="K745" s="102">
        <v>3211</v>
      </c>
      <c r="L745" s="35" t="str">
        <f>IFERROR(_xlfn.XLOOKUP(Table6[[#This Row],[Error Code]],'Basic Data'!$AA:$AA,'Basic Data'!$AB:$AB),"Incorrect Error Code")</f>
        <v>Conv. load shedding (CAN)</v>
      </c>
      <c r="M745" s="35" t="s">
        <v>266</v>
      </c>
      <c r="N745" s="264"/>
      <c r="O745" s="265">
        <v>0.39444444444444443</v>
      </c>
      <c r="P745" s="265">
        <v>0.39444444444444443</v>
      </c>
      <c r="Q745" s="266">
        <v>0.39652777777777776</v>
      </c>
      <c r="R745" s="261">
        <f>IF(Table6[[#This Row],[Work Start TimeStamp]]="","",(Table6[[#This Row],[Work Start TimeStamp]]-Table6[[#This Row],[Fault Start TimeStamp]])*24)</f>
        <v>0</v>
      </c>
      <c r="S745" s="261">
        <f>(Table6[[#This Row],[Fault Clearance time]]-Table6[[#This Row],[Work Start TimeStamp]])*24</f>
        <v>4.9999999999999822E-2</v>
      </c>
      <c r="T745" s="261">
        <f>(Table6[[#This Row],[Fault Clearance time]]-Table6[[#This Row],[Fault Start TimeStamp]])*24</f>
        <v>4.9999999999999822E-2</v>
      </c>
      <c r="U745" s="35" t="s">
        <v>447</v>
      </c>
      <c r="V745" s="102" t="s">
        <v>268</v>
      </c>
      <c r="W745" s="267">
        <f>IFERROR(Table6[[#This Row],[Breakdown Time]]*Table6[[#This Row],[Plant Equivalent Weightage]],"")</f>
        <v>1.9230769230769156E-3</v>
      </c>
      <c r="X745" s="262" t="s">
        <v>269</v>
      </c>
      <c r="Y745" s="263" t="s">
        <v>116</v>
      </c>
      <c r="Z745" s="102">
        <v>13841</v>
      </c>
      <c r="AA745" s="257">
        <f>(Table6[[#This Row],[Paired WTG Generation for loss calculation]]/24)*Table6[[#This Row],[Breakdown Time]]</f>
        <v>28.835416666666568</v>
      </c>
      <c r="AB745" s="102"/>
      <c r="AC745" s="35"/>
      <c r="AD745" s="35"/>
    </row>
    <row r="746" spans="1:30">
      <c r="A746" s="102">
        <f t="shared" si="12"/>
        <v>745</v>
      </c>
      <c r="B746" s="257">
        <f>YEAR(Table6[[#This Row],[Date]])+IF(MONTH(Table6[[#This Row],[Date]])&gt;=4,1,0)</f>
        <v>2026</v>
      </c>
      <c r="C746" s="102">
        <f>YEAR(Table6[[#This Row],[Date]])</f>
        <v>2025</v>
      </c>
      <c r="D746" s="102" t="s">
        <v>265</v>
      </c>
      <c r="E746" s="258">
        <f>Table6[[#This Row],[Date]]-DAY(Table6[[#This Row],[Date]])+1</f>
        <v>45778</v>
      </c>
      <c r="F746" s="259">
        <v>45794</v>
      </c>
      <c r="G746" s="35" t="s">
        <v>121</v>
      </c>
      <c r="H746" s="35" t="str">
        <f>IFERROR(_xlfn.XLOOKUP(Table6[[#This Row],[Affected WTG]],'Basic Data'!$A:$A,'Basic Data'!$B:$B),"")</f>
        <v>TQGXIIPL</v>
      </c>
      <c r="I746" s="35" t="str">
        <f>IFERROR(_xlfn.XLOOKUP(Table6[[#This Row],[Affected WTG]],'Basic Data'!$A:$A,'Basic Data'!$C:$C),"")</f>
        <v>GEDA</v>
      </c>
      <c r="J746" s="260">
        <f>IFERROR(_xlfn.XLOOKUP(Table6[[#This Row],[Affected WTG]],'Basic Data'!$A:$A,'Basic Data'!$E:$E),"")</f>
        <v>3.846153846153845E-2</v>
      </c>
      <c r="K746" s="102">
        <v>3800</v>
      </c>
      <c r="L746" s="35" t="str">
        <f>IFERROR(_xlfn.XLOOKUP(Table6[[#This Row],[Error Code]],'Basic Data'!$AA:$AA,'Basic Data'!$AB:$AB),"Incorrect Error Code")</f>
        <v>Circuit breaker</v>
      </c>
      <c r="M746" s="35" t="s">
        <v>291</v>
      </c>
      <c r="N746" s="264"/>
      <c r="O746" s="265">
        <v>0</v>
      </c>
      <c r="P746" s="265">
        <v>0</v>
      </c>
      <c r="Q746" s="266">
        <v>0.28055555555555556</v>
      </c>
      <c r="R746" s="261">
        <f>IF(Table6[[#This Row],[Work Start TimeStamp]]="","",(Table6[[#This Row],[Work Start TimeStamp]]-Table6[[#This Row],[Fault Start TimeStamp]])*24)</f>
        <v>0</v>
      </c>
      <c r="S746" s="261">
        <f>(Table6[[#This Row],[Fault Clearance time]]-Table6[[#This Row],[Work Start TimeStamp]])*24</f>
        <v>6.7333333333333334</v>
      </c>
      <c r="T746" s="261">
        <f>(Table6[[#This Row],[Fault Clearance time]]-Table6[[#This Row],[Fault Start TimeStamp]])*24</f>
        <v>6.7333333333333334</v>
      </c>
      <c r="U746" s="35" t="s">
        <v>445</v>
      </c>
      <c r="V746" s="102" t="s">
        <v>268</v>
      </c>
      <c r="W746" s="267">
        <f>IFERROR(Table6[[#This Row],[Breakdown Time]]*Table6[[#This Row],[Plant Equivalent Weightage]],"")</f>
        <v>0.25897435897435889</v>
      </c>
      <c r="X746" s="262" t="s">
        <v>296</v>
      </c>
      <c r="Y746" s="263" t="s">
        <v>118</v>
      </c>
      <c r="Z746" s="102">
        <v>14208</v>
      </c>
      <c r="AA746" s="257">
        <f>(Table6[[#This Row],[Paired WTG Generation for loss calculation]]/24)*Table6[[#This Row],[Breakdown Time]]</f>
        <v>3986.1333333333332</v>
      </c>
      <c r="AB746" s="102"/>
      <c r="AC746" s="35"/>
      <c r="AD746" s="35"/>
    </row>
    <row r="747" spans="1:30">
      <c r="A747" s="102">
        <f t="shared" si="12"/>
        <v>746</v>
      </c>
      <c r="B747" s="257">
        <f>YEAR(Table6[[#This Row],[Date]])+IF(MONTH(Table6[[#This Row],[Date]])&gt;=4,1,0)</f>
        <v>2026</v>
      </c>
      <c r="C747" s="102">
        <f>YEAR(Table6[[#This Row],[Date]])</f>
        <v>2025</v>
      </c>
      <c r="D747" s="102" t="s">
        <v>265</v>
      </c>
      <c r="E747" s="258">
        <f>Table6[[#This Row],[Date]]-DAY(Table6[[#This Row],[Date]])+1</f>
        <v>45778</v>
      </c>
      <c r="F747" s="259">
        <v>45794</v>
      </c>
      <c r="G747" s="35" t="s">
        <v>121</v>
      </c>
      <c r="H747" s="35" t="str">
        <f>IFERROR(_xlfn.XLOOKUP(Table6[[#This Row],[Affected WTG]],'Basic Data'!$A:$A,'Basic Data'!$B:$B),"")</f>
        <v>TQGXIIPL</v>
      </c>
      <c r="I747" s="35" t="str">
        <f>IFERROR(_xlfn.XLOOKUP(Table6[[#This Row],[Affected WTG]],'Basic Data'!$A:$A,'Basic Data'!$C:$C),"")</f>
        <v>GEDA</v>
      </c>
      <c r="J747" s="260">
        <f>IFERROR(_xlfn.XLOOKUP(Table6[[#This Row],[Affected WTG]],'Basic Data'!$A:$A,'Basic Data'!$E:$E),"")</f>
        <v>3.846153846153845E-2</v>
      </c>
      <c r="K747" s="102">
        <v>3800</v>
      </c>
      <c r="L747" s="35" t="str">
        <f>IFERROR(_xlfn.XLOOKUP(Table6[[#This Row],[Error Code]],'Basic Data'!$AA:$AA,'Basic Data'!$AB:$AB),"Incorrect Error Code")</f>
        <v>Circuit breaker</v>
      </c>
      <c r="M747" s="35" t="s">
        <v>291</v>
      </c>
      <c r="N747" s="264"/>
      <c r="O747" s="265">
        <v>0.28958333333333336</v>
      </c>
      <c r="P747" s="265">
        <v>0.28958333333333336</v>
      </c>
      <c r="Q747" s="266">
        <v>0.74305555555555558</v>
      </c>
      <c r="R747" s="261">
        <f>IF(Table6[[#This Row],[Work Start TimeStamp]]="","",(Table6[[#This Row],[Work Start TimeStamp]]-Table6[[#This Row],[Fault Start TimeStamp]])*24)</f>
        <v>0</v>
      </c>
      <c r="S747" s="261">
        <f>(Table6[[#This Row],[Fault Clearance time]]-Table6[[#This Row],[Work Start TimeStamp]])*24</f>
        <v>10.883333333333333</v>
      </c>
      <c r="T747" s="261">
        <f>(Table6[[#This Row],[Fault Clearance time]]-Table6[[#This Row],[Fault Start TimeStamp]])*24</f>
        <v>10.883333333333333</v>
      </c>
      <c r="U747" s="35" t="s">
        <v>452</v>
      </c>
      <c r="V747" s="102" t="s">
        <v>268</v>
      </c>
      <c r="W747" s="267">
        <f>IFERROR(Table6[[#This Row],[Breakdown Time]]*Table6[[#This Row],[Plant Equivalent Weightage]],"")</f>
        <v>0.41858974358974343</v>
      </c>
      <c r="X747" s="262" t="s">
        <v>296</v>
      </c>
      <c r="Y747" s="263" t="s">
        <v>118</v>
      </c>
      <c r="Z747" s="102">
        <v>14208</v>
      </c>
      <c r="AA747" s="257">
        <f>(Table6[[#This Row],[Paired WTG Generation for loss calculation]]/24)*Table6[[#This Row],[Breakdown Time]]</f>
        <v>6442.9333333333334</v>
      </c>
      <c r="AB747" s="102"/>
      <c r="AC747" s="35"/>
      <c r="AD747" s="35"/>
    </row>
    <row r="748" spans="1:30">
      <c r="A748" s="102">
        <f t="shared" si="12"/>
        <v>747</v>
      </c>
      <c r="B748" s="257">
        <f>YEAR(Table6[[#This Row],[Date]])+IF(MONTH(Table6[[#This Row],[Date]])&gt;=4,1,0)</f>
        <v>2026</v>
      </c>
      <c r="C748" s="102">
        <f>YEAR(Table6[[#This Row],[Date]])</f>
        <v>2025</v>
      </c>
      <c r="D748" s="102" t="s">
        <v>265</v>
      </c>
      <c r="E748" s="258">
        <f>Table6[[#This Row],[Date]]-DAY(Table6[[#This Row],[Date]])+1</f>
        <v>45778</v>
      </c>
      <c r="F748" s="259">
        <v>45794</v>
      </c>
      <c r="G748" s="35" t="s">
        <v>122</v>
      </c>
      <c r="H748" s="35" t="str">
        <f>IFERROR(_xlfn.XLOOKUP(Table6[[#This Row],[Affected WTG]],'Basic Data'!$A:$A,'Basic Data'!$B:$B),"")</f>
        <v>TQGXIIPL</v>
      </c>
      <c r="I748" s="35" t="str">
        <f>IFERROR(_xlfn.XLOOKUP(Table6[[#This Row],[Affected WTG]],'Basic Data'!$A:$A,'Basic Data'!$C:$C),"")</f>
        <v>GEDA</v>
      </c>
      <c r="J748" s="260">
        <f>IFERROR(_xlfn.XLOOKUP(Table6[[#This Row],[Affected WTG]],'Basic Data'!$A:$A,'Basic Data'!$E:$E),"")</f>
        <v>3.846153846153845E-2</v>
      </c>
      <c r="K748" s="102">
        <v>6130</v>
      </c>
      <c r="L748" s="35" t="str">
        <f>IFERROR(_xlfn.XLOOKUP(Table6[[#This Row],[Error Code]],'Basic Data'!$AA:$AA,'Basic Data'!$AB:$AB),"Incorrect Error Code")</f>
        <v>Yaw speed high</v>
      </c>
      <c r="M748" s="35" t="s">
        <v>266</v>
      </c>
      <c r="N748" s="264"/>
      <c r="O748" s="265">
        <v>0.55486111111111114</v>
      </c>
      <c r="P748" s="265">
        <v>0.55486111111111114</v>
      </c>
      <c r="Q748" s="266">
        <v>0.55902777777777779</v>
      </c>
      <c r="R748" s="261">
        <f>IF(Table6[[#This Row],[Work Start TimeStamp]]="","",(Table6[[#This Row],[Work Start TimeStamp]]-Table6[[#This Row],[Fault Start TimeStamp]])*24)</f>
        <v>0</v>
      </c>
      <c r="S748" s="261">
        <f>(Table6[[#This Row],[Fault Clearance time]]-Table6[[#This Row],[Work Start TimeStamp]])*24</f>
        <v>9.9999999999999645E-2</v>
      </c>
      <c r="T748" s="261">
        <f>(Table6[[#This Row],[Fault Clearance time]]-Table6[[#This Row],[Fault Start TimeStamp]])*24</f>
        <v>9.9999999999999645E-2</v>
      </c>
      <c r="U748" s="35" t="s">
        <v>447</v>
      </c>
      <c r="V748" s="102" t="s">
        <v>268</v>
      </c>
      <c r="W748" s="267">
        <f>IFERROR(Table6[[#This Row],[Breakdown Time]]*Table6[[#This Row],[Plant Equivalent Weightage]],"")</f>
        <v>3.8461538461538312E-3</v>
      </c>
      <c r="X748" s="262" t="s">
        <v>269</v>
      </c>
      <c r="Y748" s="263" t="s">
        <v>140</v>
      </c>
      <c r="Z748" s="102">
        <v>12529</v>
      </c>
      <c r="AA748" s="257">
        <f>(Table6[[#This Row],[Paired WTG Generation for loss calculation]]/24)*Table6[[#This Row],[Breakdown Time]]</f>
        <v>52.204166666666474</v>
      </c>
      <c r="AB748" s="102"/>
      <c r="AC748" s="35"/>
      <c r="AD748" s="35"/>
    </row>
    <row r="749" spans="1:30">
      <c r="A749" s="102">
        <f t="shared" si="12"/>
        <v>748</v>
      </c>
      <c r="B749" s="257">
        <f>YEAR(Table6[[#This Row],[Date]])+IF(MONTH(Table6[[#This Row],[Date]])&gt;=4,1,0)</f>
        <v>2026</v>
      </c>
      <c r="C749" s="102">
        <f>YEAR(Table6[[#This Row],[Date]])</f>
        <v>2025</v>
      </c>
      <c r="D749" s="102" t="s">
        <v>265</v>
      </c>
      <c r="E749" s="258">
        <f>Table6[[#This Row],[Date]]-DAY(Table6[[#This Row],[Date]])+1</f>
        <v>45778</v>
      </c>
      <c r="F749" s="259">
        <v>45794</v>
      </c>
      <c r="G749" s="35" t="s">
        <v>125</v>
      </c>
      <c r="H749" s="35" t="str">
        <f>IFERROR(_xlfn.XLOOKUP(Table6[[#This Row],[Affected WTG]],'Basic Data'!$A:$A,'Basic Data'!$B:$B),"")</f>
        <v>TQGXIIPL</v>
      </c>
      <c r="I749" s="35" t="str">
        <f>IFERROR(_xlfn.XLOOKUP(Table6[[#This Row],[Affected WTG]],'Basic Data'!$A:$A,'Basic Data'!$C:$C),"")</f>
        <v>GEDA</v>
      </c>
      <c r="J749" s="260">
        <f>IFERROR(_xlfn.XLOOKUP(Table6[[#This Row],[Affected WTG]],'Basic Data'!$A:$A,'Basic Data'!$E:$E),"")</f>
        <v>3.846153846153845E-2</v>
      </c>
      <c r="K749" s="102">
        <v>7002</v>
      </c>
      <c r="L749" s="35" t="str">
        <f>IFERROR(_xlfn.XLOOKUP(Table6[[#This Row],[Error Code]],'Basic Data'!$AA:$AA,'Basic Data'!$AB:$AB),"Incorrect Error Code")</f>
        <v>Task runtime failure 5ms</v>
      </c>
      <c r="M749" s="35" t="s">
        <v>266</v>
      </c>
      <c r="N749" s="264"/>
      <c r="O749" s="265">
        <v>0.79166666666666663</v>
      </c>
      <c r="P749" s="265">
        <v>0.79166666666666663</v>
      </c>
      <c r="Q749" s="266">
        <v>0.80138888888888893</v>
      </c>
      <c r="R749" s="261">
        <f>IF(Table6[[#This Row],[Work Start TimeStamp]]="","",(Table6[[#This Row],[Work Start TimeStamp]]-Table6[[#This Row],[Fault Start TimeStamp]])*24)</f>
        <v>0</v>
      </c>
      <c r="S749" s="261">
        <f>(Table6[[#This Row],[Fault Clearance time]]-Table6[[#This Row],[Work Start TimeStamp]])*24</f>
        <v>0.23333333333333517</v>
      </c>
      <c r="T749" s="261">
        <f>(Table6[[#This Row],[Fault Clearance time]]-Table6[[#This Row],[Fault Start TimeStamp]])*24</f>
        <v>0.23333333333333517</v>
      </c>
      <c r="U749" s="35" t="s">
        <v>447</v>
      </c>
      <c r="V749" s="102" t="s">
        <v>268</v>
      </c>
      <c r="W749" s="267">
        <f>IFERROR(Table6[[#This Row],[Breakdown Time]]*Table6[[#This Row],[Plant Equivalent Weightage]],"")</f>
        <v>8.9743589743590414E-3</v>
      </c>
      <c r="X749" s="262" t="s">
        <v>269</v>
      </c>
      <c r="Y749" s="263" t="s">
        <v>126</v>
      </c>
      <c r="Z749" s="102">
        <v>12234</v>
      </c>
      <c r="AA749" s="257">
        <f>(Table6[[#This Row],[Paired WTG Generation for loss calculation]]/24)*Table6[[#This Row],[Breakdown Time]]</f>
        <v>118.9416666666676</v>
      </c>
      <c r="AB749" s="102"/>
      <c r="AC749" s="35"/>
      <c r="AD749" s="35"/>
    </row>
    <row r="750" spans="1:30">
      <c r="A750" s="102">
        <f t="shared" si="12"/>
        <v>749</v>
      </c>
      <c r="B750" s="257">
        <f>YEAR(Table6[[#This Row],[Date]])+IF(MONTH(Table6[[#This Row],[Date]])&gt;=4,1,0)</f>
        <v>2026</v>
      </c>
      <c r="C750" s="102">
        <f>YEAR(Table6[[#This Row],[Date]])</f>
        <v>2025</v>
      </c>
      <c r="D750" s="102" t="s">
        <v>265</v>
      </c>
      <c r="E750" s="258">
        <f>Table6[[#This Row],[Date]]-DAY(Table6[[#This Row],[Date]])+1</f>
        <v>45778</v>
      </c>
      <c r="F750" s="259">
        <v>45794</v>
      </c>
      <c r="G750" s="35" t="s">
        <v>133</v>
      </c>
      <c r="H750" s="35" t="str">
        <f>IFERROR(_xlfn.XLOOKUP(Table6[[#This Row],[Affected WTG]],'Basic Data'!$A:$A,'Basic Data'!$B:$B),"")</f>
        <v>TQGXIIPL</v>
      </c>
      <c r="I750" s="35" t="str">
        <f>IFERROR(_xlfn.XLOOKUP(Table6[[#This Row],[Affected WTG]],'Basic Data'!$A:$A,'Basic Data'!$C:$C),"")</f>
        <v>GEDA</v>
      </c>
      <c r="J750" s="260">
        <f>IFERROR(_xlfn.XLOOKUP(Table6[[#This Row],[Affected WTG]],'Basic Data'!$A:$A,'Basic Data'!$E:$E),"")</f>
        <v>3.846153846153845E-2</v>
      </c>
      <c r="K750" s="102">
        <v>55</v>
      </c>
      <c r="L750" s="35" t="str">
        <f>IFERROR(_xlfn.XLOOKUP(Table6[[#This Row],[Error Code]],'Basic Data'!$AA:$AA,'Basic Data'!$AB:$AB),"Incorrect Error Code")</f>
        <v>WTG shut down</v>
      </c>
      <c r="M750" s="35" t="s">
        <v>316</v>
      </c>
      <c r="N750" s="264"/>
      <c r="O750" s="265">
        <v>0.63958333333333328</v>
      </c>
      <c r="P750" s="265">
        <v>0.63958333333333328</v>
      </c>
      <c r="Q750" s="266">
        <v>0.67777777777777781</v>
      </c>
      <c r="R750" s="261">
        <f>IF(Table6[[#This Row],[Work Start TimeStamp]]="","",(Table6[[#This Row],[Work Start TimeStamp]]-Table6[[#This Row],[Fault Start TimeStamp]])*24)</f>
        <v>0</v>
      </c>
      <c r="S750" s="261">
        <f>(Table6[[#This Row],[Fault Clearance time]]-Table6[[#This Row],[Work Start TimeStamp]])*24</f>
        <v>0.91666666666666874</v>
      </c>
      <c r="T750" s="261">
        <f>(Table6[[#This Row],[Fault Clearance time]]-Table6[[#This Row],[Fault Start TimeStamp]])*24</f>
        <v>0.91666666666666874</v>
      </c>
      <c r="U750" s="35" t="s">
        <v>453</v>
      </c>
      <c r="V750" s="102" t="s">
        <v>268</v>
      </c>
      <c r="W750" s="267">
        <f>IFERROR(Table6[[#This Row],[Breakdown Time]]*Table6[[#This Row],[Plant Equivalent Weightage]],"")</f>
        <v>3.5256410256410325E-2</v>
      </c>
      <c r="X750" s="262" t="s">
        <v>296</v>
      </c>
      <c r="Y750" s="263" t="s">
        <v>121</v>
      </c>
      <c r="Z750" s="102">
        <v>6613</v>
      </c>
      <c r="AA750" s="257">
        <f>(Table6[[#This Row],[Paired WTG Generation for loss calculation]]/24)*Table6[[#This Row],[Breakdown Time]]</f>
        <v>252.57986111111171</v>
      </c>
      <c r="AB750" s="102"/>
      <c r="AC750" s="35"/>
      <c r="AD750" s="35"/>
    </row>
    <row r="751" spans="1:30">
      <c r="A751" s="102">
        <f t="shared" si="12"/>
        <v>750</v>
      </c>
      <c r="B751" s="257">
        <f>YEAR(Table6[[#This Row],[Date]])+IF(MONTH(Table6[[#This Row],[Date]])&gt;=4,1,0)</f>
        <v>2026</v>
      </c>
      <c r="C751" s="102">
        <f>YEAR(Table6[[#This Row],[Date]])</f>
        <v>2025</v>
      </c>
      <c r="D751" s="102" t="s">
        <v>265</v>
      </c>
      <c r="E751" s="258">
        <f>Table6[[#This Row],[Date]]-DAY(Table6[[#This Row],[Date]])+1</f>
        <v>45778</v>
      </c>
      <c r="F751" s="259">
        <v>45794</v>
      </c>
      <c r="G751" s="35" t="s">
        <v>123</v>
      </c>
      <c r="H751" s="35" t="str">
        <f>IFERROR(_xlfn.XLOOKUP(Table6[[#This Row],[Affected WTG]],'Basic Data'!$A:$A,'Basic Data'!$B:$B),"")</f>
        <v>TQGXIIPL</v>
      </c>
      <c r="I751" s="35" t="str">
        <f>IFERROR(_xlfn.XLOOKUP(Table6[[#This Row],[Affected WTG]],'Basic Data'!$A:$A,'Basic Data'!$C:$C),"")</f>
        <v>GEDA</v>
      </c>
      <c r="J751" s="260">
        <f>IFERROR(_xlfn.XLOOKUP(Table6[[#This Row],[Affected WTG]],'Basic Data'!$A:$A,'Basic Data'!$E:$E),"")</f>
        <v>3.846153846153845E-2</v>
      </c>
      <c r="K751" s="102">
        <v>6690</v>
      </c>
      <c r="L751" s="35" t="str">
        <f>IFERROR(_xlfn.XLOOKUP(Table6[[#This Row],[Error Code]],'Basic Data'!$AA:$AA,'Basic Data'!$AB:$AB),"Incorrect Error Code")</f>
        <v>Icing (stop)</v>
      </c>
      <c r="M751" s="35" t="s">
        <v>291</v>
      </c>
      <c r="N751" s="264"/>
      <c r="O751" s="265">
        <v>0</v>
      </c>
      <c r="P751" s="265">
        <v>0</v>
      </c>
      <c r="Q751" s="266">
        <v>0.99998842592592596</v>
      </c>
      <c r="R751" s="261">
        <f>IF(Table6[[#This Row],[Work Start TimeStamp]]="","",(Table6[[#This Row],[Work Start TimeStamp]]-Table6[[#This Row],[Fault Start TimeStamp]])*24)</f>
        <v>0</v>
      </c>
      <c r="S751" s="261">
        <f>(Table6[[#This Row],[Fault Clearance time]]-Table6[[#This Row],[Work Start TimeStamp]])*24</f>
        <v>23.999722222222225</v>
      </c>
      <c r="T751" s="261">
        <f>(Table6[[#This Row],[Fault Clearance time]]-Table6[[#This Row],[Fault Start TimeStamp]])*24</f>
        <v>23.999722222222225</v>
      </c>
      <c r="U751" s="35" t="s">
        <v>446</v>
      </c>
      <c r="V751" s="102" t="s">
        <v>268</v>
      </c>
      <c r="W751" s="267">
        <f>IFERROR(Table6[[#This Row],[Breakdown Time]]*Table6[[#This Row],[Plant Equivalent Weightage]],"")</f>
        <v>0.9230662393162391</v>
      </c>
      <c r="X751" s="262" t="s">
        <v>269</v>
      </c>
      <c r="Y751" s="263" t="s">
        <v>117</v>
      </c>
      <c r="Z751" s="102">
        <v>13636</v>
      </c>
      <c r="AA751" s="257">
        <f>(Table6[[#This Row],[Paired WTG Generation for loss calculation]]/24)*Table6[[#This Row],[Breakdown Time]]</f>
        <v>13635.842175925927</v>
      </c>
      <c r="AB751" s="102"/>
      <c r="AC751" s="35"/>
      <c r="AD751" s="35"/>
    </row>
    <row r="752" spans="1:30">
      <c r="A752" s="102">
        <f t="shared" si="12"/>
        <v>751</v>
      </c>
      <c r="B752" s="257">
        <f>YEAR(Table6[[#This Row],[Date]])+IF(MONTH(Table6[[#This Row],[Date]])&gt;=4,1,0)</f>
        <v>2026</v>
      </c>
      <c r="C752" s="102">
        <f>YEAR(Table6[[#This Row],[Date]])</f>
        <v>2025</v>
      </c>
      <c r="D752" s="102" t="s">
        <v>265</v>
      </c>
      <c r="E752" s="258">
        <f>Table6[[#This Row],[Date]]-DAY(Table6[[#This Row],[Date]])+1</f>
        <v>45778</v>
      </c>
      <c r="F752" s="259">
        <v>45795</v>
      </c>
      <c r="G752" s="35" t="s">
        <v>121</v>
      </c>
      <c r="H752" s="35" t="str">
        <f>IFERROR(_xlfn.XLOOKUP(Table6[[#This Row],[Affected WTG]],'Basic Data'!$A:$A,'Basic Data'!$B:$B),"")</f>
        <v>TQGXIIPL</v>
      </c>
      <c r="I752" s="35" t="str">
        <f>IFERROR(_xlfn.XLOOKUP(Table6[[#This Row],[Affected WTG]],'Basic Data'!$A:$A,'Basic Data'!$C:$C),"")</f>
        <v>GEDA</v>
      </c>
      <c r="J752" s="260">
        <f>IFERROR(_xlfn.XLOOKUP(Table6[[#This Row],[Affected WTG]],'Basic Data'!$A:$A,'Basic Data'!$E:$E),"")</f>
        <v>3.846153846153845E-2</v>
      </c>
      <c r="K752" s="102">
        <v>175</v>
      </c>
      <c r="L752" s="35" t="str">
        <f>IFERROR(_xlfn.XLOOKUP(Table6[[#This Row],[Error Code]],'Basic Data'!$AA:$AA,'Basic Data'!$AB:$AB),"Incorrect Error Code")</f>
        <v>SLC error</v>
      </c>
      <c r="M752" s="35" t="s">
        <v>266</v>
      </c>
      <c r="N752" s="264"/>
      <c r="O752" s="265">
        <v>0.875</v>
      </c>
      <c r="P752" s="265">
        <v>0.875</v>
      </c>
      <c r="Q752" s="266">
        <v>0.87638888888888888</v>
      </c>
      <c r="R752" s="261">
        <f>IF(Table6[[#This Row],[Work Start TimeStamp]]="","",(Table6[[#This Row],[Work Start TimeStamp]]-Table6[[#This Row],[Fault Start TimeStamp]])*24)</f>
        <v>0</v>
      </c>
      <c r="S752" s="261">
        <f>(Table6[[#This Row],[Fault Clearance time]]-Table6[[#This Row],[Work Start TimeStamp]])*24</f>
        <v>3.3333333333333215E-2</v>
      </c>
      <c r="T752" s="261">
        <f>(Table6[[#This Row],[Fault Clearance time]]-Table6[[#This Row],[Fault Start TimeStamp]])*24</f>
        <v>3.3333333333333215E-2</v>
      </c>
      <c r="U752" s="35" t="s">
        <v>447</v>
      </c>
      <c r="V752" s="102" t="s">
        <v>268</v>
      </c>
      <c r="W752" s="267">
        <f>IFERROR(Table6[[#This Row],[Breakdown Time]]*Table6[[#This Row],[Plant Equivalent Weightage]],"")</f>
        <v>1.2820512820512771E-3</v>
      </c>
      <c r="X752" s="262" t="s">
        <v>269</v>
      </c>
      <c r="Y752" s="263" t="s">
        <v>118</v>
      </c>
      <c r="Z752" s="102">
        <v>13552</v>
      </c>
      <c r="AA752" s="257">
        <f>(Table6[[#This Row],[Paired WTG Generation for loss calculation]]/24)*Table6[[#This Row],[Breakdown Time]]</f>
        <v>18.822222222222155</v>
      </c>
      <c r="AB752" s="102"/>
      <c r="AC752" s="35"/>
      <c r="AD752" s="35"/>
    </row>
    <row r="753" spans="1:30">
      <c r="A753" s="102">
        <f t="shared" si="12"/>
        <v>752</v>
      </c>
      <c r="B753" s="257">
        <f>YEAR(Table6[[#This Row],[Date]])+IF(MONTH(Table6[[#This Row],[Date]])&gt;=4,1,0)</f>
        <v>2026</v>
      </c>
      <c r="C753" s="102">
        <f>YEAR(Table6[[#This Row],[Date]])</f>
        <v>2025</v>
      </c>
      <c r="D753" s="102" t="s">
        <v>265</v>
      </c>
      <c r="E753" s="258">
        <f>Table6[[#This Row],[Date]]-DAY(Table6[[#This Row],[Date]])+1</f>
        <v>45778</v>
      </c>
      <c r="F753" s="259">
        <v>45795</v>
      </c>
      <c r="G753" s="35" t="s">
        <v>123</v>
      </c>
      <c r="H753" s="35" t="str">
        <f>IFERROR(_xlfn.XLOOKUP(Table6[[#This Row],[Affected WTG]],'Basic Data'!$A:$A,'Basic Data'!$B:$B),"")</f>
        <v>TQGXIIPL</v>
      </c>
      <c r="I753" s="35" t="str">
        <f>IFERROR(_xlfn.XLOOKUP(Table6[[#This Row],[Affected WTG]],'Basic Data'!$A:$A,'Basic Data'!$C:$C),"")</f>
        <v>GEDA</v>
      </c>
      <c r="J753" s="260">
        <f>IFERROR(_xlfn.XLOOKUP(Table6[[#This Row],[Affected WTG]],'Basic Data'!$A:$A,'Basic Data'!$E:$E),"")</f>
        <v>3.846153846153845E-2</v>
      </c>
      <c r="K753" s="102">
        <v>6690</v>
      </c>
      <c r="L753" s="35" t="str">
        <f>IFERROR(_xlfn.XLOOKUP(Table6[[#This Row],[Error Code]],'Basic Data'!$AA:$AA,'Basic Data'!$AB:$AB),"Incorrect Error Code")</f>
        <v>Icing (stop)</v>
      </c>
      <c r="M753" s="35" t="s">
        <v>291</v>
      </c>
      <c r="N753" s="264"/>
      <c r="O753" s="265">
        <v>0</v>
      </c>
      <c r="P753" s="265">
        <v>0</v>
      </c>
      <c r="Q753" s="266">
        <v>0.31527777777777777</v>
      </c>
      <c r="R753" s="261">
        <f>IF(Table6[[#This Row],[Work Start TimeStamp]]="","",(Table6[[#This Row],[Work Start TimeStamp]]-Table6[[#This Row],[Fault Start TimeStamp]])*24)</f>
        <v>0</v>
      </c>
      <c r="S753" s="261">
        <f>(Table6[[#This Row],[Fault Clearance time]]-Table6[[#This Row],[Work Start TimeStamp]])*24</f>
        <v>7.5666666666666664</v>
      </c>
      <c r="T753" s="261">
        <f>(Table6[[#This Row],[Fault Clearance time]]-Table6[[#This Row],[Fault Start TimeStamp]])*24</f>
        <v>7.5666666666666664</v>
      </c>
      <c r="U753" s="35" t="s">
        <v>454</v>
      </c>
      <c r="V753" s="102" t="s">
        <v>268</v>
      </c>
      <c r="W753" s="267">
        <f>IFERROR(Table6[[#This Row],[Breakdown Time]]*Table6[[#This Row],[Plant Equivalent Weightage]],"")</f>
        <v>0.29102564102564094</v>
      </c>
      <c r="X753" s="262" t="s">
        <v>269</v>
      </c>
      <c r="Y753" s="263" t="s">
        <v>117</v>
      </c>
      <c r="Z753" s="102">
        <v>12694</v>
      </c>
      <c r="AA753" s="257">
        <f>(Table6[[#This Row],[Paired WTG Generation for loss calculation]]/24)*Table6[[#This Row],[Breakdown Time]]</f>
        <v>4002.1361111111105</v>
      </c>
      <c r="AB753" s="102"/>
      <c r="AC753" s="35"/>
      <c r="AD753" s="35"/>
    </row>
    <row r="754" spans="1:30">
      <c r="A754" s="102">
        <f t="shared" si="12"/>
        <v>753</v>
      </c>
      <c r="B754" s="257">
        <f>YEAR(Table6[[#This Row],[Date]])+IF(MONTH(Table6[[#This Row],[Date]])&gt;=4,1,0)</f>
        <v>2026</v>
      </c>
      <c r="C754" s="102">
        <f>YEAR(Table6[[#This Row],[Date]])</f>
        <v>2025</v>
      </c>
      <c r="D754" s="102" t="s">
        <v>265</v>
      </c>
      <c r="E754" s="258">
        <f>Table6[[#This Row],[Date]]-DAY(Table6[[#This Row],[Date]])+1</f>
        <v>45778</v>
      </c>
      <c r="F754" s="259">
        <v>45795</v>
      </c>
      <c r="G754" s="35" t="s">
        <v>126</v>
      </c>
      <c r="H754" s="35" t="str">
        <f>IFERROR(_xlfn.XLOOKUP(Table6[[#This Row],[Affected WTG]],'Basic Data'!$A:$A,'Basic Data'!$B:$B),"")</f>
        <v>TQGXIIPL</v>
      </c>
      <c r="I754" s="35" t="str">
        <f>IFERROR(_xlfn.XLOOKUP(Table6[[#This Row],[Affected WTG]],'Basic Data'!$A:$A,'Basic Data'!$C:$C),"")</f>
        <v>GEDA</v>
      </c>
      <c r="J754" s="260">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278</v>
      </c>
      <c r="N754" s="264"/>
      <c r="O754" s="265">
        <v>0.10833333333333334</v>
      </c>
      <c r="P754" s="265">
        <v>0.10833333333333334</v>
      </c>
      <c r="Q754" s="266">
        <v>0.10972222222222222</v>
      </c>
      <c r="R754" s="261">
        <f>IF(Table6[[#This Row],[Work Start TimeStamp]]="","",(Table6[[#This Row],[Work Start TimeStamp]]-Table6[[#This Row],[Fault Start TimeStamp]])*24)</f>
        <v>0</v>
      </c>
      <c r="S754" s="261">
        <f>(Table6[[#This Row],[Fault Clearance time]]-Table6[[#This Row],[Work Start TimeStamp]])*24</f>
        <v>3.3333333333333215E-2</v>
      </c>
      <c r="T754" s="261">
        <f>(Table6[[#This Row],[Fault Clearance time]]-Table6[[#This Row],[Fault Start TimeStamp]])*24</f>
        <v>3.3333333333333215E-2</v>
      </c>
      <c r="U754" s="35" t="s">
        <v>293</v>
      </c>
      <c r="V754" s="102" t="s">
        <v>268</v>
      </c>
      <c r="W754" s="267">
        <f>IFERROR(Table6[[#This Row],[Breakdown Time]]*Table6[[#This Row],[Plant Equivalent Weightage]],"")</f>
        <v>1.2820512820512771E-3</v>
      </c>
      <c r="X754" s="262" t="s">
        <v>269</v>
      </c>
      <c r="Y754" s="263" t="s">
        <v>128</v>
      </c>
      <c r="Z754" s="102">
        <v>11662</v>
      </c>
      <c r="AA754" s="257">
        <f>(Table6[[#This Row],[Paired WTG Generation for loss calculation]]/24)*Table6[[#This Row],[Breakdown Time]]</f>
        <v>16.197222222222166</v>
      </c>
      <c r="AB754" s="102"/>
      <c r="AC754" s="35"/>
      <c r="AD754" s="35"/>
    </row>
    <row r="755" spans="1:30">
      <c r="A755" s="102">
        <f t="shared" si="12"/>
        <v>754</v>
      </c>
      <c r="B755" s="257">
        <f>YEAR(Table6[[#This Row],[Date]])+IF(MONTH(Table6[[#This Row],[Date]])&gt;=4,1,0)</f>
        <v>2026</v>
      </c>
      <c r="C755" s="102">
        <f>YEAR(Table6[[#This Row],[Date]])</f>
        <v>2025</v>
      </c>
      <c r="D755" s="102" t="s">
        <v>265</v>
      </c>
      <c r="E755" s="258">
        <f>Table6[[#This Row],[Date]]-DAY(Table6[[#This Row],[Date]])+1</f>
        <v>45778</v>
      </c>
      <c r="F755" s="259">
        <v>45795</v>
      </c>
      <c r="G755" s="35" t="s">
        <v>129</v>
      </c>
      <c r="H755" s="35" t="str">
        <f>IFERROR(_xlfn.XLOOKUP(Table6[[#This Row],[Affected WTG]],'Basic Data'!$A:$A,'Basic Data'!$B:$B),"")</f>
        <v>TQGXIIPL</v>
      </c>
      <c r="I755" s="35" t="str">
        <f>IFERROR(_xlfn.XLOOKUP(Table6[[#This Row],[Affected WTG]],'Basic Data'!$A:$A,'Basic Data'!$C:$C),"")</f>
        <v>GEDA</v>
      </c>
      <c r="J755" s="260">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266</v>
      </c>
      <c r="N755" s="264"/>
      <c r="O755" s="265">
        <v>0.5180555555555556</v>
      </c>
      <c r="P755" s="265">
        <v>0.56458333333333333</v>
      </c>
      <c r="Q755" s="266">
        <v>0.5805555555555556</v>
      </c>
      <c r="R755" s="261">
        <f>IF(Table6[[#This Row],[Work Start TimeStamp]]="","",(Table6[[#This Row],[Work Start TimeStamp]]-Table6[[#This Row],[Fault Start TimeStamp]])*24)</f>
        <v>1.1166666666666654</v>
      </c>
      <c r="S755" s="261">
        <f>(Table6[[#This Row],[Fault Clearance time]]-Table6[[#This Row],[Work Start TimeStamp]])*24</f>
        <v>0.38333333333333464</v>
      </c>
      <c r="T755" s="261">
        <f>(Table6[[#This Row],[Fault Clearance time]]-Table6[[#This Row],[Fault Start TimeStamp]])*24</f>
        <v>1.5</v>
      </c>
      <c r="U755" s="35" t="s">
        <v>455</v>
      </c>
      <c r="V755" s="102" t="s">
        <v>268</v>
      </c>
      <c r="W755" s="267">
        <f>IFERROR(Table6[[#This Row],[Breakdown Time]]*Table6[[#This Row],[Plant Equivalent Weightage]],"")</f>
        <v>5.7692307692307675E-2</v>
      </c>
      <c r="X755" s="262" t="s">
        <v>296</v>
      </c>
      <c r="Y755" s="263" t="s">
        <v>124</v>
      </c>
      <c r="Z755" s="102">
        <v>13272</v>
      </c>
      <c r="AA755" s="257">
        <f>(Table6[[#This Row],[Paired WTG Generation for loss calculation]]/24)*Table6[[#This Row],[Breakdown Time]]</f>
        <v>829.5</v>
      </c>
      <c r="AB755" s="102"/>
      <c r="AC755" s="35"/>
      <c r="AD755" s="35"/>
    </row>
    <row r="756" spans="1:30">
      <c r="A756" s="102">
        <f t="shared" si="12"/>
        <v>755</v>
      </c>
      <c r="B756" s="257">
        <f>YEAR(Table6[[#This Row],[Date]])+IF(MONTH(Table6[[#This Row],[Date]])&gt;=4,1,0)</f>
        <v>2026</v>
      </c>
      <c r="C756" s="102">
        <f>YEAR(Table6[[#This Row],[Date]])</f>
        <v>2025</v>
      </c>
      <c r="D756" s="102" t="s">
        <v>265</v>
      </c>
      <c r="E756" s="258">
        <f>Table6[[#This Row],[Date]]-DAY(Table6[[#This Row],[Date]])+1</f>
        <v>45778</v>
      </c>
      <c r="F756" s="259">
        <v>45795</v>
      </c>
      <c r="G756" s="35" t="s">
        <v>136</v>
      </c>
      <c r="H756" s="35" t="str">
        <f>IFERROR(_xlfn.XLOOKUP(Table6[[#This Row],[Affected WTG]],'Basic Data'!$A:$A,'Basic Data'!$B:$B),"")</f>
        <v>TQGXIIPL</v>
      </c>
      <c r="I756" s="35" t="str">
        <f>IFERROR(_xlfn.XLOOKUP(Table6[[#This Row],[Affected WTG]],'Basic Data'!$A:$A,'Basic Data'!$C:$C),"")</f>
        <v>GEDA</v>
      </c>
      <c r="J756" s="260">
        <f>IFERROR(_xlfn.XLOOKUP(Table6[[#This Row],[Affected WTG]],'Basic Data'!$A:$A,'Basic Data'!$E:$E),"")</f>
        <v>3.846153846153845E-2</v>
      </c>
      <c r="K756" s="102">
        <v>6130</v>
      </c>
      <c r="L756" s="35" t="str">
        <f>IFERROR(_xlfn.XLOOKUP(Table6[[#This Row],[Error Code]],'Basic Data'!$AA:$AA,'Basic Data'!$AB:$AB),"Incorrect Error Code")</f>
        <v>Yaw speed high</v>
      </c>
      <c r="M756" s="35" t="s">
        <v>266</v>
      </c>
      <c r="N756" s="264"/>
      <c r="O756" s="265">
        <v>0.54791666666666672</v>
      </c>
      <c r="P756" s="265">
        <v>0.54791666666666672</v>
      </c>
      <c r="Q756" s="266">
        <v>0.55208333333333337</v>
      </c>
      <c r="R756" s="261">
        <f>IF(Table6[[#This Row],[Work Start TimeStamp]]="","",(Table6[[#This Row],[Work Start TimeStamp]]-Table6[[#This Row],[Fault Start TimeStamp]])*24)</f>
        <v>0</v>
      </c>
      <c r="S756" s="261">
        <f>(Table6[[#This Row],[Fault Clearance time]]-Table6[[#This Row],[Work Start TimeStamp]])*24</f>
        <v>9.9999999999999645E-2</v>
      </c>
      <c r="T756" s="261">
        <f>(Table6[[#This Row],[Fault Clearance time]]-Table6[[#This Row],[Fault Start TimeStamp]])*24</f>
        <v>9.9999999999999645E-2</v>
      </c>
      <c r="U756" s="35" t="s">
        <v>447</v>
      </c>
      <c r="V756" s="102" t="s">
        <v>268</v>
      </c>
      <c r="W756" s="267">
        <f>IFERROR(Table6[[#This Row],[Breakdown Time]]*Table6[[#This Row],[Plant Equivalent Weightage]],"")</f>
        <v>3.8461538461538312E-3</v>
      </c>
      <c r="X756" s="262" t="s">
        <v>269</v>
      </c>
      <c r="Y756" s="263" t="s">
        <v>120</v>
      </c>
      <c r="Z756" s="102">
        <v>14126</v>
      </c>
      <c r="AA756" s="257">
        <f>(Table6[[#This Row],[Paired WTG Generation for loss calculation]]/24)*Table6[[#This Row],[Breakdown Time]]</f>
        <v>58.858333333333128</v>
      </c>
      <c r="AB756" s="102"/>
      <c r="AC756" s="35"/>
      <c r="AD756" s="35"/>
    </row>
    <row r="757" spans="1:30">
      <c r="A757" s="102">
        <f t="shared" si="12"/>
        <v>756</v>
      </c>
      <c r="B757" s="257">
        <f>YEAR(Table6[[#This Row],[Date]])+IF(MONTH(Table6[[#This Row],[Date]])&gt;=4,1,0)</f>
        <v>2026</v>
      </c>
      <c r="C757" s="102">
        <f>YEAR(Table6[[#This Row],[Date]])</f>
        <v>2025</v>
      </c>
      <c r="D757" s="102" t="s">
        <v>265</v>
      </c>
      <c r="E757" s="258">
        <f>Table6[[#This Row],[Date]]-DAY(Table6[[#This Row],[Date]])+1</f>
        <v>45778</v>
      </c>
      <c r="F757" s="259">
        <v>45795</v>
      </c>
      <c r="G757" s="35" t="s">
        <v>137</v>
      </c>
      <c r="H757" s="35" t="str">
        <f>IFERROR(_xlfn.XLOOKUP(Table6[[#This Row],[Affected WTG]],'Basic Data'!$A:$A,'Basic Data'!$B:$B),"")</f>
        <v>TQGXIIPL</v>
      </c>
      <c r="I757" s="35" t="str">
        <f>IFERROR(_xlfn.XLOOKUP(Table6[[#This Row],[Affected WTG]],'Basic Data'!$A:$A,'Basic Data'!$C:$C),"")</f>
        <v>GEDA</v>
      </c>
      <c r="J757" s="260">
        <f>IFERROR(_xlfn.XLOOKUP(Table6[[#This Row],[Affected WTG]],'Basic Data'!$A:$A,'Basic Data'!$E:$E),"")</f>
        <v>3.846153846153845E-2</v>
      </c>
      <c r="K757" s="102">
        <v>6130</v>
      </c>
      <c r="L757" s="35" t="str">
        <f>IFERROR(_xlfn.XLOOKUP(Table6[[#This Row],[Error Code]],'Basic Data'!$AA:$AA,'Basic Data'!$AB:$AB),"Incorrect Error Code")</f>
        <v>Yaw speed high</v>
      </c>
      <c r="M757" s="35" t="s">
        <v>278</v>
      </c>
      <c r="N757" s="264"/>
      <c r="O757" s="265">
        <v>0.65763888888888888</v>
      </c>
      <c r="P757" s="265">
        <v>0.65763888888888888</v>
      </c>
      <c r="Q757" s="266">
        <v>0.65833333333333333</v>
      </c>
      <c r="R757" s="261">
        <f>IF(Table6[[#This Row],[Work Start TimeStamp]]="","",(Table6[[#This Row],[Work Start TimeStamp]]-Table6[[#This Row],[Fault Start TimeStamp]])*24)</f>
        <v>0</v>
      </c>
      <c r="S757" s="261">
        <f>(Table6[[#This Row],[Fault Clearance time]]-Table6[[#This Row],[Work Start TimeStamp]])*24</f>
        <v>1.6666666666666607E-2</v>
      </c>
      <c r="T757" s="261">
        <f>(Table6[[#This Row],[Fault Clearance time]]-Table6[[#This Row],[Fault Start TimeStamp]])*24</f>
        <v>1.6666666666666607E-2</v>
      </c>
      <c r="U757" s="35" t="s">
        <v>293</v>
      </c>
      <c r="V757" s="102" t="s">
        <v>268</v>
      </c>
      <c r="W757" s="267">
        <f>IFERROR(Table6[[#This Row],[Breakdown Time]]*Table6[[#This Row],[Plant Equivalent Weightage]],"")</f>
        <v>6.4102564102563853E-4</v>
      </c>
      <c r="X757" s="262" t="s">
        <v>269</v>
      </c>
      <c r="Y757" s="263" t="s">
        <v>125</v>
      </c>
      <c r="Z757" s="102">
        <v>12398</v>
      </c>
      <c r="AA757" s="257">
        <f>(Table6[[#This Row],[Paired WTG Generation for loss calculation]]/24)*Table6[[#This Row],[Breakdown Time]]</f>
        <v>8.6097222222221923</v>
      </c>
      <c r="AB757" s="102"/>
      <c r="AC757" s="35"/>
      <c r="AD757" s="35"/>
    </row>
    <row r="758" spans="1:30">
      <c r="A758" s="102">
        <f t="shared" si="12"/>
        <v>757</v>
      </c>
      <c r="B758" s="257">
        <f>YEAR(Table6[[#This Row],[Date]])+IF(MONTH(Table6[[#This Row],[Date]])&gt;=4,1,0)</f>
        <v>2026</v>
      </c>
      <c r="C758" s="102">
        <f>YEAR(Table6[[#This Row],[Date]])</f>
        <v>2025</v>
      </c>
      <c r="D758" s="102" t="s">
        <v>265</v>
      </c>
      <c r="E758" s="258">
        <f>Table6[[#This Row],[Date]]-DAY(Table6[[#This Row],[Date]])+1</f>
        <v>45778</v>
      </c>
      <c r="F758" s="259">
        <v>45796</v>
      </c>
      <c r="G758" s="35" t="s">
        <v>115</v>
      </c>
      <c r="H758" s="35" t="str">
        <f>IFERROR(_xlfn.XLOOKUP(Table6[[#This Row],[Affected WTG]],'Basic Data'!$A:$A,'Basic Data'!$B:$B),"")</f>
        <v>TQGXIIPL</v>
      </c>
      <c r="I758" s="35" t="str">
        <f>IFERROR(_xlfn.XLOOKUP(Table6[[#This Row],[Affected WTG]],'Basic Data'!$A:$A,'Basic Data'!$C:$C),"")</f>
        <v>GEDA</v>
      </c>
      <c r="J758" s="260">
        <f>IFERROR(_xlfn.XLOOKUP(Table6[[#This Row],[Affected WTG]],'Basic Data'!$A:$A,'Basic Data'!$E:$E),"")</f>
        <v>3.846153846153845E-2</v>
      </c>
      <c r="K758" s="102">
        <v>55</v>
      </c>
      <c r="L758" s="35" t="str">
        <f>IFERROR(_xlfn.XLOOKUP(Table6[[#This Row],[Error Code]],'Basic Data'!$AA:$AA,'Basic Data'!$AB:$AB),"Incorrect Error Code")</f>
        <v>WTG shut down</v>
      </c>
      <c r="M758" s="35" t="s">
        <v>456</v>
      </c>
      <c r="N758" s="264"/>
      <c r="O758" s="265">
        <v>0.72916666666666663</v>
      </c>
      <c r="P758" s="265">
        <v>0.72916666666666663</v>
      </c>
      <c r="Q758" s="266">
        <v>0.73611111111111116</v>
      </c>
      <c r="R758" s="261">
        <f>IF(Table6[[#This Row],[Work Start TimeStamp]]="","",(Table6[[#This Row],[Work Start TimeStamp]]-Table6[[#This Row],[Fault Start TimeStamp]])*24)</f>
        <v>0</v>
      </c>
      <c r="S758" s="261">
        <f>(Table6[[#This Row],[Fault Clearance time]]-Table6[[#This Row],[Work Start TimeStamp]])*24</f>
        <v>0.16666666666666874</v>
      </c>
      <c r="T758" s="261">
        <f>(Table6[[#This Row],[Fault Clearance time]]-Table6[[#This Row],[Fault Start TimeStamp]])*24</f>
        <v>0.16666666666666874</v>
      </c>
      <c r="U758" s="35" t="s">
        <v>457</v>
      </c>
      <c r="V758" s="102" t="s">
        <v>268</v>
      </c>
      <c r="W758" s="267">
        <f>IFERROR(Table6[[#This Row],[Breakdown Time]]*Table6[[#This Row],[Plant Equivalent Weightage]],"")</f>
        <v>6.4102564102564881E-3</v>
      </c>
      <c r="X758" s="262" t="s">
        <v>269</v>
      </c>
      <c r="Y758" s="263" t="s">
        <v>140</v>
      </c>
      <c r="Z758" s="102">
        <v>14378</v>
      </c>
      <c r="AA758" s="257">
        <f>(Table6[[#This Row],[Paired WTG Generation for loss calculation]]/24)*Table6[[#This Row],[Breakdown Time]]</f>
        <v>99.847222222223465</v>
      </c>
      <c r="AB758" s="102"/>
      <c r="AC758" s="35"/>
      <c r="AD758" s="35"/>
    </row>
    <row r="759" spans="1:30">
      <c r="A759" s="102">
        <f t="shared" si="12"/>
        <v>758</v>
      </c>
      <c r="B759" s="257">
        <f>YEAR(Table6[[#This Row],[Date]])+IF(MONTH(Table6[[#This Row],[Date]])&gt;=4,1,0)</f>
        <v>2026</v>
      </c>
      <c r="C759" s="102">
        <f>YEAR(Table6[[#This Row],[Date]])</f>
        <v>2025</v>
      </c>
      <c r="D759" s="102" t="s">
        <v>265</v>
      </c>
      <c r="E759" s="258">
        <f>Table6[[#This Row],[Date]]-DAY(Table6[[#This Row],[Date]])+1</f>
        <v>45778</v>
      </c>
      <c r="F759" s="259">
        <v>45796</v>
      </c>
      <c r="G759" s="35" t="s">
        <v>116</v>
      </c>
      <c r="H759" s="35" t="str">
        <f>IFERROR(_xlfn.XLOOKUP(Table6[[#This Row],[Affected WTG]],'Basic Data'!$A:$A,'Basic Data'!$B:$B),"")</f>
        <v>TQGXIIPL</v>
      </c>
      <c r="I759" s="35" t="str">
        <f>IFERROR(_xlfn.XLOOKUP(Table6[[#This Row],[Affected WTG]],'Basic Data'!$A:$A,'Basic Data'!$C:$C),"")</f>
        <v>GEDA</v>
      </c>
      <c r="J759" s="260">
        <f>IFERROR(_xlfn.XLOOKUP(Table6[[#This Row],[Affected WTG]],'Basic Data'!$A:$A,'Basic Data'!$E:$E),"")</f>
        <v>3.846153846153845E-2</v>
      </c>
      <c r="K759" s="102">
        <v>55</v>
      </c>
      <c r="L759" s="35" t="str">
        <f>IFERROR(_xlfn.XLOOKUP(Table6[[#This Row],[Error Code]],'Basic Data'!$AA:$AA,'Basic Data'!$AB:$AB),"Incorrect Error Code")</f>
        <v>WTG shut down</v>
      </c>
      <c r="M759" s="35" t="s">
        <v>456</v>
      </c>
      <c r="N759" s="264"/>
      <c r="O759" s="265">
        <v>0.72916666666666663</v>
      </c>
      <c r="P759" s="265">
        <v>0.72916666666666663</v>
      </c>
      <c r="Q759" s="266">
        <v>0.73611111111111116</v>
      </c>
      <c r="R759" s="261">
        <f>IF(Table6[[#This Row],[Work Start TimeStamp]]="","",(Table6[[#This Row],[Work Start TimeStamp]]-Table6[[#This Row],[Fault Start TimeStamp]])*24)</f>
        <v>0</v>
      </c>
      <c r="S759" s="261">
        <f>(Table6[[#This Row],[Fault Clearance time]]-Table6[[#This Row],[Work Start TimeStamp]])*24</f>
        <v>0.16666666666666874</v>
      </c>
      <c r="T759" s="261">
        <f>(Table6[[#This Row],[Fault Clearance time]]-Table6[[#This Row],[Fault Start TimeStamp]])*24</f>
        <v>0.16666666666666874</v>
      </c>
      <c r="U759" s="35" t="s">
        <v>457</v>
      </c>
      <c r="V759" s="102" t="s">
        <v>268</v>
      </c>
      <c r="W759" s="267">
        <f>IFERROR(Table6[[#This Row],[Breakdown Time]]*Table6[[#This Row],[Plant Equivalent Weightage]],"")</f>
        <v>6.4102564102564881E-3</v>
      </c>
      <c r="X759" s="262" t="s">
        <v>269</v>
      </c>
      <c r="Y759" s="263" t="s">
        <v>119</v>
      </c>
      <c r="Z759" s="102">
        <v>16621</v>
      </c>
      <c r="AA759" s="257">
        <f>(Table6[[#This Row],[Paired WTG Generation for loss calculation]]/24)*Table6[[#This Row],[Breakdown Time]]</f>
        <v>115.42361111111254</v>
      </c>
      <c r="AB759" s="102"/>
      <c r="AC759" s="35"/>
      <c r="AD759" s="35"/>
    </row>
    <row r="760" spans="1:30">
      <c r="A760" s="102">
        <f t="shared" si="12"/>
        <v>759</v>
      </c>
      <c r="B760" s="257">
        <f>YEAR(Table6[[#This Row],[Date]])+IF(MONTH(Table6[[#This Row],[Date]])&gt;=4,1,0)</f>
        <v>2026</v>
      </c>
      <c r="C760" s="102">
        <f>YEAR(Table6[[#This Row],[Date]])</f>
        <v>2025</v>
      </c>
      <c r="D760" s="102" t="s">
        <v>265</v>
      </c>
      <c r="E760" s="258">
        <f>Table6[[#This Row],[Date]]-DAY(Table6[[#This Row],[Date]])+1</f>
        <v>45778</v>
      </c>
      <c r="F760" s="259">
        <v>45796</v>
      </c>
      <c r="G760" s="35" t="s">
        <v>117</v>
      </c>
      <c r="H760" s="35" t="str">
        <f>IFERROR(_xlfn.XLOOKUP(Table6[[#This Row],[Affected WTG]],'Basic Data'!$A:$A,'Basic Data'!$B:$B),"")</f>
        <v>TQGXIIPL</v>
      </c>
      <c r="I760" s="35" t="str">
        <f>IFERROR(_xlfn.XLOOKUP(Table6[[#This Row],[Affected WTG]],'Basic Data'!$A:$A,'Basic Data'!$C:$C),"")</f>
        <v>GEDA</v>
      </c>
      <c r="J760" s="260">
        <f>IFERROR(_xlfn.XLOOKUP(Table6[[#This Row],[Affected WTG]],'Basic Data'!$A:$A,'Basic Data'!$E:$E),"")</f>
        <v>3.846153846153845E-2</v>
      </c>
      <c r="K760" s="102">
        <v>55</v>
      </c>
      <c r="L760" s="35" t="str">
        <f>IFERROR(_xlfn.XLOOKUP(Table6[[#This Row],[Error Code]],'Basic Data'!$AA:$AA,'Basic Data'!$AB:$AB),"Incorrect Error Code")</f>
        <v>WTG shut down</v>
      </c>
      <c r="M760" s="35" t="s">
        <v>456</v>
      </c>
      <c r="N760" s="264"/>
      <c r="O760" s="265">
        <v>0.72916666666666663</v>
      </c>
      <c r="P760" s="265">
        <v>0.72916666666666663</v>
      </c>
      <c r="Q760" s="266">
        <v>0.73611111111111116</v>
      </c>
      <c r="R760" s="261">
        <f>IF(Table6[[#This Row],[Work Start TimeStamp]]="","",(Table6[[#This Row],[Work Start TimeStamp]]-Table6[[#This Row],[Fault Start TimeStamp]])*24)</f>
        <v>0</v>
      </c>
      <c r="S760" s="261">
        <f>(Table6[[#This Row],[Fault Clearance time]]-Table6[[#This Row],[Work Start TimeStamp]])*24</f>
        <v>0.16666666666666874</v>
      </c>
      <c r="T760" s="261">
        <f>(Table6[[#This Row],[Fault Clearance time]]-Table6[[#This Row],[Fault Start TimeStamp]])*24</f>
        <v>0.16666666666666874</v>
      </c>
      <c r="U760" s="35" t="s">
        <v>457</v>
      </c>
      <c r="V760" s="102" t="s">
        <v>268</v>
      </c>
      <c r="W760" s="267">
        <f>IFERROR(Table6[[#This Row],[Breakdown Time]]*Table6[[#This Row],[Plant Equivalent Weightage]],"")</f>
        <v>6.4102564102564881E-3</v>
      </c>
      <c r="X760" s="262" t="s">
        <v>269</v>
      </c>
      <c r="Y760" s="263" t="s">
        <v>123</v>
      </c>
      <c r="Z760" s="102">
        <v>15728</v>
      </c>
      <c r="AA760" s="257">
        <f>(Table6[[#This Row],[Paired WTG Generation for loss calculation]]/24)*Table6[[#This Row],[Breakdown Time]]</f>
        <v>109.22222222222359</v>
      </c>
      <c r="AB760" s="102"/>
      <c r="AC760" s="35"/>
      <c r="AD760" s="35"/>
    </row>
    <row r="761" spans="1:30">
      <c r="A761" s="102">
        <f t="shared" si="12"/>
        <v>760</v>
      </c>
      <c r="B761" s="257">
        <f>YEAR(Table6[[#This Row],[Date]])+IF(MONTH(Table6[[#This Row],[Date]])&gt;=4,1,0)</f>
        <v>2026</v>
      </c>
      <c r="C761" s="102">
        <f>YEAR(Table6[[#This Row],[Date]])</f>
        <v>2025</v>
      </c>
      <c r="D761" s="102" t="s">
        <v>265</v>
      </c>
      <c r="E761" s="258">
        <f>Table6[[#This Row],[Date]]-DAY(Table6[[#This Row],[Date]])+1</f>
        <v>45778</v>
      </c>
      <c r="F761" s="259">
        <v>45796</v>
      </c>
      <c r="G761" s="35" t="s">
        <v>119</v>
      </c>
      <c r="H761" s="35" t="str">
        <f>IFERROR(_xlfn.XLOOKUP(Table6[[#This Row],[Affected WTG]],'Basic Data'!$A:$A,'Basic Data'!$B:$B),"")</f>
        <v>TQGXIIPL</v>
      </c>
      <c r="I761" s="35" t="str">
        <f>IFERROR(_xlfn.XLOOKUP(Table6[[#This Row],[Affected WTG]],'Basic Data'!$A:$A,'Basic Data'!$C:$C),"")</f>
        <v>GEDA</v>
      </c>
      <c r="J761" s="260">
        <f>IFERROR(_xlfn.XLOOKUP(Table6[[#This Row],[Affected WTG]],'Basic Data'!$A:$A,'Basic Data'!$E:$E),"")</f>
        <v>3.846153846153845E-2</v>
      </c>
      <c r="K761" s="102">
        <v>55</v>
      </c>
      <c r="L761" s="35" t="str">
        <f>IFERROR(_xlfn.XLOOKUP(Table6[[#This Row],[Error Code]],'Basic Data'!$AA:$AA,'Basic Data'!$AB:$AB),"Incorrect Error Code")</f>
        <v>WTG shut down</v>
      </c>
      <c r="M761" s="35" t="s">
        <v>456</v>
      </c>
      <c r="N761" s="264"/>
      <c r="O761" s="265">
        <v>0.72916666666666663</v>
      </c>
      <c r="P761" s="265">
        <v>0.72916666666666663</v>
      </c>
      <c r="Q761" s="266">
        <v>0.73611111111111116</v>
      </c>
      <c r="R761" s="261">
        <f>IF(Table6[[#This Row],[Work Start TimeStamp]]="","",(Table6[[#This Row],[Work Start TimeStamp]]-Table6[[#This Row],[Fault Start TimeStamp]])*24)</f>
        <v>0</v>
      </c>
      <c r="S761" s="261">
        <f>(Table6[[#This Row],[Fault Clearance time]]-Table6[[#This Row],[Work Start TimeStamp]])*24</f>
        <v>0.16666666666666874</v>
      </c>
      <c r="T761" s="261">
        <f>(Table6[[#This Row],[Fault Clearance time]]-Table6[[#This Row],[Fault Start TimeStamp]])*24</f>
        <v>0.16666666666666874</v>
      </c>
      <c r="U761" s="35" t="s">
        <v>457</v>
      </c>
      <c r="V761" s="102" t="s">
        <v>268</v>
      </c>
      <c r="W761" s="267">
        <f>IFERROR(Table6[[#This Row],[Breakdown Time]]*Table6[[#This Row],[Plant Equivalent Weightage]],"")</f>
        <v>6.4102564102564881E-3</v>
      </c>
      <c r="X761" s="262" t="s">
        <v>269</v>
      </c>
      <c r="Y761" s="263" t="s">
        <v>116</v>
      </c>
      <c r="Z761" s="102">
        <v>18002</v>
      </c>
      <c r="AA761" s="257">
        <f>(Table6[[#This Row],[Paired WTG Generation for loss calculation]]/24)*Table6[[#This Row],[Breakdown Time]]</f>
        <v>125.01388888889045</v>
      </c>
      <c r="AB761" s="102"/>
      <c r="AC761" s="35"/>
      <c r="AD761" s="35"/>
    </row>
    <row r="762" spans="1:30">
      <c r="A762" s="102">
        <f t="shared" si="12"/>
        <v>761</v>
      </c>
      <c r="B762" s="257">
        <f>YEAR(Table6[[#This Row],[Date]])+IF(MONTH(Table6[[#This Row],[Date]])&gt;=4,1,0)</f>
        <v>2026</v>
      </c>
      <c r="C762" s="102">
        <f>YEAR(Table6[[#This Row],[Date]])</f>
        <v>2025</v>
      </c>
      <c r="D762" s="102" t="s">
        <v>265</v>
      </c>
      <c r="E762" s="258">
        <f>Table6[[#This Row],[Date]]-DAY(Table6[[#This Row],[Date]])+1</f>
        <v>45778</v>
      </c>
      <c r="F762" s="259">
        <v>45796</v>
      </c>
      <c r="G762" s="35" t="s">
        <v>121</v>
      </c>
      <c r="H762" s="35" t="str">
        <f>IFERROR(_xlfn.XLOOKUP(Table6[[#This Row],[Affected WTG]],'Basic Data'!$A:$A,'Basic Data'!$B:$B),"")</f>
        <v>TQGXIIPL</v>
      </c>
      <c r="I762" s="35" t="str">
        <f>IFERROR(_xlfn.XLOOKUP(Table6[[#This Row],[Affected WTG]],'Basic Data'!$A:$A,'Basic Data'!$C:$C),"")</f>
        <v>GEDA</v>
      </c>
      <c r="J762" s="260">
        <f>IFERROR(_xlfn.XLOOKUP(Table6[[#This Row],[Affected WTG]],'Basic Data'!$A:$A,'Basic Data'!$E:$E),"")</f>
        <v>3.846153846153845E-2</v>
      </c>
      <c r="K762" s="102">
        <v>175</v>
      </c>
      <c r="L762" s="35" t="str">
        <f>IFERROR(_xlfn.XLOOKUP(Table6[[#This Row],[Error Code]],'Basic Data'!$AA:$AA,'Basic Data'!$AB:$AB),"Incorrect Error Code")</f>
        <v>SLC error</v>
      </c>
      <c r="M762" s="35" t="s">
        <v>266</v>
      </c>
      <c r="N762" s="264"/>
      <c r="O762" s="265">
        <v>7.2916666666666671E-2</v>
      </c>
      <c r="P762" s="265">
        <v>7.2916666666666671E-2</v>
      </c>
      <c r="Q762" s="266">
        <v>7.4305555555555555E-2</v>
      </c>
      <c r="R762" s="261">
        <f>IF(Table6[[#This Row],[Work Start TimeStamp]]="","",(Table6[[#This Row],[Work Start TimeStamp]]-Table6[[#This Row],[Fault Start TimeStamp]])*24)</f>
        <v>0</v>
      </c>
      <c r="S762" s="261">
        <f>(Table6[[#This Row],[Fault Clearance time]]-Table6[[#This Row],[Work Start TimeStamp]])*24</f>
        <v>3.3333333333333215E-2</v>
      </c>
      <c r="T762" s="261">
        <f>(Table6[[#This Row],[Fault Clearance time]]-Table6[[#This Row],[Fault Start TimeStamp]])*24</f>
        <v>3.3333333333333215E-2</v>
      </c>
      <c r="U762" s="35" t="s">
        <v>447</v>
      </c>
      <c r="V762" s="102" t="s">
        <v>268</v>
      </c>
      <c r="W762" s="267">
        <f>IFERROR(Table6[[#This Row],[Breakdown Time]]*Table6[[#This Row],[Plant Equivalent Weightage]],"")</f>
        <v>1.2820512820512771E-3</v>
      </c>
      <c r="X762" s="262" t="s">
        <v>269</v>
      </c>
      <c r="Y762" s="263" t="s">
        <v>118</v>
      </c>
      <c r="Z762" s="102">
        <v>16163</v>
      </c>
      <c r="AA762" s="257">
        <f>(Table6[[#This Row],[Paired WTG Generation for loss calculation]]/24)*Table6[[#This Row],[Breakdown Time]]</f>
        <v>22.448611111111031</v>
      </c>
      <c r="AB762" s="102"/>
      <c r="AC762" s="35"/>
      <c r="AD762" s="35"/>
    </row>
    <row r="763" spans="1:30">
      <c r="A763" s="102">
        <f t="shared" si="12"/>
        <v>762</v>
      </c>
      <c r="B763" s="257">
        <f>YEAR(Table6[[#This Row],[Date]])+IF(MONTH(Table6[[#This Row],[Date]])&gt;=4,1,0)</f>
        <v>2026</v>
      </c>
      <c r="C763" s="102">
        <f>YEAR(Table6[[#This Row],[Date]])</f>
        <v>2025</v>
      </c>
      <c r="D763" s="102" t="s">
        <v>265</v>
      </c>
      <c r="E763" s="258">
        <f>Table6[[#This Row],[Date]]-DAY(Table6[[#This Row],[Date]])+1</f>
        <v>45778</v>
      </c>
      <c r="F763" s="259">
        <v>45796</v>
      </c>
      <c r="G763" s="35" t="s">
        <v>122</v>
      </c>
      <c r="H763" s="35" t="str">
        <f>IFERROR(_xlfn.XLOOKUP(Table6[[#This Row],[Affected WTG]],'Basic Data'!$A:$A,'Basic Data'!$B:$B),"")</f>
        <v>TQGXIIPL</v>
      </c>
      <c r="I763" s="35" t="str">
        <f>IFERROR(_xlfn.XLOOKUP(Table6[[#This Row],[Affected WTG]],'Basic Data'!$A:$A,'Basic Data'!$C:$C),"")</f>
        <v>GEDA</v>
      </c>
      <c r="J763" s="260">
        <f>IFERROR(_xlfn.XLOOKUP(Table6[[#This Row],[Affected WTG]],'Basic Data'!$A:$A,'Basic Data'!$E:$E),"")</f>
        <v>3.846153846153845E-2</v>
      </c>
      <c r="K763" s="102">
        <v>55</v>
      </c>
      <c r="L763" s="35" t="str">
        <f>IFERROR(_xlfn.XLOOKUP(Table6[[#This Row],[Error Code]],'Basic Data'!$AA:$AA,'Basic Data'!$AB:$AB),"Incorrect Error Code")</f>
        <v>WTG shut down</v>
      </c>
      <c r="M763" s="35" t="s">
        <v>456</v>
      </c>
      <c r="N763" s="264"/>
      <c r="O763" s="265">
        <v>0.72916666666666663</v>
      </c>
      <c r="P763" s="265">
        <v>0.72916666666666663</v>
      </c>
      <c r="Q763" s="266">
        <v>0.73611111111111116</v>
      </c>
      <c r="R763" s="261">
        <f>IF(Table6[[#This Row],[Work Start TimeStamp]]="","",(Table6[[#This Row],[Work Start TimeStamp]]-Table6[[#This Row],[Fault Start TimeStamp]])*24)</f>
        <v>0</v>
      </c>
      <c r="S763" s="261">
        <f>(Table6[[#This Row],[Fault Clearance time]]-Table6[[#This Row],[Work Start TimeStamp]])*24</f>
        <v>0.16666666666666874</v>
      </c>
      <c r="T763" s="261">
        <f>(Table6[[#This Row],[Fault Clearance time]]-Table6[[#This Row],[Fault Start TimeStamp]])*24</f>
        <v>0.16666666666666874</v>
      </c>
      <c r="U763" s="35" t="s">
        <v>457</v>
      </c>
      <c r="V763" s="102" t="s">
        <v>268</v>
      </c>
      <c r="W763" s="267">
        <f>IFERROR(Table6[[#This Row],[Breakdown Time]]*Table6[[#This Row],[Plant Equivalent Weightage]],"")</f>
        <v>6.4102564102564881E-3</v>
      </c>
      <c r="X763" s="262" t="s">
        <v>269</v>
      </c>
      <c r="Y763" s="263" t="s">
        <v>140</v>
      </c>
      <c r="Z763" s="102">
        <v>14378</v>
      </c>
      <c r="AA763" s="257">
        <f>(Table6[[#This Row],[Paired WTG Generation for loss calculation]]/24)*Table6[[#This Row],[Breakdown Time]]</f>
        <v>99.847222222223465</v>
      </c>
      <c r="AB763" s="102"/>
      <c r="AC763" s="35"/>
      <c r="AD763" s="35"/>
    </row>
    <row r="764" spans="1:30">
      <c r="A764" s="102">
        <f t="shared" si="12"/>
        <v>763</v>
      </c>
      <c r="B764" s="257">
        <f>YEAR(Table6[[#This Row],[Date]])+IF(MONTH(Table6[[#This Row],[Date]])&gt;=4,1,0)</f>
        <v>2026</v>
      </c>
      <c r="C764" s="102">
        <f>YEAR(Table6[[#This Row],[Date]])</f>
        <v>2025</v>
      </c>
      <c r="D764" s="102" t="s">
        <v>265</v>
      </c>
      <c r="E764" s="258">
        <f>Table6[[#This Row],[Date]]-DAY(Table6[[#This Row],[Date]])+1</f>
        <v>45778</v>
      </c>
      <c r="F764" s="259">
        <v>45796</v>
      </c>
      <c r="G764" s="35" t="s">
        <v>123</v>
      </c>
      <c r="H764" s="35" t="str">
        <f>IFERROR(_xlfn.XLOOKUP(Table6[[#This Row],[Affected WTG]],'Basic Data'!$A:$A,'Basic Data'!$B:$B),"")</f>
        <v>TQGXIIPL</v>
      </c>
      <c r="I764" s="35" t="str">
        <f>IFERROR(_xlfn.XLOOKUP(Table6[[#This Row],[Affected WTG]],'Basic Data'!$A:$A,'Basic Data'!$C:$C),"")</f>
        <v>GEDA</v>
      </c>
      <c r="J764" s="260">
        <f>IFERROR(_xlfn.XLOOKUP(Table6[[#This Row],[Affected WTG]],'Basic Data'!$A:$A,'Basic Data'!$E:$E),"")</f>
        <v>3.846153846153845E-2</v>
      </c>
      <c r="K764" s="102">
        <v>55</v>
      </c>
      <c r="L764" s="35" t="str">
        <f>IFERROR(_xlfn.XLOOKUP(Table6[[#This Row],[Error Code]],'Basic Data'!$AA:$AA,'Basic Data'!$AB:$AB),"Incorrect Error Code")</f>
        <v>WTG shut down</v>
      </c>
      <c r="M764" s="35" t="s">
        <v>456</v>
      </c>
      <c r="N764" s="264"/>
      <c r="O764" s="265">
        <v>0.72916666666666663</v>
      </c>
      <c r="P764" s="265">
        <v>0.72916666666666663</v>
      </c>
      <c r="Q764" s="266">
        <v>0.73611111111111116</v>
      </c>
      <c r="R764" s="261">
        <f>IF(Table6[[#This Row],[Work Start TimeStamp]]="","",(Table6[[#This Row],[Work Start TimeStamp]]-Table6[[#This Row],[Fault Start TimeStamp]])*24)</f>
        <v>0</v>
      </c>
      <c r="S764" s="261">
        <f>(Table6[[#This Row],[Fault Clearance time]]-Table6[[#This Row],[Work Start TimeStamp]])*24</f>
        <v>0.16666666666666874</v>
      </c>
      <c r="T764" s="261">
        <f>(Table6[[#This Row],[Fault Clearance time]]-Table6[[#This Row],[Fault Start TimeStamp]])*24</f>
        <v>0.16666666666666874</v>
      </c>
      <c r="U764" s="35" t="s">
        <v>457</v>
      </c>
      <c r="V764" s="102" t="s">
        <v>268</v>
      </c>
      <c r="W764" s="267">
        <f>IFERROR(Table6[[#This Row],[Breakdown Time]]*Table6[[#This Row],[Plant Equivalent Weightage]],"")</f>
        <v>6.4102564102564881E-3</v>
      </c>
      <c r="X764" s="262" t="s">
        <v>269</v>
      </c>
      <c r="Y764" s="263" t="s">
        <v>117</v>
      </c>
      <c r="Z764" s="102">
        <v>13334</v>
      </c>
      <c r="AA764" s="257">
        <f>(Table6[[#This Row],[Paired WTG Generation for loss calculation]]/24)*Table6[[#This Row],[Breakdown Time]]</f>
        <v>92.59722222222338</v>
      </c>
      <c r="AB764" s="102"/>
      <c r="AC764" s="35"/>
      <c r="AD764" s="35"/>
    </row>
    <row r="765" spans="1:30">
      <c r="A765" s="102">
        <f t="shared" si="12"/>
        <v>764</v>
      </c>
      <c r="B765" s="257">
        <f>YEAR(Table6[[#This Row],[Date]])+IF(MONTH(Table6[[#This Row],[Date]])&gt;=4,1,0)</f>
        <v>2026</v>
      </c>
      <c r="C765" s="102">
        <f>YEAR(Table6[[#This Row],[Date]])</f>
        <v>2025</v>
      </c>
      <c r="D765" s="102" t="s">
        <v>265</v>
      </c>
      <c r="E765" s="258">
        <f>Table6[[#This Row],[Date]]-DAY(Table6[[#This Row],[Date]])+1</f>
        <v>45778</v>
      </c>
      <c r="F765" s="259">
        <v>45796</v>
      </c>
      <c r="G765" s="35" t="s">
        <v>124</v>
      </c>
      <c r="H765" s="35" t="str">
        <f>IFERROR(_xlfn.XLOOKUP(Table6[[#This Row],[Affected WTG]],'Basic Data'!$A:$A,'Basic Data'!$B:$B),"")</f>
        <v>TQGXIIPL</v>
      </c>
      <c r="I765" s="35" t="str">
        <f>IFERROR(_xlfn.XLOOKUP(Table6[[#This Row],[Affected WTG]],'Basic Data'!$A:$A,'Basic Data'!$C:$C),"")</f>
        <v>GEDA</v>
      </c>
      <c r="J765" s="260">
        <f>IFERROR(_xlfn.XLOOKUP(Table6[[#This Row],[Affected WTG]],'Basic Data'!$A:$A,'Basic Data'!$E:$E),"")</f>
        <v>3.846153846153845E-2</v>
      </c>
      <c r="K765" s="102">
        <v>55</v>
      </c>
      <c r="L765" s="35" t="str">
        <f>IFERROR(_xlfn.XLOOKUP(Table6[[#This Row],[Error Code]],'Basic Data'!$AA:$AA,'Basic Data'!$AB:$AB),"Incorrect Error Code")</f>
        <v>WTG shut down</v>
      </c>
      <c r="M765" s="35" t="s">
        <v>456</v>
      </c>
      <c r="N765" s="264"/>
      <c r="O765" s="265">
        <v>0.72916666666666663</v>
      </c>
      <c r="P765" s="265">
        <v>0.72916666666666663</v>
      </c>
      <c r="Q765" s="266">
        <v>0.73611111111111116</v>
      </c>
      <c r="R765" s="261">
        <f>IF(Table6[[#This Row],[Work Start TimeStamp]]="","",(Table6[[#This Row],[Work Start TimeStamp]]-Table6[[#This Row],[Fault Start TimeStamp]])*24)</f>
        <v>0</v>
      </c>
      <c r="S765" s="261">
        <f>(Table6[[#This Row],[Fault Clearance time]]-Table6[[#This Row],[Work Start TimeStamp]])*24</f>
        <v>0.16666666666666874</v>
      </c>
      <c r="T765" s="261">
        <f>(Table6[[#This Row],[Fault Clearance time]]-Table6[[#This Row],[Fault Start TimeStamp]])*24</f>
        <v>0.16666666666666874</v>
      </c>
      <c r="U765" s="35" t="s">
        <v>457</v>
      </c>
      <c r="V765" s="102" t="s">
        <v>268</v>
      </c>
      <c r="W765" s="267">
        <f>IFERROR(Table6[[#This Row],[Breakdown Time]]*Table6[[#This Row],[Plant Equivalent Weightage]],"")</f>
        <v>6.4102564102564881E-3</v>
      </c>
      <c r="X765" s="262" t="s">
        <v>269</v>
      </c>
      <c r="Y765" s="263" t="s">
        <v>129</v>
      </c>
      <c r="Z765" s="102">
        <v>13808</v>
      </c>
      <c r="AA765" s="257">
        <f>(Table6[[#This Row],[Paired WTG Generation for loss calculation]]/24)*Table6[[#This Row],[Breakdown Time]]</f>
        <v>95.888888888890094</v>
      </c>
      <c r="AB765" s="102"/>
      <c r="AC765" s="35"/>
      <c r="AD765" s="35"/>
    </row>
    <row r="766" spans="1:30">
      <c r="A766" s="102">
        <f t="shared" si="12"/>
        <v>765</v>
      </c>
      <c r="B766" s="257">
        <f>YEAR(Table6[[#This Row],[Date]])+IF(MONTH(Table6[[#This Row],[Date]])&gt;=4,1,0)</f>
        <v>2026</v>
      </c>
      <c r="C766" s="102">
        <f>YEAR(Table6[[#This Row],[Date]])</f>
        <v>2025</v>
      </c>
      <c r="D766" s="102" t="s">
        <v>265</v>
      </c>
      <c r="E766" s="258">
        <f>Table6[[#This Row],[Date]]-DAY(Table6[[#This Row],[Date]])+1</f>
        <v>45778</v>
      </c>
      <c r="F766" s="259">
        <v>45796</v>
      </c>
      <c r="G766" s="35" t="s">
        <v>125</v>
      </c>
      <c r="H766" s="35" t="str">
        <f>IFERROR(_xlfn.XLOOKUP(Table6[[#This Row],[Affected WTG]],'Basic Data'!$A:$A,'Basic Data'!$B:$B),"")</f>
        <v>TQGXIIPL</v>
      </c>
      <c r="I766" s="35" t="str">
        <f>IFERROR(_xlfn.XLOOKUP(Table6[[#This Row],[Affected WTG]],'Basic Data'!$A:$A,'Basic Data'!$C:$C),"")</f>
        <v>GEDA</v>
      </c>
      <c r="J766" s="260">
        <f>IFERROR(_xlfn.XLOOKUP(Table6[[#This Row],[Affected WTG]],'Basic Data'!$A:$A,'Basic Data'!$E:$E),"")</f>
        <v>3.846153846153845E-2</v>
      </c>
      <c r="K766" s="102">
        <v>55</v>
      </c>
      <c r="L766" s="35" t="str">
        <f>IFERROR(_xlfn.XLOOKUP(Table6[[#This Row],[Error Code]],'Basic Data'!$AA:$AA,'Basic Data'!$AB:$AB),"Incorrect Error Code")</f>
        <v>WTG shut down</v>
      </c>
      <c r="M766" s="35" t="s">
        <v>456</v>
      </c>
      <c r="N766" s="264"/>
      <c r="O766" s="265">
        <v>0.72916666666666663</v>
      </c>
      <c r="P766" s="265">
        <v>0.72916666666666663</v>
      </c>
      <c r="Q766" s="266">
        <v>0.73611111111111116</v>
      </c>
      <c r="R766" s="261">
        <f>IF(Table6[[#This Row],[Work Start TimeStamp]]="","",(Table6[[#This Row],[Work Start TimeStamp]]-Table6[[#This Row],[Fault Start TimeStamp]])*24)</f>
        <v>0</v>
      </c>
      <c r="S766" s="261">
        <f>(Table6[[#This Row],[Fault Clearance time]]-Table6[[#This Row],[Work Start TimeStamp]])*24</f>
        <v>0.16666666666666874</v>
      </c>
      <c r="T766" s="261">
        <f>(Table6[[#This Row],[Fault Clearance time]]-Table6[[#This Row],[Fault Start TimeStamp]])*24</f>
        <v>0.16666666666666874</v>
      </c>
      <c r="U766" s="35" t="s">
        <v>457</v>
      </c>
      <c r="V766" s="102" t="s">
        <v>268</v>
      </c>
      <c r="W766" s="267">
        <f>IFERROR(Table6[[#This Row],[Breakdown Time]]*Table6[[#This Row],[Plant Equivalent Weightage]],"")</f>
        <v>6.4102564102564881E-3</v>
      </c>
      <c r="X766" s="262" t="s">
        <v>269</v>
      </c>
      <c r="Y766" s="263" t="s">
        <v>126</v>
      </c>
      <c r="Z766" s="102">
        <v>13600</v>
      </c>
      <c r="AA766" s="257">
        <f>(Table6[[#This Row],[Paired WTG Generation for loss calculation]]/24)*Table6[[#This Row],[Breakdown Time]]</f>
        <v>94.444444444445608</v>
      </c>
      <c r="AB766" s="102"/>
      <c r="AC766" s="35"/>
      <c r="AD766" s="35"/>
    </row>
    <row r="767" spans="1:30">
      <c r="A767" s="102">
        <f t="shared" si="12"/>
        <v>766</v>
      </c>
      <c r="B767" s="257">
        <f>YEAR(Table6[[#This Row],[Date]])+IF(MONTH(Table6[[#This Row],[Date]])&gt;=4,1,0)</f>
        <v>2026</v>
      </c>
      <c r="C767" s="102">
        <f>YEAR(Table6[[#This Row],[Date]])</f>
        <v>2025</v>
      </c>
      <c r="D767" s="102" t="s">
        <v>265</v>
      </c>
      <c r="E767" s="258">
        <f>Table6[[#This Row],[Date]]-DAY(Table6[[#This Row],[Date]])+1</f>
        <v>45778</v>
      </c>
      <c r="F767" s="259">
        <v>45796</v>
      </c>
      <c r="G767" s="35" t="s">
        <v>126</v>
      </c>
      <c r="H767" s="35" t="str">
        <f>IFERROR(_xlfn.XLOOKUP(Table6[[#This Row],[Affected WTG]],'Basic Data'!$A:$A,'Basic Data'!$B:$B),"")</f>
        <v>TQGXIIPL</v>
      </c>
      <c r="I767" s="35" t="str">
        <f>IFERROR(_xlfn.XLOOKUP(Table6[[#This Row],[Affected WTG]],'Basic Data'!$A:$A,'Basic Data'!$C:$C),"")</f>
        <v>GEDA</v>
      </c>
      <c r="J767" s="260">
        <f>IFERROR(_xlfn.XLOOKUP(Table6[[#This Row],[Affected WTG]],'Basic Data'!$A:$A,'Basic Data'!$E:$E),"")</f>
        <v>3.846153846153845E-2</v>
      </c>
      <c r="K767" s="102">
        <v>55</v>
      </c>
      <c r="L767" s="35" t="str">
        <f>IFERROR(_xlfn.XLOOKUP(Table6[[#This Row],[Error Code]],'Basic Data'!$AA:$AA,'Basic Data'!$AB:$AB),"Incorrect Error Code")</f>
        <v>WTG shut down</v>
      </c>
      <c r="M767" s="35" t="s">
        <v>456</v>
      </c>
      <c r="N767" s="264"/>
      <c r="O767" s="265">
        <v>0.72916666666666663</v>
      </c>
      <c r="P767" s="265">
        <v>0.72916666666666663</v>
      </c>
      <c r="Q767" s="266">
        <v>0.73611111111111116</v>
      </c>
      <c r="R767" s="261">
        <f>IF(Table6[[#This Row],[Work Start TimeStamp]]="","",(Table6[[#This Row],[Work Start TimeStamp]]-Table6[[#This Row],[Fault Start TimeStamp]])*24)</f>
        <v>0</v>
      </c>
      <c r="S767" s="261">
        <f>(Table6[[#This Row],[Fault Clearance time]]-Table6[[#This Row],[Work Start TimeStamp]])*24</f>
        <v>0.16666666666666874</v>
      </c>
      <c r="T767" s="261">
        <f>(Table6[[#This Row],[Fault Clearance time]]-Table6[[#This Row],[Fault Start TimeStamp]])*24</f>
        <v>0.16666666666666874</v>
      </c>
      <c r="U767" s="35" t="s">
        <v>457</v>
      </c>
      <c r="V767" s="102" t="s">
        <v>268</v>
      </c>
      <c r="W767" s="267">
        <f>IFERROR(Table6[[#This Row],[Breakdown Time]]*Table6[[#This Row],[Plant Equivalent Weightage]],"")</f>
        <v>6.4102564102564881E-3</v>
      </c>
      <c r="X767" s="262" t="s">
        <v>269</v>
      </c>
      <c r="Y767" s="263" t="s">
        <v>128</v>
      </c>
      <c r="Z767" s="102">
        <v>14141</v>
      </c>
      <c r="AA767" s="257">
        <f>(Table6[[#This Row],[Paired WTG Generation for loss calculation]]/24)*Table6[[#This Row],[Breakdown Time]]</f>
        <v>98.201388888890122</v>
      </c>
      <c r="AB767" s="102"/>
      <c r="AC767" s="35"/>
      <c r="AD767" s="35"/>
    </row>
    <row r="768" spans="1:30">
      <c r="A768" s="102">
        <f t="shared" si="12"/>
        <v>767</v>
      </c>
      <c r="B768" s="257">
        <f>YEAR(Table6[[#This Row],[Date]])+IF(MONTH(Table6[[#This Row],[Date]])&gt;=4,1,0)</f>
        <v>2026</v>
      </c>
      <c r="C768" s="102">
        <f>YEAR(Table6[[#This Row],[Date]])</f>
        <v>2025</v>
      </c>
      <c r="D768" s="102" t="s">
        <v>265</v>
      </c>
      <c r="E768" s="258">
        <f>Table6[[#This Row],[Date]]-DAY(Table6[[#This Row],[Date]])+1</f>
        <v>45778</v>
      </c>
      <c r="F768" s="259">
        <v>45796</v>
      </c>
      <c r="G768" s="35" t="s">
        <v>127</v>
      </c>
      <c r="H768" s="35" t="str">
        <f>IFERROR(_xlfn.XLOOKUP(Table6[[#This Row],[Affected WTG]],'Basic Data'!$A:$A,'Basic Data'!$B:$B),"")</f>
        <v>TQGXIIPL</v>
      </c>
      <c r="I768" s="35" t="str">
        <f>IFERROR(_xlfn.XLOOKUP(Table6[[#This Row],[Affected WTG]],'Basic Data'!$A:$A,'Basic Data'!$C:$C),"")</f>
        <v>GEDA</v>
      </c>
      <c r="J768" s="260">
        <f>IFERROR(_xlfn.XLOOKUP(Table6[[#This Row],[Affected WTG]],'Basic Data'!$A:$A,'Basic Data'!$E:$E),"")</f>
        <v>3.846153846153845E-2</v>
      </c>
      <c r="K768" s="102">
        <v>55</v>
      </c>
      <c r="L768" s="35" t="str">
        <f>IFERROR(_xlfn.XLOOKUP(Table6[[#This Row],[Error Code]],'Basic Data'!$AA:$AA,'Basic Data'!$AB:$AB),"Incorrect Error Code")</f>
        <v>WTG shut down</v>
      </c>
      <c r="M768" s="35" t="s">
        <v>456</v>
      </c>
      <c r="N768" s="264"/>
      <c r="O768" s="265">
        <v>0.72916666666666663</v>
      </c>
      <c r="P768" s="265">
        <v>0.72916666666666663</v>
      </c>
      <c r="Q768" s="266">
        <v>0.73611111111111116</v>
      </c>
      <c r="R768" s="261">
        <f>IF(Table6[[#This Row],[Work Start TimeStamp]]="","",(Table6[[#This Row],[Work Start TimeStamp]]-Table6[[#This Row],[Fault Start TimeStamp]])*24)</f>
        <v>0</v>
      </c>
      <c r="S768" s="261">
        <f>(Table6[[#This Row],[Fault Clearance time]]-Table6[[#This Row],[Work Start TimeStamp]])*24</f>
        <v>0.16666666666666874</v>
      </c>
      <c r="T768" s="261">
        <f>(Table6[[#This Row],[Fault Clearance time]]-Table6[[#This Row],[Fault Start TimeStamp]])*24</f>
        <v>0.16666666666666874</v>
      </c>
      <c r="U768" s="35" t="s">
        <v>457</v>
      </c>
      <c r="V768" s="102" t="s">
        <v>268</v>
      </c>
      <c r="W768" s="267">
        <f>IFERROR(Table6[[#This Row],[Breakdown Time]]*Table6[[#This Row],[Plant Equivalent Weightage]],"")</f>
        <v>6.4102564102564881E-3</v>
      </c>
      <c r="X768" s="262" t="s">
        <v>269</v>
      </c>
      <c r="Y768" s="263" t="s">
        <v>125</v>
      </c>
      <c r="Z768" s="102">
        <v>12657</v>
      </c>
      <c r="AA768" s="257">
        <f>(Table6[[#This Row],[Paired WTG Generation for loss calculation]]/24)*Table6[[#This Row],[Breakdown Time]]</f>
        <v>87.895833333334423</v>
      </c>
      <c r="AB768" s="102"/>
      <c r="AC768" s="35"/>
      <c r="AD768" s="35"/>
    </row>
    <row r="769" spans="1:30">
      <c r="A769" s="102">
        <f t="shared" si="12"/>
        <v>768</v>
      </c>
      <c r="B769" s="257">
        <f>YEAR(Table6[[#This Row],[Date]])+IF(MONTH(Table6[[#This Row],[Date]])&gt;=4,1,0)</f>
        <v>2026</v>
      </c>
      <c r="C769" s="102">
        <f>YEAR(Table6[[#This Row],[Date]])</f>
        <v>2025</v>
      </c>
      <c r="D769" s="102" t="s">
        <v>265</v>
      </c>
      <c r="E769" s="258">
        <f>Table6[[#This Row],[Date]]-DAY(Table6[[#This Row],[Date]])+1</f>
        <v>45778</v>
      </c>
      <c r="F769" s="259">
        <v>45796</v>
      </c>
      <c r="G769" s="35" t="s">
        <v>128</v>
      </c>
      <c r="H769" s="35" t="str">
        <f>IFERROR(_xlfn.XLOOKUP(Table6[[#This Row],[Affected WTG]],'Basic Data'!$A:$A,'Basic Data'!$B:$B),"")</f>
        <v>TQGXIIPL</v>
      </c>
      <c r="I769" s="35" t="str">
        <f>IFERROR(_xlfn.XLOOKUP(Table6[[#This Row],[Affected WTG]],'Basic Data'!$A:$A,'Basic Data'!$C:$C),"")</f>
        <v>GEDA</v>
      </c>
      <c r="J769" s="260">
        <f>IFERROR(_xlfn.XLOOKUP(Table6[[#This Row],[Affected WTG]],'Basic Data'!$A:$A,'Basic Data'!$E:$E),"")</f>
        <v>3.846153846153845E-2</v>
      </c>
      <c r="K769" s="102">
        <v>55</v>
      </c>
      <c r="L769" s="35" t="str">
        <f>IFERROR(_xlfn.XLOOKUP(Table6[[#This Row],[Error Code]],'Basic Data'!$AA:$AA,'Basic Data'!$AB:$AB),"Incorrect Error Code")</f>
        <v>WTG shut down</v>
      </c>
      <c r="M769" s="35" t="s">
        <v>456</v>
      </c>
      <c r="N769" s="264"/>
      <c r="O769" s="265">
        <v>0.72916666666666663</v>
      </c>
      <c r="P769" s="265">
        <v>0.72916666666666663</v>
      </c>
      <c r="Q769" s="266">
        <v>0.73611111111111116</v>
      </c>
      <c r="R769" s="261">
        <f>IF(Table6[[#This Row],[Work Start TimeStamp]]="","",(Table6[[#This Row],[Work Start TimeStamp]]-Table6[[#This Row],[Fault Start TimeStamp]])*24)</f>
        <v>0</v>
      </c>
      <c r="S769" s="261">
        <f>(Table6[[#This Row],[Fault Clearance time]]-Table6[[#This Row],[Work Start TimeStamp]])*24</f>
        <v>0.16666666666666874</v>
      </c>
      <c r="T769" s="261">
        <f>(Table6[[#This Row],[Fault Clearance time]]-Table6[[#This Row],[Fault Start TimeStamp]])*24</f>
        <v>0.16666666666666874</v>
      </c>
      <c r="U769" s="35" t="s">
        <v>457</v>
      </c>
      <c r="V769" s="102" t="s">
        <v>268</v>
      </c>
      <c r="W769" s="267">
        <f>IFERROR(Table6[[#This Row],[Breakdown Time]]*Table6[[#This Row],[Plant Equivalent Weightage]],"")</f>
        <v>6.4102564102564881E-3</v>
      </c>
      <c r="X769" s="262" t="s">
        <v>269</v>
      </c>
      <c r="Y769" s="263" t="s">
        <v>126</v>
      </c>
      <c r="Z769" s="102">
        <v>13600</v>
      </c>
      <c r="AA769" s="257">
        <f>(Table6[[#This Row],[Paired WTG Generation for loss calculation]]/24)*Table6[[#This Row],[Breakdown Time]]</f>
        <v>94.444444444445608</v>
      </c>
      <c r="AB769" s="102"/>
      <c r="AC769" s="35"/>
      <c r="AD769" s="35"/>
    </row>
    <row r="770" spans="1:30">
      <c r="A770" s="102">
        <f t="shared" si="12"/>
        <v>769</v>
      </c>
      <c r="B770" s="257">
        <f>YEAR(Table6[[#This Row],[Date]])+IF(MONTH(Table6[[#This Row],[Date]])&gt;=4,1,0)</f>
        <v>2026</v>
      </c>
      <c r="C770" s="102">
        <f>YEAR(Table6[[#This Row],[Date]])</f>
        <v>2025</v>
      </c>
      <c r="D770" s="102" t="s">
        <v>265</v>
      </c>
      <c r="E770" s="258">
        <f>Table6[[#This Row],[Date]]-DAY(Table6[[#This Row],[Date]])+1</f>
        <v>45778</v>
      </c>
      <c r="F770" s="259">
        <v>45796</v>
      </c>
      <c r="G770" s="35" t="s">
        <v>129</v>
      </c>
      <c r="H770" s="35" t="str">
        <f>IFERROR(_xlfn.XLOOKUP(Table6[[#This Row],[Affected WTG]],'Basic Data'!$A:$A,'Basic Data'!$B:$B),"")</f>
        <v>TQGXIIPL</v>
      </c>
      <c r="I770" s="35" t="str">
        <f>IFERROR(_xlfn.XLOOKUP(Table6[[#This Row],[Affected WTG]],'Basic Data'!$A:$A,'Basic Data'!$C:$C),"")</f>
        <v>GEDA</v>
      </c>
      <c r="J770" s="260">
        <f>IFERROR(_xlfn.XLOOKUP(Table6[[#This Row],[Affected WTG]],'Basic Data'!$A:$A,'Basic Data'!$E:$E),"")</f>
        <v>3.846153846153845E-2</v>
      </c>
      <c r="K770" s="102">
        <v>4555</v>
      </c>
      <c r="L770" s="35" t="str">
        <f>IFERROR(_xlfn.XLOOKUP(Table6[[#This Row],[Error Code]],'Basic Data'!$AA:$AA,'Basic Data'!$AB:$AB),"Incorrect Error Code")</f>
        <v>Tower accel. difference</v>
      </c>
      <c r="M770" s="35" t="s">
        <v>278</v>
      </c>
      <c r="N770" s="264"/>
      <c r="O770" s="265">
        <v>0.12847222222222221</v>
      </c>
      <c r="P770" s="265">
        <v>0.12847222222222221</v>
      </c>
      <c r="Q770" s="266">
        <v>0.13263888888888889</v>
      </c>
      <c r="R770" s="261">
        <f>IF(Table6[[#This Row],[Work Start TimeStamp]]="","",(Table6[[#This Row],[Work Start TimeStamp]]-Table6[[#This Row],[Fault Start TimeStamp]])*24)</f>
        <v>0</v>
      </c>
      <c r="S770" s="261">
        <f>(Table6[[#This Row],[Fault Clearance time]]-Table6[[#This Row],[Work Start TimeStamp]])*24</f>
        <v>0.10000000000000031</v>
      </c>
      <c r="T770" s="261">
        <f>(Table6[[#This Row],[Fault Clearance time]]-Table6[[#This Row],[Fault Start TimeStamp]])*24</f>
        <v>0.10000000000000031</v>
      </c>
      <c r="U770" s="35" t="s">
        <v>293</v>
      </c>
      <c r="V770" s="102" t="s">
        <v>268</v>
      </c>
      <c r="W770" s="267">
        <f>IFERROR(Table6[[#This Row],[Breakdown Time]]*Table6[[#This Row],[Plant Equivalent Weightage]],"")</f>
        <v>3.8461538461538568E-3</v>
      </c>
      <c r="X770" s="262" t="s">
        <v>269</v>
      </c>
      <c r="Y770" s="263" t="s">
        <v>124</v>
      </c>
      <c r="Z770" s="102">
        <v>14496</v>
      </c>
      <c r="AA770" s="257">
        <f>(Table6[[#This Row],[Paired WTG Generation for loss calculation]]/24)*Table6[[#This Row],[Breakdown Time]]</f>
        <v>60.40000000000019</v>
      </c>
      <c r="AB770" s="102"/>
      <c r="AC770" s="35"/>
      <c r="AD770" s="35"/>
    </row>
    <row r="771" spans="1:30">
      <c r="A771" s="102">
        <f t="shared" si="12"/>
        <v>770</v>
      </c>
      <c r="B771" s="257">
        <f>YEAR(Table6[[#This Row],[Date]])+IF(MONTH(Table6[[#This Row],[Date]])&gt;=4,1,0)</f>
        <v>2026</v>
      </c>
      <c r="C771" s="102">
        <f>YEAR(Table6[[#This Row],[Date]])</f>
        <v>2025</v>
      </c>
      <c r="D771" s="102" t="s">
        <v>265</v>
      </c>
      <c r="E771" s="258">
        <f>Table6[[#This Row],[Date]]-DAY(Table6[[#This Row],[Date]])+1</f>
        <v>45778</v>
      </c>
      <c r="F771" s="259">
        <v>45796</v>
      </c>
      <c r="G771" s="35" t="s">
        <v>129</v>
      </c>
      <c r="H771" s="35" t="str">
        <f>IFERROR(_xlfn.XLOOKUP(Table6[[#This Row],[Affected WTG]],'Basic Data'!$A:$A,'Basic Data'!$B:$B),"")</f>
        <v>TQGXIIPL</v>
      </c>
      <c r="I771" s="35" t="str">
        <f>IFERROR(_xlfn.XLOOKUP(Table6[[#This Row],[Affected WTG]],'Basic Data'!$A:$A,'Basic Data'!$C:$C),"")</f>
        <v>GEDA</v>
      </c>
      <c r="J771" s="260">
        <f>IFERROR(_xlfn.XLOOKUP(Table6[[#This Row],[Affected WTG]],'Basic Data'!$A:$A,'Basic Data'!$E:$E),"")</f>
        <v>3.846153846153845E-2</v>
      </c>
      <c r="K771" s="102">
        <v>55</v>
      </c>
      <c r="L771" s="35" t="str">
        <f>IFERROR(_xlfn.XLOOKUP(Table6[[#This Row],[Error Code]],'Basic Data'!$AA:$AA,'Basic Data'!$AB:$AB),"Incorrect Error Code")</f>
        <v>WTG shut down</v>
      </c>
      <c r="M771" s="35" t="s">
        <v>456</v>
      </c>
      <c r="N771" s="264"/>
      <c r="O771" s="265">
        <v>0.72916666666666663</v>
      </c>
      <c r="P771" s="265">
        <v>0.72916666666666663</v>
      </c>
      <c r="Q771" s="266">
        <v>0.73611111111111116</v>
      </c>
      <c r="R771" s="261">
        <f>IF(Table6[[#This Row],[Work Start TimeStamp]]="","",(Table6[[#This Row],[Work Start TimeStamp]]-Table6[[#This Row],[Fault Start TimeStamp]])*24)</f>
        <v>0</v>
      </c>
      <c r="S771" s="261">
        <f>(Table6[[#This Row],[Fault Clearance time]]-Table6[[#This Row],[Work Start TimeStamp]])*24</f>
        <v>0.16666666666666874</v>
      </c>
      <c r="T771" s="261">
        <f>(Table6[[#This Row],[Fault Clearance time]]-Table6[[#This Row],[Fault Start TimeStamp]])*24</f>
        <v>0.16666666666666874</v>
      </c>
      <c r="U771" s="35" t="s">
        <v>457</v>
      </c>
      <c r="V771" s="102" t="s">
        <v>268</v>
      </c>
      <c r="W771" s="267">
        <f>IFERROR(Table6[[#This Row],[Breakdown Time]]*Table6[[#This Row],[Plant Equivalent Weightage]],"")</f>
        <v>6.4102564102564881E-3</v>
      </c>
      <c r="X771" s="262" t="s">
        <v>269</v>
      </c>
      <c r="Y771" s="263" t="s">
        <v>124</v>
      </c>
      <c r="Z771" s="102">
        <v>14496</v>
      </c>
      <c r="AA771" s="257">
        <f>(Table6[[#This Row],[Paired WTG Generation for loss calculation]]/24)*Table6[[#This Row],[Breakdown Time]]</f>
        <v>100.66666666666792</v>
      </c>
      <c r="AB771" s="102"/>
      <c r="AC771" s="35"/>
      <c r="AD771" s="35"/>
    </row>
    <row r="772" spans="1:30">
      <c r="A772" s="102">
        <f t="shared" si="12"/>
        <v>771</v>
      </c>
      <c r="B772" s="257">
        <f>YEAR(Table6[[#This Row],[Date]])+IF(MONTH(Table6[[#This Row],[Date]])&gt;=4,1,0)</f>
        <v>2026</v>
      </c>
      <c r="C772" s="102">
        <f>YEAR(Table6[[#This Row],[Date]])</f>
        <v>2025</v>
      </c>
      <c r="D772" s="102" t="s">
        <v>265</v>
      </c>
      <c r="E772" s="258">
        <f>Table6[[#This Row],[Date]]-DAY(Table6[[#This Row],[Date]])+1</f>
        <v>45778</v>
      </c>
      <c r="F772" s="259">
        <v>45796</v>
      </c>
      <c r="G772" s="35" t="s">
        <v>136</v>
      </c>
      <c r="H772" s="35" t="str">
        <f>IFERROR(_xlfn.XLOOKUP(Table6[[#This Row],[Affected WTG]],'Basic Data'!$A:$A,'Basic Data'!$B:$B),"")</f>
        <v>TQGXIIPL</v>
      </c>
      <c r="I772" s="35" t="str">
        <f>IFERROR(_xlfn.XLOOKUP(Table6[[#This Row],[Affected WTG]],'Basic Data'!$A:$A,'Basic Data'!$C:$C),"")</f>
        <v>GEDA</v>
      </c>
      <c r="J772" s="260">
        <f>IFERROR(_xlfn.XLOOKUP(Table6[[#This Row],[Affected WTG]],'Basic Data'!$A:$A,'Basic Data'!$E:$E),"")</f>
        <v>3.846153846153845E-2</v>
      </c>
      <c r="K772" s="102">
        <v>55</v>
      </c>
      <c r="L772" s="35" t="str">
        <f>IFERROR(_xlfn.XLOOKUP(Table6[[#This Row],[Error Code]],'Basic Data'!$AA:$AA,'Basic Data'!$AB:$AB),"Incorrect Error Code")</f>
        <v>WTG shut down</v>
      </c>
      <c r="M772" s="35" t="s">
        <v>266</v>
      </c>
      <c r="N772" s="264"/>
      <c r="O772" s="265">
        <v>0.52916666666666667</v>
      </c>
      <c r="P772" s="265">
        <v>0.52916666666666667</v>
      </c>
      <c r="Q772" s="266">
        <v>0.625</v>
      </c>
      <c r="R772" s="261">
        <f>IF(Table6[[#This Row],[Work Start TimeStamp]]="","",(Table6[[#This Row],[Work Start TimeStamp]]-Table6[[#This Row],[Fault Start TimeStamp]])*24)</f>
        <v>0</v>
      </c>
      <c r="S772" s="261">
        <f>(Table6[[#This Row],[Fault Clearance time]]-Table6[[#This Row],[Work Start TimeStamp]])*24</f>
        <v>2.2999999999999998</v>
      </c>
      <c r="T772" s="261">
        <f>(Table6[[#This Row],[Fault Clearance time]]-Table6[[#This Row],[Fault Start TimeStamp]])*24</f>
        <v>2.2999999999999998</v>
      </c>
      <c r="U772" s="35" t="s">
        <v>458</v>
      </c>
      <c r="V772" s="102" t="s">
        <v>268</v>
      </c>
      <c r="W772" s="267">
        <f>IFERROR(Table6[[#This Row],[Breakdown Time]]*Table6[[#This Row],[Plant Equivalent Weightage]],"")</f>
        <v>8.8461538461538425E-2</v>
      </c>
      <c r="X772" s="262" t="s">
        <v>296</v>
      </c>
      <c r="Y772" s="263" t="s">
        <v>120</v>
      </c>
      <c r="Z772" s="102">
        <v>15698</v>
      </c>
      <c r="AA772" s="257">
        <f>(Table6[[#This Row],[Paired WTG Generation for loss calculation]]/24)*Table6[[#This Row],[Breakdown Time]]</f>
        <v>1504.3916666666667</v>
      </c>
      <c r="AB772" s="102"/>
      <c r="AC772" s="35"/>
      <c r="AD772" s="35"/>
    </row>
    <row r="773" spans="1:30">
      <c r="A773" s="102">
        <f t="shared" si="12"/>
        <v>772</v>
      </c>
      <c r="B773" s="257">
        <f>YEAR(Table6[[#This Row],[Date]])+IF(MONTH(Table6[[#This Row],[Date]])&gt;=4,1,0)</f>
        <v>2026</v>
      </c>
      <c r="C773" s="102">
        <f>YEAR(Table6[[#This Row],[Date]])</f>
        <v>2025</v>
      </c>
      <c r="D773" s="102" t="s">
        <v>265</v>
      </c>
      <c r="E773" s="258">
        <f>Table6[[#This Row],[Date]]-DAY(Table6[[#This Row],[Date]])+1</f>
        <v>45778</v>
      </c>
      <c r="F773" s="259">
        <v>45796</v>
      </c>
      <c r="G773" s="35" t="s">
        <v>136</v>
      </c>
      <c r="H773" s="35" t="str">
        <f>IFERROR(_xlfn.XLOOKUP(Table6[[#This Row],[Affected WTG]],'Basic Data'!$A:$A,'Basic Data'!$B:$B),"")</f>
        <v>TQGXIIPL</v>
      </c>
      <c r="I773" s="35" t="str">
        <f>IFERROR(_xlfn.XLOOKUP(Table6[[#This Row],[Affected WTG]],'Basic Data'!$A:$A,'Basic Data'!$C:$C),"")</f>
        <v>GEDA</v>
      </c>
      <c r="J773" s="260">
        <f>IFERROR(_xlfn.XLOOKUP(Table6[[#This Row],[Affected WTG]],'Basic Data'!$A:$A,'Basic Data'!$E:$E),"")</f>
        <v>3.846153846153845E-2</v>
      </c>
      <c r="K773" s="102">
        <v>55</v>
      </c>
      <c r="L773" s="35" t="str">
        <f>IFERROR(_xlfn.XLOOKUP(Table6[[#This Row],[Error Code]],'Basic Data'!$AA:$AA,'Basic Data'!$AB:$AB),"Incorrect Error Code")</f>
        <v>WTG shut down</v>
      </c>
      <c r="M773" s="35" t="s">
        <v>316</v>
      </c>
      <c r="N773" s="264"/>
      <c r="O773" s="265">
        <v>0.625</v>
      </c>
      <c r="P773" s="265">
        <v>0.625</v>
      </c>
      <c r="Q773" s="266">
        <v>0.75347222222222221</v>
      </c>
      <c r="R773" s="261">
        <f>IF(Table6[[#This Row],[Work Start TimeStamp]]="","",(Table6[[#This Row],[Work Start TimeStamp]]-Table6[[#This Row],[Fault Start TimeStamp]])*24)</f>
        <v>0</v>
      </c>
      <c r="S773" s="261">
        <f>(Table6[[#This Row],[Fault Clearance time]]-Table6[[#This Row],[Work Start TimeStamp]])*24</f>
        <v>3.083333333333333</v>
      </c>
      <c r="T773" s="261">
        <f>(Table6[[#This Row],[Fault Clearance time]]-Table6[[#This Row],[Fault Start TimeStamp]])*24</f>
        <v>3.083333333333333</v>
      </c>
      <c r="U773" s="35" t="s">
        <v>459</v>
      </c>
      <c r="V773" s="102" t="s">
        <v>268</v>
      </c>
      <c r="W773" s="267">
        <f>IFERROR(Table6[[#This Row],[Breakdown Time]]*Table6[[#This Row],[Plant Equivalent Weightage]],"")</f>
        <v>0.11858974358974354</v>
      </c>
      <c r="X773" s="262" t="s">
        <v>296</v>
      </c>
      <c r="Y773" s="263" t="s">
        <v>120</v>
      </c>
      <c r="Z773" s="102">
        <v>15698</v>
      </c>
      <c r="AA773" s="257">
        <f>(Table6[[#This Row],[Paired WTG Generation for loss calculation]]/24)*Table6[[#This Row],[Breakdown Time]]</f>
        <v>2016.7569444444443</v>
      </c>
      <c r="AB773" s="102"/>
      <c r="AC773" s="35"/>
      <c r="AD773" s="35"/>
    </row>
    <row r="774" spans="1:30">
      <c r="A774" s="102">
        <f t="shared" si="12"/>
        <v>773</v>
      </c>
      <c r="B774" s="257">
        <f>YEAR(Table6[[#This Row],[Date]])+IF(MONTH(Table6[[#This Row],[Date]])&gt;=4,1,0)</f>
        <v>2026</v>
      </c>
      <c r="C774" s="102">
        <f>YEAR(Table6[[#This Row],[Date]])</f>
        <v>2025</v>
      </c>
      <c r="D774" s="102" t="s">
        <v>265</v>
      </c>
      <c r="E774" s="258">
        <f>Table6[[#This Row],[Date]]-DAY(Table6[[#This Row],[Date]])+1</f>
        <v>45778</v>
      </c>
      <c r="F774" s="259">
        <v>45796</v>
      </c>
      <c r="G774" s="35" t="s">
        <v>137</v>
      </c>
      <c r="H774" s="35" t="str">
        <f>IFERROR(_xlfn.XLOOKUP(Table6[[#This Row],[Affected WTG]],'Basic Data'!$A:$A,'Basic Data'!$B:$B),"")</f>
        <v>TQGXIIPL</v>
      </c>
      <c r="I774" s="35" t="str">
        <f>IFERROR(_xlfn.XLOOKUP(Table6[[#This Row],[Affected WTG]],'Basic Data'!$A:$A,'Basic Data'!$C:$C),"")</f>
        <v>GEDA</v>
      </c>
      <c r="J774" s="260">
        <f>IFERROR(_xlfn.XLOOKUP(Table6[[#This Row],[Affected WTG]],'Basic Data'!$A:$A,'Basic Data'!$E:$E),"")</f>
        <v>3.846153846153845E-2</v>
      </c>
      <c r="K774" s="102">
        <v>55</v>
      </c>
      <c r="L774" s="35" t="str">
        <f>IFERROR(_xlfn.XLOOKUP(Table6[[#This Row],[Error Code]],'Basic Data'!$AA:$AA,'Basic Data'!$AB:$AB),"Incorrect Error Code")</f>
        <v>WTG shut down</v>
      </c>
      <c r="M774" s="35" t="s">
        <v>456</v>
      </c>
      <c r="N774" s="264"/>
      <c r="O774" s="265">
        <v>0.72916666666666663</v>
      </c>
      <c r="P774" s="265">
        <v>0.72916666666666663</v>
      </c>
      <c r="Q774" s="266">
        <v>0.73611111111111116</v>
      </c>
      <c r="R774" s="261">
        <f>IF(Table6[[#This Row],[Work Start TimeStamp]]="","",(Table6[[#This Row],[Work Start TimeStamp]]-Table6[[#This Row],[Fault Start TimeStamp]])*24)</f>
        <v>0</v>
      </c>
      <c r="S774" s="261">
        <f>(Table6[[#This Row],[Fault Clearance time]]-Table6[[#This Row],[Work Start TimeStamp]])*24</f>
        <v>0.16666666666666874</v>
      </c>
      <c r="T774" s="261">
        <f>(Table6[[#This Row],[Fault Clearance time]]-Table6[[#This Row],[Fault Start TimeStamp]])*24</f>
        <v>0.16666666666666874</v>
      </c>
      <c r="U774" s="35" t="s">
        <v>457</v>
      </c>
      <c r="V774" s="102" t="s">
        <v>268</v>
      </c>
      <c r="W774" s="267">
        <f>IFERROR(Table6[[#This Row],[Breakdown Time]]*Table6[[#This Row],[Plant Equivalent Weightage]],"")</f>
        <v>6.4102564102564881E-3</v>
      </c>
      <c r="X774" s="262" t="s">
        <v>269</v>
      </c>
      <c r="Y774" s="263" t="s">
        <v>125</v>
      </c>
      <c r="Z774" s="102">
        <v>12657</v>
      </c>
      <c r="AA774" s="257">
        <f>(Table6[[#This Row],[Paired WTG Generation for loss calculation]]/24)*Table6[[#This Row],[Breakdown Time]]</f>
        <v>87.895833333334423</v>
      </c>
      <c r="AB774" s="102"/>
      <c r="AC774" s="35"/>
      <c r="AD774" s="35"/>
    </row>
    <row r="775" spans="1:30">
      <c r="A775" s="102">
        <f t="shared" si="12"/>
        <v>774</v>
      </c>
      <c r="B775" s="257">
        <f>YEAR(Table6[[#This Row],[Date]])+IF(MONTH(Table6[[#This Row],[Date]])&gt;=4,1,0)</f>
        <v>2026</v>
      </c>
      <c r="C775" s="102">
        <f>YEAR(Table6[[#This Row],[Date]])</f>
        <v>2025</v>
      </c>
      <c r="D775" s="102" t="s">
        <v>265</v>
      </c>
      <c r="E775" s="258">
        <f>Table6[[#This Row],[Date]]-DAY(Table6[[#This Row],[Date]])+1</f>
        <v>45778</v>
      </c>
      <c r="F775" s="259">
        <v>45796</v>
      </c>
      <c r="G775" s="35" t="s">
        <v>139</v>
      </c>
      <c r="H775" s="35" t="str">
        <f>IFERROR(_xlfn.XLOOKUP(Table6[[#This Row],[Affected WTG]],'Basic Data'!$A:$A,'Basic Data'!$B:$B),"")</f>
        <v>TQGXIIPL</v>
      </c>
      <c r="I775" s="35" t="str">
        <f>IFERROR(_xlfn.XLOOKUP(Table6[[#This Row],[Affected WTG]],'Basic Data'!$A:$A,'Basic Data'!$C:$C),"")</f>
        <v>GEDA</v>
      </c>
      <c r="J775" s="260">
        <f>IFERROR(_xlfn.XLOOKUP(Table6[[#This Row],[Affected WTG]],'Basic Data'!$A:$A,'Basic Data'!$E:$E),"")</f>
        <v>3.846153846153845E-2</v>
      </c>
      <c r="K775" s="102">
        <v>55</v>
      </c>
      <c r="L775" s="35" t="str">
        <f>IFERROR(_xlfn.XLOOKUP(Table6[[#This Row],[Error Code]],'Basic Data'!$AA:$AA,'Basic Data'!$AB:$AB),"Incorrect Error Code")</f>
        <v>WTG shut down</v>
      </c>
      <c r="M775" s="35" t="s">
        <v>456</v>
      </c>
      <c r="N775" s="264"/>
      <c r="O775" s="265">
        <v>0.72916666666666663</v>
      </c>
      <c r="P775" s="265">
        <v>0.72916666666666663</v>
      </c>
      <c r="Q775" s="266">
        <v>0.73611111111111116</v>
      </c>
      <c r="R775" s="261">
        <f>IF(Table6[[#This Row],[Work Start TimeStamp]]="","",(Table6[[#This Row],[Work Start TimeStamp]]-Table6[[#This Row],[Fault Start TimeStamp]])*24)</f>
        <v>0</v>
      </c>
      <c r="S775" s="261">
        <f>(Table6[[#This Row],[Fault Clearance time]]-Table6[[#This Row],[Work Start TimeStamp]])*24</f>
        <v>0.16666666666666874</v>
      </c>
      <c r="T775" s="261">
        <f>(Table6[[#This Row],[Fault Clearance time]]-Table6[[#This Row],[Fault Start TimeStamp]])*24</f>
        <v>0.16666666666666874</v>
      </c>
      <c r="U775" s="35" t="s">
        <v>457</v>
      </c>
      <c r="V775" s="102" t="s">
        <v>268</v>
      </c>
      <c r="W775" s="267">
        <f>IFERROR(Table6[[#This Row],[Breakdown Time]]*Table6[[#This Row],[Plant Equivalent Weightage]],"")</f>
        <v>6.4102564102564881E-3</v>
      </c>
      <c r="X775" s="262" t="s">
        <v>269</v>
      </c>
      <c r="Y775" s="263" t="s">
        <v>115</v>
      </c>
      <c r="Z775" s="102">
        <v>15558</v>
      </c>
      <c r="AA775" s="257">
        <f>(Table6[[#This Row],[Paired WTG Generation for loss calculation]]/24)*Table6[[#This Row],[Breakdown Time]]</f>
        <v>108.04166666666801</v>
      </c>
      <c r="AB775" s="102"/>
      <c r="AC775" s="35"/>
      <c r="AD775" s="35"/>
    </row>
    <row r="776" spans="1:30">
      <c r="A776" s="102">
        <f t="shared" si="12"/>
        <v>775</v>
      </c>
      <c r="B776" s="257">
        <f>YEAR(Table6[[#This Row],[Date]])+IF(MONTH(Table6[[#This Row],[Date]])&gt;=4,1,0)</f>
        <v>2026</v>
      </c>
      <c r="C776" s="102">
        <f>YEAR(Table6[[#This Row],[Date]])</f>
        <v>2025</v>
      </c>
      <c r="D776" s="102" t="s">
        <v>265</v>
      </c>
      <c r="E776" s="258">
        <f>Table6[[#This Row],[Date]]-DAY(Table6[[#This Row],[Date]])+1</f>
        <v>45778</v>
      </c>
      <c r="F776" s="259">
        <v>45796</v>
      </c>
      <c r="G776" s="35" t="s">
        <v>140</v>
      </c>
      <c r="H776" s="35" t="str">
        <f>IFERROR(_xlfn.XLOOKUP(Table6[[#This Row],[Affected WTG]],'Basic Data'!$A:$A,'Basic Data'!$B:$B),"")</f>
        <v>TQGXIIPL</v>
      </c>
      <c r="I776" s="35" t="str">
        <f>IFERROR(_xlfn.XLOOKUP(Table6[[#This Row],[Affected WTG]],'Basic Data'!$A:$A,'Basic Data'!$C:$C),"")</f>
        <v>GEDA</v>
      </c>
      <c r="J776" s="260">
        <f>IFERROR(_xlfn.XLOOKUP(Table6[[#This Row],[Affected WTG]],'Basic Data'!$A:$A,'Basic Data'!$E:$E),"")</f>
        <v>3.846153846153845E-2</v>
      </c>
      <c r="K776" s="102">
        <v>55</v>
      </c>
      <c r="L776" s="35" t="str">
        <f>IFERROR(_xlfn.XLOOKUP(Table6[[#This Row],[Error Code]],'Basic Data'!$AA:$AA,'Basic Data'!$AB:$AB),"Incorrect Error Code")</f>
        <v>WTG shut down</v>
      </c>
      <c r="M776" s="35" t="s">
        <v>456</v>
      </c>
      <c r="N776" s="264"/>
      <c r="O776" s="265">
        <v>0.72916666666666663</v>
      </c>
      <c r="P776" s="265">
        <v>0.72916666666666663</v>
      </c>
      <c r="Q776" s="266">
        <v>0.73611111111111116</v>
      </c>
      <c r="R776" s="261">
        <f>IF(Table6[[#This Row],[Work Start TimeStamp]]="","",(Table6[[#This Row],[Work Start TimeStamp]]-Table6[[#This Row],[Fault Start TimeStamp]])*24)</f>
        <v>0</v>
      </c>
      <c r="S776" s="261">
        <f>(Table6[[#This Row],[Fault Clearance time]]-Table6[[#This Row],[Work Start TimeStamp]])*24</f>
        <v>0.16666666666666874</v>
      </c>
      <c r="T776" s="261">
        <f>(Table6[[#This Row],[Fault Clearance time]]-Table6[[#This Row],[Fault Start TimeStamp]])*24</f>
        <v>0.16666666666666874</v>
      </c>
      <c r="U776" s="35" t="s">
        <v>457</v>
      </c>
      <c r="V776" s="102" t="s">
        <v>268</v>
      </c>
      <c r="W776" s="267">
        <f>IFERROR(Table6[[#This Row],[Breakdown Time]]*Table6[[#This Row],[Plant Equivalent Weightage]],"")</f>
        <v>6.4102564102564881E-3</v>
      </c>
      <c r="X776" s="262" t="s">
        <v>269</v>
      </c>
      <c r="Y776" s="263" t="s">
        <v>115</v>
      </c>
      <c r="Z776" s="102">
        <v>15558</v>
      </c>
      <c r="AA776" s="257">
        <f>(Table6[[#This Row],[Paired WTG Generation for loss calculation]]/24)*Table6[[#This Row],[Breakdown Time]]</f>
        <v>108.04166666666801</v>
      </c>
      <c r="AB776" s="102"/>
      <c r="AC776" s="35"/>
      <c r="AD776" s="35"/>
    </row>
    <row r="777" spans="1:30">
      <c r="A777" s="102">
        <f t="shared" si="12"/>
        <v>776</v>
      </c>
      <c r="B777" s="257">
        <f>YEAR(Table6[[#This Row],[Date]])+IF(MONTH(Table6[[#This Row],[Date]])&gt;=4,1,0)</f>
        <v>2026</v>
      </c>
      <c r="C777" s="102">
        <f>YEAR(Table6[[#This Row],[Date]])</f>
        <v>2025</v>
      </c>
      <c r="D777" s="102" t="s">
        <v>265</v>
      </c>
      <c r="E777" s="258">
        <f>Table6[[#This Row],[Date]]-DAY(Table6[[#This Row],[Date]])+1</f>
        <v>45778</v>
      </c>
      <c r="F777" s="259">
        <v>45797</v>
      </c>
      <c r="G777" s="35" t="s">
        <v>118</v>
      </c>
      <c r="H777" s="35" t="str">
        <f>IFERROR(_xlfn.XLOOKUP(Table6[[#This Row],[Affected WTG]],'Basic Data'!$A:$A,'Basic Data'!$B:$B),"")</f>
        <v>TQGXIIPL</v>
      </c>
      <c r="I777" s="35" t="str">
        <f>IFERROR(_xlfn.XLOOKUP(Table6[[#This Row],[Affected WTG]],'Basic Data'!$A:$A,'Basic Data'!$C:$C),"")</f>
        <v>GEDA</v>
      </c>
      <c r="J777" s="260">
        <f>IFERROR(_xlfn.XLOOKUP(Table6[[#This Row],[Affected WTG]],'Basic Data'!$A:$A,'Basic Data'!$E:$E),"")</f>
        <v>3.846153846153845E-2</v>
      </c>
      <c r="K777" s="102">
        <v>6130</v>
      </c>
      <c r="L777" s="35" t="str">
        <f>IFERROR(_xlfn.XLOOKUP(Table6[[#This Row],[Error Code]],'Basic Data'!$AA:$AA,'Basic Data'!$AB:$AB),"Incorrect Error Code")</f>
        <v>Yaw speed high</v>
      </c>
      <c r="M777" s="35" t="s">
        <v>266</v>
      </c>
      <c r="N777" s="264"/>
      <c r="O777" s="265">
        <v>0.70972222222222225</v>
      </c>
      <c r="P777" s="265">
        <v>0.70972222222222225</v>
      </c>
      <c r="Q777" s="266">
        <v>0.71597222222222223</v>
      </c>
      <c r="R777" s="261">
        <f>IF(Table6[[#This Row],[Work Start TimeStamp]]="","",(Table6[[#This Row],[Work Start TimeStamp]]-Table6[[#This Row],[Fault Start TimeStamp]])*24)</f>
        <v>0</v>
      </c>
      <c r="S777" s="261">
        <f>(Table6[[#This Row],[Fault Clearance time]]-Table6[[#This Row],[Work Start TimeStamp]])*24</f>
        <v>0.14999999999999947</v>
      </c>
      <c r="T777" s="261">
        <f>(Table6[[#This Row],[Fault Clearance time]]-Table6[[#This Row],[Fault Start TimeStamp]])*24</f>
        <v>0.14999999999999947</v>
      </c>
      <c r="U777" s="35" t="s">
        <v>447</v>
      </c>
      <c r="V777" s="102" t="s">
        <v>268</v>
      </c>
      <c r="W777" s="267">
        <f>IFERROR(Table6[[#This Row],[Breakdown Time]]*Table6[[#This Row],[Plant Equivalent Weightage]],"")</f>
        <v>5.769230769230747E-3</v>
      </c>
      <c r="X777" s="262" t="s">
        <v>269</v>
      </c>
      <c r="Y777" s="263" t="s">
        <v>121</v>
      </c>
      <c r="Z777" s="102">
        <v>12687</v>
      </c>
      <c r="AA777" s="257">
        <f>(Table6[[#This Row],[Paired WTG Generation for loss calculation]]/24)*Table6[[#This Row],[Breakdown Time]]</f>
        <v>79.293749999999719</v>
      </c>
      <c r="AB777" s="102"/>
      <c r="AC777" s="35"/>
      <c r="AD777" s="35"/>
    </row>
    <row r="778" spans="1:30">
      <c r="A778" s="102">
        <f t="shared" si="12"/>
        <v>777</v>
      </c>
      <c r="B778" s="257">
        <f>YEAR(Table6[[#This Row],[Date]])+IF(MONTH(Table6[[#This Row],[Date]])&gt;=4,1,0)</f>
        <v>2026</v>
      </c>
      <c r="C778" s="102">
        <f>YEAR(Table6[[#This Row],[Date]])</f>
        <v>2025</v>
      </c>
      <c r="D778" s="102" t="s">
        <v>265</v>
      </c>
      <c r="E778" s="258">
        <f>Table6[[#This Row],[Date]]-DAY(Table6[[#This Row],[Date]])+1</f>
        <v>45778</v>
      </c>
      <c r="F778" s="259">
        <v>45797</v>
      </c>
      <c r="G778" s="35" t="s">
        <v>120</v>
      </c>
      <c r="H778" s="35" t="str">
        <f>IFERROR(_xlfn.XLOOKUP(Table6[[#This Row],[Affected WTG]],'Basic Data'!$A:$A,'Basic Data'!$B:$B),"")</f>
        <v>TQGXIIPL</v>
      </c>
      <c r="I778" s="35" t="str">
        <f>IFERROR(_xlfn.XLOOKUP(Table6[[#This Row],[Affected WTG]],'Basic Data'!$A:$A,'Basic Data'!$C:$C),"")</f>
        <v>GEDA</v>
      </c>
      <c r="J778" s="260">
        <f>IFERROR(_xlfn.XLOOKUP(Table6[[#This Row],[Affected WTG]],'Basic Data'!$A:$A,'Basic Data'!$E:$E),"")</f>
        <v>3.846153846153845E-2</v>
      </c>
      <c r="K778" s="102">
        <v>6130</v>
      </c>
      <c r="L778" s="35" t="str">
        <f>IFERROR(_xlfn.XLOOKUP(Table6[[#This Row],[Error Code]],'Basic Data'!$AA:$AA,'Basic Data'!$AB:$AB),"Incorrect Error Code")</f>
        <v>Yaw speed high</v>
      </c>
      <c r="M778" s="35" t="s">
        <v>278</v>
      </c>
      <c r="N778" s="264"/>
      <c r="O778" s="265">
        <v>0.54236111111111107</v>
      </c>
      <c r="P778" s="265">
        <v>0.54236111111111107</v>
      </c>
      <c r="Q778" s="266">
        <v>0.54652777777777772</v>
      </c>
      <c r="R778" s="261">
        <f>IF(Table6[[#This Row],[Work Start TimeStamp]]="","",(Table6[[#This Row],[Work Start TimeStamp]]-Table6[[#This Row],[Fault Start TimeStamp]])*24)</f>
        <v>0</v>
      </c>
      <c r="S778" s="261">
        <f>(Table6[[#This Row],[Fault Clearance time]]-Table6[[#This Row],[Work Start TimeStamp]])*24</f>
        <v>9.9999999999999645E-2</v>
      </c>
      <c r="T778" s="261">
        <f>(Table6[[#This Row],[Fault Clearance time]]-Table6[[#This Row],[Fault Start TimeStamp]])*24</f>
        <v>9.9999999999999645E-2</v>
      </c>
      <c r="U778" s="35" t="s">
        <v>293</v>
      </c>
      <c r="V778" s="102" t="s">
        <v>268</v>
      </c>
      <c r="W778" s="267">
        <f>IFERROR(Table6[[#This Row],[Breakdown Time]]*Table6[[#This Row],[Plant Equivalent Weightage]],"")</f>
        <v>3.8461538461538312E-3</v>
      </c>
      <c r="X778" s="262" t="s">
        <v>269</v>
      </c>
      <c r="Y778" s="263" t="s">
        <v>135</v>
      </c>
      <c r="Z778" s="102">
        <v>13934</v>
      </c>
      <c r="AA778" s="257">
        <f>(Table6[[#This Row],[Paired WTG Generation for loss calculation]]/24)*Table6[[#This Row],[Breakdown Time]]</f>
        <v>58.058333333333131</v>
      </c>
      <c r="AB778" s="102"/>
      <c r="AC778" s="35"/>
      <c r="AD778" s="35"/>
    </row>
    <row r="779" spans="1:30">
      <c r="A779" s="102">
        <f t="shared" si="12"/>
        <v>778</v>
      </c>
      <c r="B779" s="257">
        <f>YEAR(Table6[[#This Row],[Date]])+IF(MONTH(Table6[[#This Row],[Date]])&gt;=4,1,0)</f>
        <v>2026</v>
      </c>
      <c r="C779" s="102">
        <f>YEAR(Table6[[#This Row],[Date]])</f>
        <v>2025</v>
      </c>
      <c r="D779" s="102" t="s">
        <v>265</v>
      </c>
      <c r="E779" s="258">
        <f>Table6[[#This Row],[Date]]-DAY(Table6[[#This Row],[Date]])+1</f>
        <v>45778</v>
      </c>
      <c r="F779" s="259">
        <v>45797</v>
      </c>
      <c r="G779" s="35" t="s">
        <v>122</v>
      </c>
      <c r="H779" s="35" t="str">
        <f>IFERROR(_xlfn.XLOOKUP(Table6[[#This Row],[Affected WTG]],'Basic Data'!$A:$A,'Basic Data'!$B:$B),"")</f>
        <v>TQGXIIPL</v>
      </c>
      <c r="I779" s="35" t="str">
        <f>IFERROR(_xlfn.XLOOKUP(Table6[[#This Row],[Affected WTG]],'Basic Data'!$A:$A,'Basic Data'!$C:$C),"")</f>
        <v>GEDA</v>
      </c>
      <c r="J779" s="260">
        <f>IFERROR(_xlfn.XLOOKUP(Table6[[#This Row],[Affected WTG]],'Basic Data'!$A:$A,'Basic Data'!$E:$E),"")</f>
        <v>3.846153846153845E-2</v>
      </c>
      <c r="K779" s="102">
        <v>55</v>
      </c>
      <c r="L779" s="35" t="str">
        <f>IFERROR(_xlfn.XLOOKUP(Table6[[#This Row],[Error Code]],'Basic Data'!$AA:$AA,'Basic Data'!$AB:$AB),"Incorrect Error Code")</f>
        <v>WTG shut down</v>
      </c>
      <c r="M779" s="35" t="s">
        <v>300</v>
      </c>
      <c r="N779" s="264"/>
      <c r="O779" s="265">
        <v>0.71736111111111112</v>
      </c>
      <c r="P779" s="265">
        <v>0.71736111111111112</v>
      </c>
      <c r="Q779" s="266">
        <v>0.76041666666666663</v>
      </c>
      <c r="R779" s="261">
        <f>IF(Table6[[#This Row],[Work Start TimeStamp]]="","",(Table6[[#This Row],[Work Start TimeStamp]]-Table6[[#This Row],[Fault Start TimeStamp]])*24)</f>
        <v>0</v>
      </c>
      <c r="S779" s="261">
        <f>(Table6[[#This Row],[Fault Clearance time]]-Table6[[#This Row],[Work Start TimeStamp]])*24</f>
        <v>1.0333333333333323</v>
      </c>
      <c r="T779" s="261">
        <f>(Table6[[#This Row],[Fault Clearance time]]-Table6[[#This Row],[Fault Start TimeStamp]])*24</f>
        <v>1.0333333333333323</v>
      </c>
      <c r="U779" s="35" t="s">
        <v>385</v>
      </c>
      <c r="V779" s="102" t="s">
        <v>268</v>
      </c>
      <c r="W779" s="267">
        <f>IFERROR(Table6[[#This Row],[Breakdown Time]]*Table6[[#This Row],[Plant Equivalent Weightage]],"")</f>
        <v>3.9743589743589693E-2</v>
      </c>
      <c r="X779" s="262" t="s">
        <v>269</v>
      </c>
      <c r="Y779" s="263" t="s">
        <v>140</v>
      </c>
      <c r="Z779" s="102">
        <v>14103</v>
      </c>
      <c r="AA779" s="257">
        <f>(Table6[[#This Row],[Paired WTG Generation for loss calculation]]/24)*Table6[[#This Row],[Breakdown Time]]</f>
        <v>607.21249999999941</v>
      </c>
      <c r="AB779" s="102"/>
      <c r="AC779" s="35"/>
      <c r="AD779" s="35"/>
    </row>
    <row r="780" spans="1:30">
      <c r="A780" s="102">
        <f t="shared" si="12"/>
        <v>779</v>
      </c>
      <c r="B780" s="257">
        <f>YEAR(Table6[[#This Row],[Date]])+IF(MONTH(Table6[[#This Row],[Date]])&gt;=4,1,0)</f>
        <v>2026</v>
      </c>
      <c r="C780" s="102">
        <f>YEAR(Table6[[#This Row],[Date]])</f>
        <v>2025</v>
      </c>
      <c r="D780" s="102" t="s">
        <v>265</v>
      </c>
      <c r="E780" s="258">
        <f>Table6[[#This Row],[Date]]-DAY(Table6[[#This Row],[Date]])+1</f>
        <v>45778</v>
      </c>
      <c r="F780" s="259">
        <v>45797</v>
      </c>
      <c r="G780" s="35" t="s">
        <v>124</v>
      </c>
      <c r="H780" s="35" t="str">
        <f>IFERROR(_xlfn.XLOOKUP(Table6[[#This Row],[Affected WTG]],'Basic Data'!$A:$A,'Basic Data'!$B:$B),"")</f>
        <v>TQGXIIPL</v>
      </c>
      <c r="I780" s="35" t="str">
        <f>IFERROR(_xlfn.XLOOKUP(Table6[[#This Row],[Affected WTG]],'Basic Data'!$A:$A,'Basic Data'!$C:$C),"")</f>
        <v>GEDA</v>
      </c>
      <c r="J780" s="260">
        <f>IFERROR(_xlfn.XLOOKUP(Table6[[#This Row],[Affected WTG]],'Basic Data'!$A:$A,'Basic Data'!$E:$E),"")</f>
        <v>3.846153846153845E-2</v>
      </c>
      <c r="K780" s="102">
        <v>6130</v>
      </c>
      <c r="L780" s="35" t="str">
        <f>IFERROR(_xlfn.XLOOKUP(Table6[[#This Row],[Error Code]],'Basic Data'!$AA:$AA,'Basic Data'!$AB:$AB),"Incorrect Error Code")</f>
        <v>Yaw speed high</v>
      </c>
      <c r="M780" s="35" t="s">
        <v>278</v>
      </c>
      <c r="N780" s="264"/>
      <c r="O780" s="265">
        <v>0.73263888888888884</v>
      </c>
      <c r="P780" s="265">
        <v>0.73263888888888884</v>
      </c>
      <c r="Q780" s="266">
        <v>0.7368055555555556</v>
      </c>
      <c r="R780" s="261">
        <f>IF(Table6[[#This Row],[Work Start TimeStamp]]="","",(Table6[[#This Row],[Work Start TimeStamp]]-Table6[[#This Row],[Fault Start TimeStamp]])*24)</f>
        <v>0</v>
      </c>
      <c r="S780" s="261">
        <f>(Table6[[#This Row],[Fault Clearance time]]-Table6[[#This Row],[Work Start TimeStamp]])*24</f>
        <v>0.10000000000000231</v>
      </c>
      <c r="T780" s="261">
        <f>(Table6[[#This Row],[Fault Clearance time]]-Table6[[#This Row],[Fault Start TimeStamp]])*24</f>
        <v>0.10000000000000231</v>
      </c>
      <c r="U780" s="35" t="s">
        <v>293</v>
      </c>
      <c r="V780" s="102" t="s">
        <v>268</v>
      </c>
      <c r="W780" s="267">
        <f>IFERROR(Table6[[#This Row],[Breakdown Time]]*Table6[[#This Row],[Plant Equivalent Weightage]],"")</f>
        <v>3.846153846153934E-3</v>
      </c>
      <c r="X780" s="262" t="s">
        <v>269</v>
      </c>
      <c r="Y780" s="263" t="s">
        <v>129</v>
      </c>
      <c r="Z780" s="102">
        <v>14995</v>
      </c>
      <c r="AA780" s="257">
        <f>(Table6[[#This Row],[Paired WTG Generation for loss calculation]]/24)*Table6[[#This Row],[Breakdown Time]]</f>
        <v>62.479166666668107</v>
      </c>
      <c r="AB780" s="102"/>
      <c r="AC780" s="35"/>
      <c r="AD780" s="35"/>
    </row>
    <row r="781" spans="1:30">
      <c r="A781" s="102">
        <f t="shared" si="12"/>
        <v>780</v>
      </c>
      <c r="B781" s="257">
        <f>YEAR(Table6[[#This Row],[Date]])+IF(MONTH(Table6[[#This Row],[Date]])&gt;=4,1,0)</f>
        <v>2026</v>
      </c>
      <c r="C781" s="102">
        <f>YEAR(Table6[[#This Row],[Date]])</f>
        <v>2025</v>
      </c>
      <c r="D781" s="102" t="s">
        <v>265</v>
      </c>
      <c r="E781" s="258">
        <f>Table6[[#This Row],[Date]]-DAY(Table6[[#This Row],[Date]])+1</f>
        <v>45778</v>
      </c>
      <c r="F781" s="259">
        <v>45797</v>
      </c>
      <c r="G781" s="35" t="s">
        <v>126</v>
      </c>
      <c r="H781" s="35" t="str">
        <f>IFERROR(_xlfn.XLOOKUP(Table6[[#This Row],[Affected WTG]],'Basic Data'!$A:$A,'Basic Data'!$B:$B),"")</f>
        <v>TQGXIIPL</v>
      </c>
      <c r="I781" s="35" t="str">
        <f>IFERROR(_xlfn.XLOOKUP(Table6[[#This Row],[Affected WTG]],'Basic Data'!$A:$A,'Basic Data'!$C:$C),"")</f>
        <v>GEDA</v>
      </c>
      <c r="J781" s="260">
        <f>IFERROR(_xlfn.XLOOKUP(Table6[[#This Row],[Affected WTG]],'Basic Data'!$A:$A,'Basic Data'!$E:$E),"")</f>
        <v>3.846153846153845E-2</v>
      </c>
      <c r="K781" s="102">
        <v>3110</v>
      </c>
      <c r="L781" s="35" t="str">
        <f>IFERROR(_xlfn.XLOOKUP(Table6[[#This Row],[Error Code]],'Basic Data'!$AA:$AA,'Basic Data'!$AB:$AB),"Incorrect Error Code")</f>
        <v>Frequency converter error</v>
      </c>
      <c r="M781" s="35" t="s">
        <v>266</v>
      </c>
      <c r="N781" s="264"/>
      <c r="O781" s="265">
        <v>0.37083333333333335</v>
      </c>
      <c r="P781" s="265">
        <v>0.37083333333333335</v>
      </c>
      <c r="Q781" s="266">
        <v>0.45833333333333331</v>
      </c>
      <c r="R781" s="261">
        <f>IF(Table6[[#This Row],[Work Start TimeStamp]]="","",(Table6[[#This Row],[Work Start TimeStamp]]-Table6[[#This Row],[Fault Start TimeStamp]])*24)</f>
        <v>0</v>
      </c>
      <c r="S781" s="261">
        <f>(Table6[[#This Row],[Fault Clearance time]]-Table6[[#This Row],[Work Start TimeStamp]])*24</f>
        <v>2.0999999999999992</v>
      </c>
      <c r="T781" s="261">
        <f>(Table6[[#This Row],[Fault Clearance time]]-Table6[[#This Row],[Fault Start TimeStamp]])*24</f>
        <v>2.0999999999999992</v>
      </c>
      <c r="U781" s="35" t="s">
        <v>460</v>
      </c>
      <c r="V781" s="102" t="s">
        <v>268</v>
      </c>
      <c r="W781" s="267">
        <f>IFERROR(Table6[[#This Row],[Breakdown Time]]*Table6[[#This Row],[Plant Equivalent Weightage]],"")</f>
        <v>8.0769230769230718E-2</v>
      </c>
      <c r="X781" s="262" t="s">
        <v>296</v>
      </c>
      <c r="Y781" s="263" t="s">
        <v>128</v>
      </c>
      <c r="Z781" s="102">
        <v>13779</v>
      </c>
      <c r="AA781" s="257">
        <f>(Table6[[#This Row],[Paired WTG Generation for loss calculation]]/24)*Table6[[#This Row],[Breakdown Time]]</f>
        <v>1205.6624999999995</v>
      </c>
      <c r="AB781" s="102"/>
      <c r="AC781" s="35"/>
      <c r="AD781" s="35"/>
    </row>
    <row r="782" spans="1:30">
      <c r="A782" s="102">
        <f t="shared" ref="A782:A845" si="13">A781+1</f>
        <v>781</v>
      </c>
      <c r="B782" s="257">
        <f>YEAR(Table6[[#This Row],[Date]])+IF(MONTH(Table6[[#This Row],[Date]])&gt;=4,1,0)</f>
        <v>2026</v>
      </c>
      <c r="C782" s="102">
        <f>YEAR(Table6[[#This Row],[Date]])</f>
        <v>2025</v>
      </c>
      <c r="D782" s="102" t="s">
        <v>265</v>
      </c>
      <c r="E782" s="258">
        <f>Table6[[#This Row],[Date]]-DAY(Table6[[#This Row],[Date]])+1</f>
        <v>45778</v>
      </c>
      <c r="F782" s="259">
        <v>45797</v>
      </c>
      <c r="G782" s="35" t="s">
        <v>126</v>
      </c>
      <c r="H782" s="35" t="str">
        <f>IFERROR(_xlfn.XLOOKUP(Table6[[#This Row],[Affected WTG]],'Basic Data'!$A:$A,'Basic Data'!$B:$B),"")</f>
        <v>TQGXIIPL</v>
      </c>
      <c r="I782" s="35" t="str">
        <f>IFERROR(_xlfn.XLOOKUP(Table6[[#This Row],[Affected WTG]],'Basic Data'!$A:$A,'Basic Data'!$C:$C),"")</f>
        <v>GEDA</v>
      </c>
      <c r="J782" s="260">
        <f>IFERROR(_xlfn.XLOOKUP(Table6[[#This Row],[Affected WTG]],'Basic Data'!$A:$A,'Basic Data'!$E:$E),"")</f>
        <v>3.846153846153845E-2</v>
      </c>
      <c r="K782" s="102">
        <v>55</v>
      </c>
      <c r="L782" s="35" t="str">
        <f>IFERROR(_xlfn.XLOOKUP(Table6[[#This Row],[Error Code]],'Basic Data'!$AA:$AA,'Basic Data'!$AB:$AB),"Incorrect Error Code")</f>
        <v>WTG shut down</v>
      </c>
      <c r="M782" s="35" t="s">
        <v>316</v>
      </c>
      <c r="N782" s="264"/>
      <c r="O782" s="265">
        <v>0.48055555555555557</v>
      </c>
      <c r="P782" s="265">
        <v>0.48055555555555557</v>
      </c>
      <c r="Q782" s="266">
        <v>0.5493055555555556</v>
      </c>
      <c r="R782" s="261">
        <f>IF(Table6[[#This Row],[Work Start TimeStamp]]="","",(Table6[[#This Row],[Work Start TimeStamp]]-Table6[[#This Row],[Fault Start TimeStamp]])*24)</f>
        <v>0</v>
      </c>
      <c r="S782" s="261">
        <f>(Table6[[#This Row],[Fault Clearance time]]-Table6[[#This Row],[Work Start TimeStamp]])*24</f>
        <v>1.6500000000000008</v>
      </c>
      <c r="T782" s="261">
        <f>(Table6[[#This Row],[Fault Clearance time]]-Table6[[#This Row],[Fault Start TimeStamp]])*24</f>
        <v>1.6500000000000008</v>
      </c>
      <c r="U782" s="35" t="s">
        <v>461</v>
      </c>
      <c r="V782" s="102" t="s">
        <v>268</v>
      </c>
      <c r="W782" s="267">
        <f>IFERROR(Table6[[#This Row],[Breakdown Time]]*Table6[[#This Row],[Plant Equivalent Weightage]],"")</f>
        <v>6.3461538461538472E-2</v>
      </c>
      <c r="X782" s="262" t="s">
        <v>296</v>
      </c>
      <c r="Y782" s="263" t="s">
        <v>128</v>
      </c>
      <c r="Z782" s="102">
        <v>13779</v>
      </c>
      <c r="AA782" s="257">
        <f>(Table6[[#This Row],[Paired WTG Generation for loss calculation]]/24)*Table6[[#This Row],[Breakdown Time]]</f>
        <v>947.30625000000043</v>
      </c>
      <c r="AB782" s="102"/>
      <c r="AC782" s="35"/>
      <c r="AD782" s="35"/>
    </row>
    <row r="783" spans="1:30">
      <c r="A783" s="102">
        <f t="shared" si="13"/>
        <v>782</v>
      </c>
      <c r="B783" s="257">
        <f>YEAR(Table6[[#This Row],[Date]])+IF(MONTH(Table6[[#This Row],[Date]])&gt;=4,1,0)</f>
        <v>2026</v>
      </c>
      <c r="C783" s="102">
        <f>YEAR(Table6[[#This Row],[Date]])</f>
        <v>2025</v>
      </c>
      <c r="D783" s="102" t="s">
        <v>265</v>
      </c>
      <c r="E783" s="258">
        <f>Table6[[#This Row],[Date]]-DAY(Table6[[#This Row],[Date]])+1</f>
        <v>45778</v>
      </c>
      <c r="F783" s="259">
        <v>45797</v>
      </c>
      <c r="G783" s="35" t="s">
        <v>127</v>
      </c>
      <c r="H783" s="35" t="str">
        <f>IFERROR(_xlfn.XLOOKUP(Table6[[#This Row],[Affected WTG]],'Basic Data'!$A:$A,'Basic Data'!$B:$B),"")</f>
        <v>TQGXIIPL</v>
      </c>
      <c r="I783" s="35" t="str">
        <f>IFERROR(_xlfn.XLOOKUP(Table6[[#This Row],[Affected WTG]],'Basic Data'!$A:$A,'Basic Data'!$C:$C),"")</f>
        <v>GEDA</v>
      </c>
      <c r="J783" s="260">
        <f>IFERROR(_xlfn.XLOOKUP(Table6[[#This Row],[Affected WTG]],'Basic Data'!$A:$A,'Basic Data'!$E:$E),"")</f>
        <v>3.846153846153845E-2</v>
      </c>
      <c r="K783" s="102">
        <v>1510</v>
      </c>
      <c r="L783" s="35" t="str">
        <f>IFERROR(_xlfn.XLOOKUP(Table6[[#This Row],[Error Code]],'Basic Data'!$AA:$AA,'Basic Data'!$AB:$AB),"Incorrect Error Code")</f>
        <v>Low gearbox oil pressure</v>
      </c>
      <c r="M783" s="35" t="s">
        <v>266</v>
      </c>
      <c r="N783" s="264"/>
      <c r="O783" s="265">
        <v>0.89513888888888893</v>
      </c>
      <c r="P783" s="265">
        <v>0.89513888888888893</v>
      </c>
      <c r="Q783" s="266">
        <v>0.89722222222222225</v>
      </c>
      <c r="R783" s="261">
        <f>IF(Table6[[#This Row],[Work Start TimeStamp]]="","",(Table6[[#This Row],[Work Start TimeStamp]]-Table6[[#This Row],[Fault Start TimeStamp]])*24)</f>
        <v>0</v>
      </c>
      <c r="S783" s="261">
        <f>(Table6[[#This Row],[Fault Clearance time]]-Table6[[#This Row],[Work Start TimeStamp]])*24</f>
        <v>4.9999999999999822E-2</v>
      </c>
      <c r="T783" s="261">
        <f>(Table6[[#This Row],[Fault Clearance time]]-Table6[[#This Row],[Fault Start TimeStamp]])*24</f>
        <v>4.9999999999999822E-2</v>
      </c>
      <c r="U783" s="35" t="s">
        <v>447</v>
      </c>
      <c r="V783" s="102" t="s">
        <v>268</v>
      </c>
      <c r="W783" s="267">
        <f>IFERROR(Table6[[#This Row],[Breakdown Time]]*Table6[[#This Row],[Plant Equivalent Weightage]],"")</f>
        <v>1.9230769230769156E-3</v>
      </c>
      <c r="X783" s="262" t="s">
        <v>269</v>
      </c>
      <c r="Y783" s="263" t="s">
        <v>125</v>
      </c>
      <c r="Z783" s="102">
        <v>12633</v>
      </c>
      <c r="AA783" s="257">
        <f>(Table6[[#This Row],[Paired WTG Generation for loss calculation]]/24)*Table6[[#This Row],[Breakdown Time]]</f>
        <v>26.318749999999905</v>
      </c>
      <c r="AB783" s="102"/>
      <c r="AC783" s="35"/>
      <c r="AD783" s="35"/>
    </row>
    <row r="784" spans="1:30">
      <c r="A784" s="102">
        <f t="shared" si="13"/>
        <v>783</v>
      </c>
      <c r="B784" s="257">
        <f>YEAR(Table6[[#This Row],[Date]])+IF(MONTH(Table6[[#This Row],[Date]])&gt;=4,1,0)</f>
        <v>2026</v>
      </c>
      <c r="C784" s="102">
        <f>YEAR(Table6[[#This Row],[Date]])</f>
        <v>2025</v>
      </c>
      <c r="D784" s="102" t="s">
        <v>265</v>
      </c>
      <c r="E784" s="258">
        <f>Table6[[#This Row],[Date]]-DAY(Table6[[#This Row],[Date]])+1</f>
        <v>45778</v>
      </c>
      <c r="F784" s="259">
        <v>45797</v>
      </c>
      <c r="G784" s="35" t="s">
        <v>131</v>
      </c>
      <c r="H784" s="35" t="str">
        <f>IFERROR(_xlfn.XLOOKUP(Table6[[#This Row],[Affected WTG]],'Basic Data'!$A:$A,'Basic Data'!$B:$B),"")</f>
        <v>TQGXIIPL</v>
      </c>
      <c r="I784" s="35" t="str">
        <f>IFERROR(_xlfn.XLOOKUP(Table6[[#This Row],[Affected WTG]],'Basic Data'!$A:$A,'Basic Data'!$C:$C),"")</f>
        <v>GEDA</v>
      </c>
      <c r="J784" s="260">
        <f>IFERROR(_xlfn.XLOOKUP(Table6[[#This Row],[Affected WTG]],'Basic Data'!$A:$A,'Basic Data'!$E:$E),"")</f>
        <v>3.846153846153845E-2</v>
      </c>
      <c r="K784" s="102">
        <v>3110</v>
      </c>
      <c r="L784" s="35" t="str">
        <f>IFERROR(_xlfn.XLOOKUP(Table6[[#This Row],[Error Code]],'Basic Data'!$AA:$AA,'Basic Data'!$AB:$AB),"Incorrect Error Code")</f>
        <v>Frequency converter error</v>
      </c>
      <c r="M784" s="35" t="s">
        <v>266</v>
      </c>
      <c r="N784" s="264"/>
      <c r="O784" s="265">
        <v>0.66319444444444442</v>
      </c>
      <c r="P784" s="265">
        <v>0.66319444444444442</v>
      </c>
      <c r="Q784" s="266">
        <v>0.6645833333333333</v>
      </c>
      <c r="R784" s="261">
        <f>IF(Table6[[#This Row],[Work Start TimeStamp]]="","",(Table6[[#This Row],[Work Start TimeStamp]]-Table6[[#This Row],[Fault Start TimeStamp]])*24)</f>
        <v>0</v>
      </c>
      <c r="S784" s="261">
        <f>(Table6[[#This Row],[Fault Clearance time]]-Table6[[#This Row],[Work Start TimeStamp]])*24</f>
        <v>3.3333333333333215E-2</v>
      </c>
      <c r="T784" s="261">
        <f>(Table6[[#This Row],[Fault Clearance time]]-Table6[[#This Row],[Fault Start TimeStamp]])*24</f>
        <v>3.3333333333333215E-2</v>
      </c>
      <c r="U784" s="35" t="s">
        <v>462</v>
      </c>
      <c r="V784" s="102" t="s">
        <v>268</v>
      </c>
      <c r="W784" s="267">
        <f>IFERROR(Table6[[#This Row],[Breakdown Time]]*Table6[[#This Row],[Plant Equivalent Weightage]],"")</f>
        <v>1.2820512820512771E-3</v>
      </c>
      <c r="X784" s="262" t="s">
        <v>269</v>
      </c>
      <c r="Y784" s="263" t="s">
        <v>136</v>
      </c>
      <c r="Z784" s="102">
        <v>19816</v>
      </c>
      <c r="AA784" s="257">
        <f>(Table6[[#This Row],[Paired WTG Generation for loss calculation]]/24)*Table6[[#This Row],[Breakdown Time]]</f>
        <v>27.522222222222123</v>
      </c>
      <c r="AB784" s="102"/>
      <c r="AC784" s="35"/>
      <c r="AD784" s="35"/>
    </row>
    <row r="785" spans="1:30">
      <c r="A785" s="102">
        <f t="shared" si="13"/>
        <v>784</v>
      </c>
      <c r="B785" s="257">
        <f>YEAR(Table6[[#This Row],[Date]])+IF(MONTH(Table6[[#This Row],[Date]])&gt;=4,1,0)</f>
        <v>2026</v>
      </c>
      <c r="C785" s="102">
        <f>YEAR(Table6[[#This Row],[Date]])</f>
        <v>2025</v>
      </c>
      <c r="D785" s="102" t="s">
        <v>265</v>
      </c>
      <c r="E785" s="258">
        <f>Table6[[#This Row],[Date]]-DAY(Table6[[#This Row],[Date]])+1</f>
        <v>45778</v>
      </c>
      <c r="F785" s="259">
        <v>45797</v>
      </c>
      <c r="G785" s="35" t="s">
        <v>139</v>
      </c>
      <c r="H785" s="35" t="str">
        <f>IFERROR(_xlfn.XLOOKUP(Table6[[#This Row],[Affected WTG]],'Basic Data'!$A:$A,'Basic Data'!$B:$B),"")</f>
        <v>TQGXIIPL</v>
      </c>
      <c r="I785" s="35" t="str">
        <f>IFERROR(_xlfn.XLOOKUP(Table6[[#This Row],[Affected WTG]],'Basic Data'!$A:$A,'Basic Data'!$C:$C),"")</f>
        <v>GEDA</v>
      </c>
      <c r="J785" s="260">
        <f>IFERROR(_xlfn.XLOOKUP(Table6[[#This Row],[Affected WTG]],'Basic Data'!$A:$A,'Basic Data'!$E:$E),"")</f>
        <v>3.846153846153845E-2</v>
      </c>
      <c r="K785" s="102">
        <v>55</v>
      </c>
      <c r="L785" s="35" t="str">
        <f>IFERROR(_xlfn.XLOOKUP(Table6[[#This Row],[Error Code]],'Basic Data'!$AA:$AA,'Basic Data'!$AB:$AB),"Incorrect Error Code")</f>
        <v>WTG shut down</v>
      </c>
      <c r="M785" s="35" t="s">
        <v>300</v>
      </c>
      <c r="N785" s="264"/>
      <c r="O785" s="265">
        <v>0.71944444444444444</v>
      </c>
      <c r="P785" s="265">
        <v>0.71944444444444444</v>
      </c>
      <c r="Q785" s="266">
        <v>0.75694444444444442</v>
      </c>
      <c r="R785" s="261">
        <f>IF(Table6[[#This Row],[Work Start TimeStamp]]="","",(Table6[[#This Row],[Work Start TimeStamp]]-Table6[[#This Row],[Fault Start TimeStamp]])*24)</f>
        <v>0</v>
      </c>
      <c r="S785" s="261">
        <f>(Table6[[#This Row],[Fault Clearance time]]-Table6[[#This Row],[Work Start TimeStamp]])*24</f>
        <v>0.89999999999999947</v>
      </c>
      <c r="T785" s="261">
        <f>(Table6[[#This Row],[Fault Clearance time]]-Table6[[#This Row],[Fault Start TimeStamp]])*24</f>
        <v>0.89999999999999947</v>
      </c>
      <c r="U785" s="35" t="s">
        <v>385</v>
      </c>
      <c r="V785" s="102" t="s">
        <v>268</v>
      </c>
      <c r="W785" s="267">
        <f>IFERROR(Table6[[#This Row],[Breakdown Time]]*Table6[[#This Row],[Plant Equivalent Weightage]],"")</f>
        <v>3.4615384615384583E-2</v>
      </c>
      <c r="X785" s="262" t="s">
        <v>269</v>
      </c>
      <c r="Y785" s="263" t="s">
        <v>115</v>
      </c>
      <c r="Z785" s="102">
        <v>13354</v>
      </c>
      <c r="AA785" s="257">
        <f>(Table6[[#This Row],[Paired WTG Generation for loss calculation]]/24)*Table6[[#This Row],[Breakdown Time]]</f>
        <v>500.77499999999969</v>
      </c>
      <c r="AB785" s="102"/>
      <c r="AC785" s="35"/>
      <c r="AD785" s="35"/>
    </row>
    <row r="786" spans="1:30">
      <c r="A786" s="102">
        <f t="shared" si="13"/>
        <v>785</v>
      </c>
      <c r="B786" s="257">
        <f>YEAR(Table6[[#This Row],[Date]])+IF(MONTH(Table6[[#This Row],[Date]])&gt;=4,1,0)</f>
        <v>2026</v>
      </c>
      <c r="C786" s="102">
        <f>YEAR(Table6[[#This Row],[Date]])</f>
        <v>2025</v>
      </c>
      <c r="D786" s="102" t="s">
        <v>265</v>
      </c>
      <c r="E786" s="258">
        <f>Table6[[#This Row],[Date]]-DAY(Table6[[#This Row],[Date]])+1</f>
        <v>45778</v>
      </c>
      <c r="F786" s="259">
        <v>45797</v>
      </c>
      <c r="G786" s="35" t="s">
        <v>140</v>
      </c>
      <c r="H786" s="35" t="str">
        <f>IFERROR(_xlfn.XLOOKUP(Table6[[#This Row],[Affected WTG]],'Basic Data'!$A:$A,'Basic Data'!$B:$B),"")</f>
        <v>TQGXIIPL</v>
      </c>
      <c r="I786" s="35" t="str">
        <f>IFERROR(_xlfn.XLOOKUP(Table6[[#This Row],[Affected WTG]],'Basic Data'!$A:$A,'Basic Data'!$C:$C),"")</f>
        <v>GEDA</v>
      </c>
      <c r="J786" s="260">
        <f>IFERROR(_xlfn.XLOOKUP(Table6[[#This Row],[Affected WTG]],'Basic Data'!$A:$A,'Basic Data'!$E:$E),"")</f>
        <v>3.846153846153845E-2</v>
      </c>
      <c r="K786" s="102">
        <v>665</v>
      </c>
      <c r="L786" s="35" t="str">
        <f>IFERROR(_xlfn.XLOOKUP(Table6[[#This Row],[Error Code]],'Basic Data'!$AA:$AA,'Basic Data'!$AB:$AB),"Incorrect Error Code")</f>
        <v>Pitch error</v>
      </c>
      <c r="M786" s="35" t="s">
        <v>266</v>
      </c>
      <c r="N786" s="264"/>
      <c r="O786" s="265">
        <v>0.37083333333333335</v>
      </c>
      <c r="P786" s="265">
        <v>0.37083333333333335</v>
      </c>
      <c r="Q786" s="266">
        <v>0.38263888888888886</v>
      </c>
      <c r="R786" s="261">
        <f>IF(Table6[[#This Row],[Work Start TimeStamp]]="","",(Table6[[#This Row],[Work Start TimeStamp]]-Table6[[#This Row],[Fault Start TimeStamp]])*24)</f>
        <v>0</v>
      </c>
      <c r="S786" s="261">
        <f>(Table6[[#This Row],[Fault Clearance time]]-Table6[[#This Row],[Work Start TimeStamp]])*24</f>
        <v>0.28333333333333233</v>
      </c>
      <c r="T786" s="261">
        <f>(Table6[[#This Row],[Fault Clearance time]]-Table6[[#This Row],[Fault Start TimeStamp]])*24</f>
        <v>0.28333333333333233</v>
      </c>
      <c r="U786" s="35" t="s">
        <v>463</v>
      </c>
      <c r="V786" s="102" t="s">
        <v>268</v>
      </c>
      <c r="W786" s="267">
        <f>IFERROR(Table6[[#This Row],[Breakdown Time]]*Table6[[#This Row],[Plant Equivalent Weightage]],"")</f>
        <v>1.0897435897435855E-2</v>
      </c>
      <c r="X786" s="262" t="s">
        <v>269</v>
      </c>
      <c r="Y786" s="263" t="s">
        <v>115</v>
      </c>
      <c r="Z786" s="102">
        <v>13354</v>
      </c>
      <c r="AA786" s="257">
        <f>(Table6[[#This Row],[Paired WTG Generation for loss calculation]]/24)*Table6[[#This Row],[Breakdown Time]]</f>
        <v>157.65138888888831</v>
      </c>
      <c r="AB786" s="102"/>
      <c r="AC786" s="35"/>
      <c r="AD786" s="35"/>
    </row>
    <row r="787" spans="1:30">
      <c r="A787" s="102">
        <f t="shared" si="13"/>
        <v>786</v>
      </c>
      <c r="B787" s="257">
        <f>YEAR(Table6[[#This Row],[Date]])+IF(MONTH(Table6[[#This Row],[Date]])&gt;=4,1,0)</f>
        <v>2026</v>
      </c>
      <c r="C787" s="102">
        <f>YEAR(Table6[[#This Row],[Date]])</f>
        <v>2025</v>
      </c>
      <c r="D787" s="102" t="s">
        <v>265</v>
      </c>
      <c r="E787" s="258">
        <f>Table6[[#This Row],[Date]]-DAY(Table6[[#This Row],[Date]])+1</f>
        <v>45778</v>
      </c>
      <c r="F787" s="259">
        <v>45798</v>
      </c>
      <c r="G787" s="35" t="s">
        <v>115</v>
      </c>
      <c r="H787" s="35" t="str">
        <f>IFERROR(_xlfn.XLOOKUP(Table6[[#This Row],[Affected WTG]],'Basic Data'!$A:$A,'Basic Data'!$B:$B),"")</f>
        <v>TQGXIIPL</v>
      </c>
      <c r="I787" s="35" t="str">
        <f>IFERROR(_xlfn.XLOOKUP(Table6[[#This Row],[Affected WTG]],'Basic Data'!$A:$A,'Basic Data'!$C:$C),"")</f>
        <v>GEDA</v>
      </c>
      <c r="J787" s="260">
        <f>IFERROR(_xlfn.XLOOKUP(Table6[[#This Row],[Affected WTG]],'Basic Data'!$A:$A,'Basic Data'!$E:$E),"")</f>
        <v>3.846153846153845E-2</v>
      </c>
      <c r="K787" s="102">
        <v>152</v>
      </c>
      <c r="L787" s="35" t="str">
        <f>IFERROR(_xlfn.XLOOKUP(Table6[[#This Row],[Error Code]],'Basic Data'!$AA:$AA,'Basic Data'!$AB:$AB),"Incorrect Error Code")</f>
        <v>SLC app. not in SAFE mode</v>
      </c>
      <c r="M787" s="35" t="s">
        <v>266</v>
      </c>
      <c r="N787" s="264"/>
      <c r="O787" s="265">
        <v>0.80277777777777781</v>
      </c>
      <c r="P787" s="265">
        <v>0.80277777777777781</v>
      </c>
      <c r="Q787" s="266">
        <v>0.81736111111111109</v>
      </c>
      <c r="R787" s="261">
        <f>IF(Table6[[#This Row],[Work Start TimeStamp]]="","",(Table6[[#This Row],[Work Start TimeStamp]]-Table6[[#This Row],[Fault Start TimeStamp]])*24)</f>
        <v>0</v>
      </c>
      <c r="S787" s="261">
        <f>(Table6[[#This Row],[Fault Clearance time]]-Table6[[#This Row],[Work Start TimeStamp]])*24</f>
        <v>0.34999999999999876</v>
      </c>
      <c r="T787" s="261">
        <f>(Table6[[#This Row],[Fault Clearance time]]-Table6[[#This Row],[Fault Start TimeStamp]])*24</f>
        <v>0.34999999999999876</v>
      </c>
      <c r="U787" s="35" t="s">
        <v>464</v>
      </c>
      <c r="V787" s="102" t="s">
        <v>268</v>
      </c>
      <c r="W787" s="267">
        <f>IFERROR(Table6[[#This Row],[Breakdown Time]]*Table6[[#This Row],[Plant Equivalent Weightage]],"")</f>
        <v>1.346153846153841E-2</v>
      </c>
      <c r="X787" s="262" t="s">
        <v>269</v>
      </c>
      <c r="Y787" s="263" t="s">
        <v>140</v>
      </c>
      <c r="Z787" s="102">
        <v>5324</v>
      </c>
      <c r="AA787" s="257">
        <f>(Table6[[#This Row],[Paired WTG Generation for loss calculation]]/24)*Table6[[#This Row],[Breakdown Time]]</f>
        <v>77.641666666666396</v>
      </c>
      <c r="AB787" s="102"/>
      <c r="AC787" s="35"/>
      <c r="AD787" s="35"/>
    </row>
    <row r="788" spans="1:30">
      <c r="A788" s="102">
        <f t="shared" si="13"/>
        <v>787</v>
      </c>
      <c r="B788" s="257">
        <f>YEAR(Table6[[#This Row],[Date]])+IF(MONTH(Table6[[#This Row],[Date]])&gt;=4,1,0)</f>
        <v>2026</v>
      </c>
      <c r="C788" s="102">
        <f>YEAR(Table6[[#This Row],[Date]])</f>
        <v>2025</v>
      </c>
      <c r="D788" s="102" t="s">
        <v>265</v>
      </c>
      <c r="E788" s="258">
        <f>Table6[[#This Row],[Date]]-DAY(Table6[[#This Row],[Date]])+1</f>
        <v>45778</v>
      </c>
      <c r="F788" s="259">
        <v>45798</v>
      </c>
      <c r="G788" s="35" t="s">
        <v>116</v>
      </c>
      <c r="H788" s="35" t="str">
        <f>IFERROR(_xlfn.XLOOKUP(Table6[[#This Row],[Affected WTG]],'Basic Data'!$A:$A,'Basic Data'!$B:$B),"")</f>
        <v>TQGXIIPL</v>
      </c>
      <c r="I788" s="35" t="str">
        <f>IFERROR(_xlfn.XLOOKUP(Table6[[#This Row],[Affected WTG]],'Basic Data'!$A:$A,'Basic Data'!$C:$C),"")</f>
        <v>GEDA</v>
      </c>
      <c r="J788" s="260">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266</v>
      </c>
      <c r="N788" s="264"/>
      <c r="O788" s="265">
        <v>0.80277777777777781</v>
      </c>
      <c r="P788" s="265">
        <v>0.80277777777777781</v>
      </c>
      <c r="Q788" s="266">
        <v>0.83333333333333337</v>
      </c>
      <c r="R788" s="261">
        <f>IF(Table6[[#This Row],[Work Start TimeStamp]]="","",(Table6[[#This Row],[Work Start TimeStamp]]-Table6[[#This Row],[Fault Start TimeStamp]])*24)</f>
        <v>0</v>
      </c>
      <c r="S788" s="261">
        <f>(Table6[[#This Row],[Fault Clearance time]]-Table6[[#This Row],[Work Start TimeStamp]])*24</f>
        <v>0.73333333333333339</v>
      </c>
      <c r="T788" s="261">
        <f>(Table6[[#This Row],[Fault Clearance time]]-Table6[[#This Row],[Fault Start TimeStamp]])*24</f>
        <v>0.73333333333333339</v>
      </c>
      <c r="U788" s="35" t="s">
        <v>465</v>
      </c>
      <c r="V788" s="102" t="s">
        <v>268</v>
      </c>
      <c r="W788" s="267">
        <f>IFERROR(Table6[[#This Row],[Breakdown Time]]*Table6[[#This Row],[Plant Equivalent Weightage]],"")</f>
        <v>2.8205128205128199E-2</v>
      </c>
      <c r="X788" s="262" t="s">
        <v>269</v>
      </c>
      <c r="Y788" s="263" t="s">
        <v>119</v>
      </c>
      <c r="Z788" s="102">
        <v>6797</v>
      </c>
      <c r="AA788" s="257">
        <f>(Table6[[#This Row],[Paired WTG Generation for loss calculation]]/24)*Table6[[#This Row],[Breakdown Time]]</f>
        <v>207.6861111111111</v>
      </c>
      <c r="AB788" s="102"/>
      <c r="AC788" s="35"/>
      <c r="AD788" s="35"/>
    </row>
    <row r="789" spans="1:30">
      <c r="A789" s="102">
        <f t="shared" si="13"/>
        <v>788</v>
      </c>
      <c r="B789" s="257">
        <f>YEAR(Table6[[#This Row],[Date]])+IF(MONTH(Table6[[#This Row],[Date]])&gt;=4,1,0)</f>
        <v>2026</v>
      </c>
      <c r="C789" s="102">
        <f>YEAR(Table6[[#This Row],[Date]])</f>
        <v>2025</v>
      </c>
      <c r="D789" s="102" t="s">
        <v>265</v>
      </c>
      <c r="E789" s="258">
        <f>Table6[[#This Row],[Date]]-DAY(Table6[[#This Row],[Date]])+1</f>
        <v>45778</v>
      </c>
      <c r="F789" s="259">
        <v>45798</v>
      </c>
      <c r="G789" s="35" t="s">
        <v>117</v>
      </c>
      <c r="H789" s="35" t="str">
        <f>IFERROR(_xlfn.XLOOKUP(Table6[[#This Row],[Affected WTG]],'Basic Data'!$A:$A,'Basic Data'!$B:$B),"")</f>
        <v>TQGXIIPL</v>
      </c>
      <c r="I789" s="35" t="str">
        <f>IFERROR(_xlfn.XLOOKUP(Table6[[#This Row],[Affected WTG]],'Basic Data'!$A:$A,'Basic Data'!$C:$C),"")</f>
        <v>GEDA</v>
      </c>
      <c r="J789" s="260">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266</v>
      </c>
      <c r="N789" s="264"/>
      <c r="O789" s="265">
        <v>0.80277777777777781</v>
      </c>
      <c r="P789" s="265">
        <v>0.80277777777777781</v>
      </c>
      <c r="Q789" s="266">
        <v>0.8305555555555556</v>
      </c>
      <c r="R789" s="261">
        <f>IF(Table6[[#This Row],[Work Start TimeStamp]]="","",(Table6[[#This Row],[Work Start TimeStamp]]-Table6[[#This Row],[Fault Start TimeStamp]])*24)</f>
        <v>0</v>
      </c>
      <c r="S789" s="261">
        <f>(Table6[[#This Row],[Fault Clearance time]]-Table6[[#This Row],[Work Start TimeStamp]])*24</f>
        <v>0.66666666666666696</v>
      </c>
      <c r="T789" s="261">
        <f>(Table6[[#This Row],[Fault Clearance time]]-Table6[[#This Row],[Fault Start TimeStamp]])*24</f>
        <v>0.66666666666666696</v>
      </c>
      <c r="U789" s="35" t="s">
        <v>465</v>
      </c>
      <c r="V789" s="102" t="s">
        <v>268</v>
      </c>
      <c r="W789" s="267">
        <f>IFERROR(Table6[[#This Row],[Breakdown Time]]*Table6[[#This Row],[Plant Equivalent Weightage]],"")</f>
        <v>2.5641025641025644E-2</v>
      </c>
      <c r="X789" s="262" t="s">
        <v>269</v>
      </c>
      <c r="Y789" s="263" t="s">
        <v>123</v>
      </c>
      <c r="Z789" s="102">
        <v>5730</v>
      </c>
      <c r="AA789" s="257">
        <f>(Table6[[#This Row],[Paired WTG Generation for loss calculation]]/24)*Table6[[#This Row],[Breakdown Time]]</f>
        <v>159.16666666666674</v>
      </c>
      <c r="AB789" s="102"/>
      <c r="AC789" s="35"/>
      <c r="AD789" s="35"/>
    </row>
    <row r="790" spans="1:30">
      <c r="A790" s="102">
        <f t="shared" si="13"/>
        <v>789</v>
      </c>
      <c r="B790" s="257">
        <f>YEAR(Table6[[#This Row],[Date]])+IF(MONTH(Table6[[#This Row],[Date]])&gt;=4,1,0)</f>
        <v>2026</v>
      </c>
      <c r="C790" s="102">
        <f>YEAR(Table6[[#This Row],[Date]])</f>
        <v>2025</v>
      </c>
      <c r="D790" s="102" t="s">
        <v>265</v>
      </c>
      <c r="E790" s="258">
        <f>Table6[[#This Row],[Date]]-DAY(Table6[[#This Row],[Date]])+1</f>
        <v>45778</v>
      </c>
      <c r="F790" s="259">
        <v>45798</v>
      </c>
      <c r="G790" s="35" t="s">
        <v>118</v>
      </c>
      <c r="H790" s="35" t="str">
        <f>IFERROR(_xlfn.XLOOKUP(Table6[[#This Row],[Affected WTG]],'Basic Data'!$A:$A,'Basic Data'!$B:$B),"")</f>
        <v>TQGXIIPL</v>
      </c>
      <c r="I790" s="35" t="str">
        <f>IFERROR(_xlfn.XLOOKUP(Table6[[#This Row],[Affected WTG]],'Basic Data'!$A:$A,'Basic Data'!$C:$C),"")</f>
        <v>GEDA</v>
      </c>
      <c r="J790" s="260">
        <f>IFERROR(_xlfn.XLOOKUP(Table6[[#This Row],[Affected WTG]],'Basic Data'!$A:$A,'Basic Data'!$E:$E),"")</f>
        <v>3.846153846153845E-2</v>
      </c>
      <c r="K790" s="102">
        <v>3420</v>
      </c>
      <c r="L790" s="35" t="str">
        <f>IFERROR(_xlfn.XLOOKUP(Table6[[#This Row],[Error Code]],'Basic Data'!$AA:$AA,'Basic Data'!$AB:$AB),"Incorrect Error Code")</f>
        <v>UPS buffer time too short</v>
      </c>
      <c r="M790" s="35" t="s">
        <v>266</v>
      </c>
      <c r="N790" s="264"/>
      <c r="O790" s="265">
        <v>0.79861111111111116</v>
      </c>
      <c r="P790" s="265">
        <v>0.79861111111111116</v>
      </c>
      <c r="Q790" s="266">
        <v>0.85416666666666663</v>
      </c>
      <c r="R790" s="261">
        <f>IF(Table6[[#This Row],[Work Start TimeStamp]]="","",(Table6[[#This Row],[Work Start TimeStamp]]-Table6[[#This Row],[Fault Start TimeStamp]])*24)</f>
        <v>0</v>
      </c>
      <c r="S790" s="261">
        <f>(Table6[[#This Row],[Fault Clearance time]]-Table6[[#This Row],[Work Start TimeStamp]])*24</f>
        <v>1.3333333333333313</v>
      </c>
      <c r="T790" s="261">
        <f>(Table6[[#This Row],[Fault Clearance time]]-Table6[[#This Row],[Fault Start TimeStamp]])*24</f>
        <v>1.3333333333333313</v>
      </c>
      <c r="U790" s="35" t="s">
        <v>466</v>
      </c>
      <c r="V790" s="102" t="s">
        <v>268</v>
      </c>
      <c r="W790" s="267">
        <f>IFERROR(Table6[[#This Row],[Breakdown Time]]*Table6[[#This Row],[Plant Equivalent Weightage]],"")</f>
        <v>5.128205128205119E-2</v>
      </c>
      <c r="X790" s="262" t="s">
        <v>269</v>
      </c>
      <c r="Y790" s="263" t="s">
        <v>121</v>
      </c>
      <c r="Z790" s="102">
        <v>8259</v>
      </c>
      <c r="AA790" s="257">
        <f>(Table6[[#This Row],[Paired WTG Generation for loss calculation]]/24)*Table6[[#This Row],[Breakdown Time]]</f>
        <v>458.83333333333263</v>
      </c>
      <c r="AB790" s="102"/>
      <c r="AC790" s="35"/>
      <c r="AD790" s="35"/>
    </row>
    <row r="791" spans="1:30">
      <c r="A791" s="102">
        <f t="shared" si="13"/>
        <v>790</v>
      </c>
      <c r="B791" s="257">
        <f>YEAR(Table6[[#This Row],[Date]])+IF(MONTH(Table6[[#This Row],[Date]])&gt;=4,1,0)</f>
        <v>2026</v>
      </c>
      <c r="C791" s="102">
        <f>YEAR(Table6[[#This Row],[Date]])</f>
        <v>2025</v>
      </c>
      <c r="D791" s="102" t="s">
        <v>265</v>
      </c>
      <c r="E791" s="258">
        <f>Table6[[#This Row],[Date]]-DAY(Table6[[#This Row],[Date]])+1</f>
        <v>45778</v>
      </c>
      <c r="F791" s="259">
        <v>45798</v>
      </c>
      <c r="G791" s="35" t="s">
        <v>119</v>
      </c>
      <c r="H791" s="35" t="str">
        <f>IFERROR(_xlfn.XLOOKUP(Table6[[#This Row],[Affected WTG]],'Basic Data'!$A:$A,'Basic Data'!$B:$B),"")</f>
        <v>TQGXIIPL</v>
      </c>
      <c r="I791" s="35" t="str">
        <f>IFERROR(_xlfn.XLOOKUP(Table6[[#This Row],[Affected WTG]],'Basic Data'!$A:$A,'Basic Data'!$C:$C),"")</f>
        <v>GEDA</v>
      </c>
      <c r="J791" s="260">
        <f>IFERROR(_xlfn.XLOOKUP(Table6[[#This Row],[Affected WTG]],'Basic Data'!$A:$A,'Basic Data'!$E:$E),"")</f>
        <v>3.846153846153845E-2</v>
      </c>
      <c r="K791" s="102">
        <v>3110</v>
      </c>
      <c r="L791" s="35" t="str">
        <f>IFERROR(_xlfn.XLOOKUP(Table6[[#This Row],[Error Code]],'Basic Data'!$AA:$AA,'Basic Data'!$AB:$AB),"Incorrect Error Code")</f>
        <v>Frequency converter error</v>
      </c>
      <c r="M791" s="35" t="s">
        <v>266</v>
      </c>
      <c r="N791" s="264"/>
      <c r="O791" s="265">
        <v>0.80277777777777781</v>
      </c>
      <c r="P791" s="265">
        <v>0.80277777777777781</v>
      </c>
      <c r="Q791" s="266">
        <v>0.8354166666666667</v>
      </c>
      <c r="R791" s="261">
        <f>IF(Table6[[#This Row],[Work Start TimeStamp]]="","",(Table6[[#This Row],[Work Start TimeStamp]]-Table6[[#This Row],[Fault Start TimeStamp]])*24)</f>
        <v>0</v>
      </c>
      <c r="S791" s="261">
        <f>(Table6[[#This Row],[Fault Clearance time]]-Table6[[#This Row],[Work Start TimeStamp]])*24</f>
        <v>0.78333333333333321</v>
      </c>
      <c r="T791" s="261">
        <f>(Table6[[#This Row],[Fault Clearance time]]-Table6[[#This Row],[Fault Start TimeStamp]])*24</f>
        <v>0.78333333333333321</v>
      </c>
      <c r="U791" s="35" t="s">
        <v>464</v>
      </c>
      <c r="V791" s="102" t="s">
        <v>268</v>
      </c>
      <c r="W791" s="267">
        <f>IFERROR(Table6[[#This Row],[Breakdown Time]]*Table6[[#This Row],[Plant Equivalent Weightage]],"")</f>
        <v>3.0128205128205115E-2</v>
      </c>
      <c r="X791" s="262" t="s">
        <v>269</v>
      </c>
      <c r="Y791" s="263" t="s">
        <v>116</v>
      </c>
      <c r="Z791" s="102">
        <v>6870</v>
      </c>
      <c r="AA791" s="257">
        <f>(Table6[[#This Row],[Paired WTG Generation for loss calculation]]/24)*Table6[[#This Row],[Breakdown Time]]</f>
        <v>224.22916666666663</v>
      </c>
      <c r="AB791" s="102"/>
      <c r="AC791" s="35"/>
      <c r="AD791" s="35"/>
    </row>
    <row r="792" spans="1:30">
      <c r="A792" s="102">
        <f t="shared" si="13"/>
        <v>791</v>
      </c>
      <c r="B792" s="257">
        <f>YEAR(Table6[[#This Row],[Date]])+IF(MONTH(Table6[[#This Row],[Date]])&gt;=4,1,0)</f>
        <v>2026</v>
      </c>
      <c r="C792" s="102">
        <f>YEAR(Table6[[#This Row],[Date]])</f>
        <v>2025</v>
      </c>
      <c r="D792" s="102" t="s">
        <v>265</v>
      </c>
      <c r="E792" s="258">
        <f>Table6[[#This Row],[Date]]-DAY(Table6[[#This Row],[Date]])+1</f>
        <v>45778</v>
      </c>
      <c r="F792" s="259">
        <v>45798</v>
      </c>
      <c r="G792" s="35" t="s">
        <v>120</v>
      </c>
      <c r="H792" s="35" t="str">
        <f>IFERROR(_xlfn.XLOOKUP(Table6[[#This Row],[Affected WTG]],'Basic Data'!$A:$A,'Basic Data'!$B:$B),"")</f>
        <v>TQGXIIPL</v>
      </c>
      <c r="I792" s="35" t="str">
        <f>IFERROR(_xlfn.XLOOKUP(Table6[[#This Row],[Affected WTG]],'Basic Data'!$A:$A,'Basic Data'!$C:$C),"")</f>
        <v>GEDA</v>
      </c>
      <c r="J792" s="260">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266</v>
      </c>
      <c r="N792" s="264"/>
      <c r="O792" s="265">
        <v>0.79861111111111116</v>
      </c>
      <c r="P792" s="265">
        <v>0.79861111111111116</v>
      </c>
      <c r="Q792" s="266">
        <v>0.83194444444444449</v>
      </c>
      <c r="R792" s="261">
        <f>IF(Table6[[#This Row],[Work Start TimeStamp]]="","",(Table6[[#This Row],[Work Start TimeStamp]]-Table6[[#This Row],[Fault Start TimeStamp]])*24)</f>
        <v>0</v>
      </c>
      <c r="S792" s="261">
        <f>(Table6[[#This Row],[Fault Clearance time]]-Table6[[#This Row],[Work Start TimeStamp]])*24</f>
        <v>0.79999999999999982</v>
      </c>
      <c r="T792" s="261">
        <f>(Table6[[#This Row],[Fault Clearance time]]-Table6[[#This Row],[Fault Start TimeStamp]])*24</f>
        <v>0.79999999999999982</v>
      </c>
      <c r="U792" s="35" t="s">
        <v>465</v>
      </c>
      <c r="V792" s="102" t="s">
        <v>268</v>
      </c>
      <c r="W792" s="267">
        <f>IFERROR(Table6[[#This Row],[Breakdown Time]]*Table6[[#This Row],[Plant Equivalent Weightage]],"")</f>
        <v>3.0769230769230754E-2</v>
      </c>
      <c r="X792" s="262" t="s">
        <v>269</v>
      </c>
      <c r="Y792" s="263" t="s">
        <v>135</v>
      </c>
      <c r="Z792" s="102">
        <v>9422</v>
      </c>
      <c r="AA792" s="257">
        <f>(Table6[[#This Row],[Paired WTG Generation for loss calculation]]/24)*Table6[[#This Row],[Breakdown Time]]</f>
        <v>314.06666666666661</v>
      </c>
      <c r="AB792" s="102"/>
      <c r="AC792" s="35"/>
      <c r="AD792" s="35"/>
    </row>
    <row r="793" spans="1:30">
      <c r="A793" s="102">
        <f t="shared" si="13"/>
        <v>792</v>
      </c>
      <c r="B793" s="257">
        <f>YEAR(Table6[[#This Row],[Date]])+IF(MONTH(Table6[[#This Row],[Date]])&gt;=4,1,0)</f>
        <v>2026</v>
      </c>
      <c r="C793" s="102">
        <f>YEAR(Table6[[#This Row],[Date]])</f>
        <v>2025</v>
      </c>
      <c r="D793" s="102" t="s">
        <v>265</v>
      </c>
      <c r="E793" s="258">
        <f>Table6[[#This Row],[Date]]-DAY(Table6[[#This Row],[Date]])+1</f>
        <v>45778</v>
      </c>
      <c r="F793" s="259">
        <v>45798</v>
      </c>
      <c r="G793" s="35" t="s">
        <v>121</v>
      </c>
      <c r="H793" s="35" t="str">
        <f>IFERROR(_xlfn.XLOOKUP(Table6[[#This Row],[Affected WTG]],'Basic Data'!$A:$A,'Basic Data'!$B:$B),"")</f>
        <v>TQGXIIPL</v>
      </c>
      <c r="I793" s="35" t="str">
        <f>IFERROR(_xlfn.XLOOKUP(Table6[[#This Row],[Affected WTG]],'Basic Data'!$A:$A,'Basic Data'!$C:$C),"")</f>
        <v>GEDA</v>
      </c>
      <c r="J793" s="260">
        <f>IFERROR(_xlfn.XLOOKUP(Table6[[#This Row],[Affected WTG]],'Basic Data'!$A:$A,'Basic Data'!$E:$E),"")</f>
        <v>3.846153846153845E-2</v>
      </c>
      <c r="K793" s="102">
        <v>152</v>
      </c>
      <c r="L793" s="35" t="str">
        <f>IFERROR(_xlfn.XLOOKUP(Table6[[#This Row],[Error Code]],'Basic Data'!$AA:$AA,'Basic Data'!$AB:$AB),"Incorrect Error Code")</f>
        <v>SLC app. not in SAFE mode</v>
      </c>
      <c r="M793" s="35" t="s">
        <v>266</v>
      </c>
      <c r="N793" s="264"/>
      <c r="O793" s="265">
        <v>0.79861111111111116</v>
      </c>
      <c r="P793" s="265">
        <v>0.79861111111111116</v>
      </c>
      <c r="Q793" s="266">
        <v>0.85486111111111107</v>
      </c>
      <c r="R793" s="261">
        <f>IF(Table6[[#This Row],[Work Start TimeStamp]]="","",(Table6[[#This Row],[Work Start TimeStamp]]-Table6[[#This Row],[Fault Start TimeStamp]])*24)</f>
        <v>0</v>
      </c>
      <c r="S793" s="261">
        <f>(Table6[[#This Row],[Fault Clearance time]]-Table6[[#This Row],[Work Start TimeStamp]])*24</f>
        <v>1.3499999999999979</v>
      </c>
      <c r="T793" s="261">
        <f>(Table6[[#This Row],[Fault Clearance time]]-Table6[[#This Row],[Fault Start TimeStamp]])*24</f>
        <v>1.3499999999999979</v>
      </c>
      <c r="U793" s="35" t="s">
        <v>464</v>
      </c>
      <c r="V793" s="102" t="s">
        <v>268</v>
      </c>
      <c r="W793" s="267">
        <f>IFERROR(Table6[[#This Row],[Breakdown Time]]*Table6[[#This Row],[Plant Equivalent Weightage]],"")</f>
        <v>5.1923076923076822E-2</v>
      </c>
      <c r="X793" s="262" t="s">
        <v>269</v>
      </c>
      <c r="Y793" s="263" t="s">
        <v>118</v>
      </c>
      <c r="Z793" s="102">
        <v>8746</v>
      </c>
      <c r="AA793" s="257">
        <f>(Table6[[#This Row],[Paired WTG Generation for loss calculation]]/24)*Table6[[#This Row],[Breakdown Time]]</f>
        <v>491.96249999999924</v>
      </c>
      <c r="AB793" s="102"/>
      <c r="AC793" s="35"/>
      <c r="AD793" s="35"/>
    </row>
    <row r="794" spans="1:30">
      <c r="A794" s="102">
        <f t="shared" si="13"/>
        <v>793</v>
      </c>
      <c r="B794" s="257">
        <f>YEAR(Table6[[#This Row],[Date]])+IF(MONTH(Table6[[#This Row],[Date]])&gt;=4,1,0)</f>
        <v>2026</v>
      </c>
      <c r="C794" s="102">
        <f>YEAR(Table6[[#This Row],[Date]])</f>
        <v>2025</v>
      </c>
      <c r="D794" s="102" t="s">
        <v>265</v>
      </c>
      <c r="E794" s="258">
        <f>Table6[[#This Row],[Date]]-DAY(Table6[[#This Row],[Date]])+1</f>
        <v>45778</v>
      </c>
      <c r="F794" s="259">
        <v>45798</v>
      </c>
      <c r="G794" s="35" t="s">
        <v>122</v>
      </c>
      <c r="H794" s="35" t="str">
        <f>IFERROR(_xlfn.XLOOKUP(Table6[[#This Row],[Affected WTG]],'Basic Data'!$A:$A,'Basic Data'!$B:$B),"")</f>
        <v>TQGXIIPL</v>
      </c>
      <c r="I794" s="35" t="str">
        <f>IFERROR(_xlfn.XLOOKUP(Table6[[#This Row],[Affected WTG]],'Basic Data'!$A:$A,'Basic Data'!$C:$C),"")</f>
        <v>GEDA</v>
      </c>
      <c r="J794" s="260">
        <f>IFERROR(_xlfn.XLOOKUP(Table6[[#This Row],[Affected WTG]],'Basic Data'!$A:$A,'Basic Data'!$E:$E),"")</f>
        <v>3.846153846153845E-2</v>
      </c>
      <c r="K794" s="102">
        <v>175</v>
      </c>
      <c r="L794" s="35" t="str">
        <f>IFERROR(_xlfn.XLOOKUP(Table6[[#This Row],[Error Code]],'Basic Data'!$AA:$AA,'Basic Data'!$AB:$AB),"Incorrect Error Code")</f>
        <v>SLC error</v>
      </c>
      <c r="M794" s="35" t="s">
        <v>266</v>
      </c>
      <c r="N794" s="264"/>
      <c r="O794" s="265">
        <v>0.80277777777777781</v>
      </c>
      <c r="P794" s="265">
        <v>0.80277777777777781</v>
      </c>
      <c r="Q794" s="266">
        <v>0.81944444444444442</v>
      </c>
      <c r="R794" s="261">
        <f>IF(Table6[[#This Row],[Work Start TimeStamp]]="","",(Table6[[#This Row],[Work Start TimeStamp]]-Table6[[#This Row],[Fault Start TimeStamp]])*24)</f>
        <v>0</v>
      </c>
      <c r="S794" s="261">
        <f>(Table6[[#This Row],[Fault Clearance time]]-Table6[[#This Row],[Work Start TimeStamp]])*24</f>
        <v>0.39999999999999858</v>
      </c>
      <c r="T794" s="261">
        <f>(Table6[[#This Row],[Fault Clearance time]]-Table6[[#This Row],[Fault Start TimeStamp]])*24</f>
        <v>0.39999999999999858</v>
      </c>
      <c r="U794" s="35" t="s">
        <v>464</v>
      </c>
      <c r="V794" s="102" t="s">
        <v>268</v>
      </c>
      <c r="W794" s="267">
        <f>IFERROR(Table6[[#This Row],[Breakdown Time]]*Table6[[#This Row],[Plant Equivalent Weightage]],"")</f>
        <v>1.5384615384615325E-2</v>
      </c>
      <c r="X794" s="262" t="s">
        <v>269</v>
      </c>
      <c r="Y794" s="263" t="s">
        <v>140</v>
      </c>
      <c r="Z794" s="102">
        <v>5324</v>
      </c>
      <c r="AA794" s="257">
        <f>(Table6[[#This Row],[Paired WTG Generation for loss calculation]]/24)*Table6[[#This Row],[Breakdown Time]]</f>
        <v>88.733333333333022</v>
      </c>
      <c r="AB794" s="102"/>
      <c r="AC794" s="35"/>
      <c r="AD794" s="35"/>
    </row>
    <row r="795" spans="1:30">
      <c r="A795" s="102">
        <f t="shared" si="13"/>
        <v>794</v>
      </c>
      <c r="B795" s="257">
        <f>YEAR(Table6[[#This Row],[Date]])+IF(MONTH(Table6[[#This Row],[Date]])&gt;=4,1,0)</f>
        <v>2026</v>
      </c>
      <c r="C795" s="102">
        <f>YEAR(Table6[[#This Row],[Date]])</f>
        <v>2025</v>
      </c>
      <c r="D795" s="102" t="s">
        <v>265</v>
      </c>
      <c r="E795" s="258">
        <f>Table6[[#This Row],[Date]]-DAY(Table6[[#This Row],[Date]])+1</f>
        <v>45778</v>
      </c>
      <c r="F795" s="259">
        <v>45798</v>
      </c>
      <c r="G795" s="35" t="s">
        <v>123</v>
      </c>
      <c r="H795" s="35" t="str">
        <f>IFERROR(_xlfn.XLOOKUP(Table6[[#This Row],[Affected WTG]],'Basic Data'!$A:$A,'Basic Data'!$B:$B),"")</f>
        <v>TQGXIIPL</v>
      </c>
      <c r="I795" s="35" t="str">
        <f>IFERROR(_xlfn.XLOOKUP(Table6[[#This Row],[Affected WTG]],'Basic Data'!$A:$A,'Basic Data'!$C:$C),"")</f>
        <v>GEDA</v>
      </c>
      <c r="J795" s="260">
        <f>IFERROR(_xlfn.XLOOKUP(Table6[[#This Row],[Affected WTG]],'Basic Data'!$A:$A,'Basic Data'!$E:$E),"")</f>
        <v>3.846153846153845E-2</v>
      </c>
      <c r="K795" s="102">
        <v>3420</v>
      </c>
      <c r="L795" s="35" t="str">
        <f>IFERROR(_xlfn.XLOOKUP(Table6[[#This Row],[Error Code]],'Basic Data'!$AA:$AA,'Basic Data'!$AB:$AB),"Incorrect Error Code")</f>
        <v>UPS buffer time too short</v>
      </c>
      <c r="M795" s="35" t="s">
        <v>266</v>
      </c>
      <c r="N795" s="264"/>
      <c r="O795" s="265">
        <v>0.80277777777777781</v>
      </c>
      <c r="P795" s="265">
        <v>0.80277777777777781</v>
      </c>
      <c r="Q795" s="266">
        <v>0.8208333333333333</v>
      </c>
      <c r="R795" s="261">
        <f>IF(Table6[[#This Row],[Work Start TimeStamp]]="","",(Table6[[#This Row],[Work Start TimeStamp]]-Table6[[#This Row],[Fault Start TimeStamp]])*24)</f>
        <v>0</v>
      </c>
      <c r="S795" s="261">
        <f>(Table6[[#This Row],[Fault Clearance time]]-Table6[[#This Row],[Work Start TimeStamp]])*24</f>
        <v>0.43333333333333179</v>
      </c>
      <c r="T795" s="261">
        <f>(Table6[[#This Row],[Fault Clearance time]]-Table6[[#This Row],[Fault Start TimeStamp]])*24</f>
        <v>0.43333333333333179</v>
      </c>
      <c r="U795" s="35" t="s">
        <v>464</v>
      </c>
      <c r="V795" s="102" t="s">
        <v>268</v>
      </c>
      <c r="W795" s="267">
        <f>IFERROR(Table6[[#This Row],[Breakdown Time]]*Table6[[#This Row],[Plant Equivalent Weightage]],"")</f>
        <v>1.6666666666666604E-2</v>
      </c>
      <c r="X795" s="262" t="s">
        <v>269</v>
      </c>
      <c r="Y795" s="263" t="s">
        <v>117</v>
      </c>
      <c r="Z795" s="102">
        <v>4988</v>
      </c>
      <c r="AA795" s="257">
        <f>(Table6[[#This Row],[Paired WTG Generation for loss calculation]]/24)*Table6[[#This Row],[Breakdown Time]]</f>
        <v>90.06111111111079</v>
      </c>
      <c r="AB795" s="102"/>
      <c r="AC795" s="35"/>
      <c r="AD795" s="35"/>
    </row>
    <row r="796" spans="1:30">
      <c r="A796" s="102">
        <f t="shared" si="13"/>
        <v>795</v>
      </c>
      <c r="B796" s="257">
        <f>YEAR(Table6[[#This Row],[Date]])+IF(MONTH(Table6[[#This Row],[Date]])&gt;=4,1,0)</f>
        <v>2026</v>
      </c>
      <c r="C796" s="102">
        <f>YEAR(Table6[[#This Row],[Date]])</f>
        <v>2025</v>
      </c>
      <c r="D796" s="102" t="s">
        <v>265</v>
      </c>
      <c r="E796" s="258">
        <f>Table6[[#This Row],[Date]]-DAY(Table6[[#This Row],[Date]])+1</f>
        <v>45778</v>
      </c>
      <c r="F796" s="259">
        <v>45798</v>
      </c>
      <c r="G796" s="35" t="s">
        <v>124</v>
      </c>
      <c r="H796" s="35" t="str">
        <f>IFERROR(_xlfn.XLOOKUP(Table6[[#This Row],[Affected WTG]],'Basic Data'!$A:$A,'Basic Data'!$B:$B),"")</f>
        <v>TQGXIIPL</v>
      </c>
      <c r="I796" s="35" t="str">
        <f>IFERROR(_xlfn.XLOOKUP(Table6[[#This Row],[Affected WTG]],'Basic Data'!$A:$A,'Basic Data'!$C:$C),"")</f>
        <v>GEDA</v>
      </c>
      <c r="J796" s="260">
        <f>IFERROR(_xlfn.XLOOKUP(Table6[[#This Row],[Affected WTG]],'Basic Data'!$A:$A,'Basic Data'!$E:$E),"")</f>
        <v>3.846153846153845E-2</v>
      </c>
      <c r="K796" s="102">
        <v>3420</v>
      </c>
      <c r="L796" s="35" t="str">
        <f>IFERROR(_xlfn.XLOOKUP(Table6[[#This Row],[Error Code]],'Basic Data'!$AA:$AA,'Basic Data'!$AB:$AB),"Incorrect Error Code")</f>
        <v>UPS buffer time too short</v>
      </c>
      <c r="M796" s="35" t="s">
        <v>266</v>
      </c>
      <c r="N796" s="264"/>
      <c r="O796" s="265">
        <v>0.80277777777777781</v>
      </c>
      <c r="P796" s="265">
        <v>0.80277777777777781</v>
      </c>
      <c r="Q796" s="266">
        <v>0.8208333333333333</v>
      </c>
      <c r="R796" s="261">
        <f>IF(Table6[[#This Row],[Work Start TimeStamp]]="","",(Table6[[#This Row],[Work Start TimeStamp]]-Table6[[#This Row],[Fault Start TimeStamp]])*24)</f>
        <v>0</v>
      </c>
      <c r="S796" s="261">
        <f>(Table6[[#This Row],[Fault Clearance time]]-Table6[[#This Row],[Work Start TimeStamp]])*24</f>
        <v>0.43333333333333179</v>
      </c>
      <c r="T796" s="261">
        <f>(Table6[[#This Row],[Fault Clearance time]]-Table6[[#This Row],[Fault Start TimeStamp]])*24</f>
        <v>0.43333333333333179</v>
      </c>
      <c r="U796" s="35" t="s">
        <v>464</v>
      </c>
      <c r="V796" s="102" t="s">
        <v>268</v>
      </c>
      <c r="W796" s="267">
        <f>IFERROR(Table6[[#This Row],[Breakdown Time]]*Table6[[#This Row],[Plant Equivalent Weightage]],"")</f>
        <v>1.6666666666666604E-2</v>
      </c>
      <c r="X796" s="262" t="s">
        <v>269</v>
      </c>
      <c r="Y796" s="263" t="s">
        <v>129</v>
      </c>
      <c r="Z796" s="102">
        <v>6055</v>
      </c>
      <c r="AA796" s="257">
        <f>(Table6[[#This Row],[Paired WTG Generation for loss calculation]]/24)*Table6[[#This Row],[Breakdown Time]]</f>
        <v>109.3263888888885</v>
      </c>
      <c r="AB796" s="102"/>
      <c r="AC796" s="35"/>
      <c r="AD796" s="35"/>
    </row>
    <row r="797" spans="1:30">
      <c r="A797" s="102">
        <f t="shared" si="13"/>
        <v>796</v>
      </c>
      <c r="B797" s="257">
        <f>YEAR(Table6[[#This Row],[Date]])+IF(MONTH(Table6[[#This Row],[Date]])&gt;=4,1,0)</f>
        <v>2026</v>
      </c>
      <c r="C797" s="102">
        <f>YEAR(Table6[[#This Row],[Date]])</f>
        <v>2025</v>
      </c>
      <c r="D797" s="102" t="s">
        <v>265</v>
      </c>
      <c r="E797" s="258">
        <f>Table6[[#This Row],[Date]]-DAY(Table6[[#This Row],[Date]])+1</f>
        <v>45778</v>
      </c>
      <c r="F797" s="259">
        <v>45798</v>
      </c>
      <c r="G797" s="35" t="s">
        <v>125</v>
      </c>
      <c r="H797" s="35" t="str">
        <f>IFERROR(_xlfn.XLOOKUP(Table6[[#This Row],[Affected WTG]],'Basic Data'!$A:$A,'Basic Data'!$B:$B),"")</f>
        <v>TQGXIIPL</v>
      </c>
      <c r="I797" s="35" t="str">
        <f>IFERROR(_xlfn.XLOOKUP(Table6[[#This Row],[Affected WTG]],'Basic Data'!$A:$A,'Basic Data'!$C:$C),"")</f>
        <v>GEDA</v>
      </c>
      <c r="J797" s="260">
        <f>IFERROR(_xlfn.XLOOKUP(Table6[[#This Row],[Affected WTG]],'Basic Data'!$A:$A,'Basic Data'!$E:$E),"")</f>
        <v>3.846153846153845E-2</v>
      </c>
      <c r="K797" s="102">
        <v>152</v>
      </c>
      <c r="L797" s="35" t="str">
        <f>IFERROR(_xlfn.XLOOKUP(Table6[[#This Row],[Error Code]],'Basic Data'!$AA:$AA,'Basic Data'!$AB:$AB),"Incorrect Error Code")</f>
        <v>SLC app. not in SAFE mode</v>
      </c>
      <c r="M797" s="35" t="s">
        <v>266</v>
      </c>
      <c r="N797" s="264"/>
      <c r="O797" s="265">
        <v>0.80277777777777781</v>
      </c>
      <c r="P797" s="265">
        <v>0.80277777777777781</v>
      </c>
      <c r="Q797" s="266">
        <v>0.82152777777777775</v>
      </c>
      <c r="R797" s="261">
        <f>IF(Table6[[#This Row],[Work Start TimeStamp]]="","",(Table6[[#This Row],[Work Start TimeStamp]]-Table6[[#This Row],[Fault Start TimeStamp]])*24)</f>
        <v>0</v>
      </c>
      <c r="S797" s="261">
        <f>(Table6[[#This Row],[Fault Clearance time]]-Table6[[#This Row],[Work Start TimeStamp]])*24</f>
        <v>0.4499999999999984</v>
      </c>
      <c r="T797" s="261">
        <f>(Table6[[#This Row],[Fault Clearance time]]-Table6[[#This Row],[Fault Start TimeStamp]])*24</f>
        <v>0.4499999999999984</v>
      </c>
      <c r="U797" s="35" t="s">
        <v>464</v>
      </c>
      <c r="V797" s="102" t="s">
        <v>268</v>
      </c>
      <c r="W797" s="267">
        <f>IFERROR(Table6[[#This Row],[Breakdown Time]]*Table6[[#This Row],[Plant Equivalent Weightage]],"")</f>
        <v>1.7307692307692239E-2</v>
      </c>
      <c r="X797" s="262" t="s">
        <v>269</v>
      </c>
      <c r="Y797" s="263" t="s">
        <v>126</v>
      </c>
      <c r="Z797" s="102">
        <v>5048</v>
      </c>
      <c r="AA797" s="257">
        <f>(Table6[[#This Row],[Paired WTG Generation for loss calculation]]/24)*Table6[[#This Row],[Breakdown Time]]</f>
        <v>94.649999999999665</v>
      </c>
      <c r="AB797" s="102"/>
      <c r="AC797" s="35"/>
      <c r="AD797" s="35"/>
    </row>
    <row r="798" spans="1:30">
      <c r="A798" s="102">
        <f t="shared" si="13"/>
        <v>797</v>
      </c>
      <c r="B798" s="257">
        <f>YEAR(Table6[[#This Row],[Date]])+IF(MONTH(Table6[[#This Row],[Date]])&gt;=4,1,0)</f>
        <v>2026</v>
      </c>
      <c r="C798" s="102">
        <f>YEAR(Table6[[#This Row],[Date]])</f>
        <v>2025</v>
      </c>
      <c r="D798" s="102" t="s">
        <v>265</v>
      </c>
      <c r="E798" s="258">
        <f>Table6[[#This Row],[Date]]-DAY(Table6[[#This Row],[Date]])+1</f>
        <v>45778</v>
      </c>
      <c r="F798" s="259">
        <v>45798</v>
      </c>
      <c r="G798" s="35" t="s">
        <v>126</v>
      </c>
      <c r="H798" s="35" t="str">
        <f>IFERROR(_xlfn.XLOOKUP(Table6[[#This Row],[Affected WTG]],'Basic Data'!$A:$A,'Basic Data'!$B:$B),"")</f>
        <v>TQGXIIPL</v>
      </c>
      <c r="I798" s="35" t="str">
        <f>IFERROR(_xlfn.XLOOKUP(Table6[[#This Row],[Affected WTG]],'Basic Data'!$A:$A,'Basic Data'!$C:$C),"")</f>
        <v>GEDA</v>
      </c>
      <c r="J798" s="260">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266</v>
      </c>
      <c r="N798" s="264"/>
      <c r="O798" s="265">
        <v>0.80277777777777781</v>
      </c>
      <c r="P798" s="265">
        <v>0.80277777777777781</v>
      </c>
      <c r="Q798" s="266">
        <v>0.83263888888888893</v>
      </c>
      <c r="R798" s="261">
        <f>IF(Table6[[#This Row],[Work Start TimeStamp]]="","",(Table6[[#This Row],[Work Start TimeStamp]]-Table6[[#This Row],[Fault Start TimeStamp]])*24)</f>
        <v>0</v>
      </c>
      <c r="S798" s="261">
        <f>(Table6[[#This Row],[Fault Clearance time]]-Table6[[#This Row],[Work Start TimeStamp]])*24</f>
        <v>0.71666666666666679</v>
      </c>
      <c r="T798" s="261">
        <f>(Table6[[#This Row],[Fault Clearance time]]-Table6[[#This Row],[Fault Start TimeStamp]])*24</f>
        <v>0.71666666666666679</v>
      </c>
      <c r="U798" s="35" t="s">
        <v>465</v>
      </c>
      <c r="V798" s="102" t="s">
        <v>268</v>
      </c>
      <c r="W798" s="267">
        <f>IFERROR(Table6[[#This Row],[Breakdown Time]]*Table6[[#This Row],[Plant Equivalent Weightage]],"")</f>
        <v>2.756410256410256E-2</v>
      </c>
      <c r="X798" s="262" t="s">
        <v>269</v>
      </c>
      <c r="Y798" s="263" t="s">
        <v>128</v>
      </c>
      <c r="Z798" s="102">
        <v>4919</v>
      </c>
      <c r="AA798" s="257">
        <f>(Table6[[#This Row],[Paired WTG Generation for loss calculation]]/24)*Table6[[#This Row],[Breakdown Time]]</f>
        <v>146.88680555555558</v>
      </c>
      <c r="AB798" s="102"/>
      <c r="AC798" s="35"/>
      <c r="AD798" s="35"/>
    </row>
    <row r="799" spans="1:30">
      <c r="A799" s="102">
        <f t="shared" si="13"/>
        <v>798</v>
      </c>
      <c r="B799" s="257">
        <f>YEAR(Table6[[#This Row],[Date]])+IF(MONTH(Table6[[#This Row],[Date]])&gt;=4,1,0)</f>
        <v>2026</v>
      </c>
      <c r="C799" s="102">
        <f>YEAR(Table6[[#This Row],[Date]])</f>
        <v>2025</v>
      </c>
      <c r="D799" s="102" t="s">
        <v>265</v>
      </c>
      <c r="E799" s="258">
        <f>Table6[[#This Row],[Date]]-DAY(Table6[[#This Row],[Date]])+1</f>
        <v>45778</v>
      </c>
      <c r="F799" s="259">
        <v>45798</v>
      </c>
      <c r="G799" s="35" t="s">
        <v>128</v>
      </c>
      <c r="H799" s="35" t="str">
        <f>IFERROR(_xlfn.XLOOKUP(Table6[[#This Row],[Affected WTG]],'Basic Data'!$A:$A,'Basic Data'!$B:$B),"")</f>
        <v>TQGXIIPL</v>
      </c>
      <c r="I799" s="35" t="str">
        <f>IFERROR(_xlfn.XLOOKUP(Table6[[#This Row],[Affected WTG]],'Basic Data'!$A:$A,'Basic Data'!$C:$C),"")</f>
        <v>GEDA</v>
      </c>
      <c r="J799" s="260">
        <f>IFERROR(_xlfn.XLOOKUP(Table6[[#This Row],[Affected WTG]],'Basic Data'!$A:$A,'Basic Data'!$E:$E),"")</f>
        <v>3.846153846153845E-2</v>
      </c>
      <c r="K799" s="102">
        <v>152</v>
      </c>
      <c r="L799" s="35" t="str">
        <f>IFERROR(_xlfn.XLOOKUP(Table6[[#This Row],[Error Code]],'Basic Data'!$AA:$AA,'Basic Data'!$AB:$AB),"Incorrect Error Code")</f>
        <v>SLC app. not in SAFE mode</v>
      </c>
      <c r="M799" s="35" t="s">
        <v>266</v>
      </c>
      <c r="N799" s="264"/>
      <c r="O799" s="265">
        <v>0.80277777777777781</v>
      </c>
      <c r="P799" s="265">
        <v>0.80277777777777781</v>
      </c>
      <c r="Q799" s="266">
        <v>0.82291666666666663</v>
      </c>
      <c r="R799" s="261">
        <f>IF(Table6[[#This Row],[Work Start TimeStamp]]="","",(Table6[[#This Row],[Work Start TimeStamp]]-Table6[[#This Row],[Fault Start TimeStamp]])*24)</f>
        <v>0</v>
      </c>
      <c r="S799" s="261">
        <f>(Table6[[#This Row],[Fault Clearance time]]-Table6[[#This Row],[Work Start TimeStamp]])*24</f>
        <v>0.48333333333333162</v>
      </c>
      <c r="T799" s="261">
        <f>(Table6[[#This Row],[Fault Clearance time]]-Table6[[#This Row],[Fault Start TimeStamp]])*24</f>
        <v>0.48333333333333162</v>
      </c>
      <c r="U799" s="35" t="s">
        <v>464</v>
      </c>
      <c r="V799" s="102" t="s">
        <v>268</v>
      </c>
      <c r="W799" s="267">
        <f>IFERROR(Table6[[#This Row],[Breakdown Time]]*Table6[[#This Row],[Plant Equivalent Weightage]],"")</f>
        <v>1.8589743589743517E-2</v>
      </c>
      <c r="X799" s="262" t="s">
        <v>269</v>
      </c>
      <c r="Y799" s="263" t="s">
        <v>126</v>
      </c>
      <c r="Z799" s="102">
        <v>5048</v>
      </c>
      <c r="AA799" s="257">
        <f>(Table6[[#This Row],[Paired WTG Generation for loss calculation]]/24)*Table6[[#This Row],[Breakdown Time]]</f>
        <v>101.66111111111076</v>
      </c>
      <c r="AB799" s="102"/>
      <c r="AC799" s="35"/>
      <c r="AD799" s="35"/>
    </row>
    <row r="800" spans="1:30">
      <c r="A800" s="102">
        <f t="shared" si="13"/>
        <v>799</v>
      </c>
      <c r="B800" s="257">
        <f>YEAR(Table6[[#This Row],[Date]])+IF(MONTH(Table6[[#This Row],[Date]])&gt;=4,1,0)</f>
        <v>2026</v>
      </c>
      <c r="C800" s="102">
        <f>YEAR(Table6[[#This Row],[Date]])</f>
        <v>2025</v>
      </c>
      <c r="D800" s="102" t="s">
        <v>265</v>
      </c>
      <c r="E800" s="258">
        <f>Table6[[#This Row],[Date]]-DAY(Table6[[#This Row],[Date]])+1</f>
        <v>45778</v>
      </c>
      <c r="F800" s="259">
        <v>45798</v>
      </c>
      <c r="G800" s="35" t="s">
        <v>129</v>
      </c>
      <c r="H800" s="35" t="str">
        <f>IFERROR(_xlfn.XLOOKUP(Table6[[#This Row],[Affected WTG]],'Basic Data'!$A:$A,'Basic Data'!$B:$B),"")</f>
        <v>TQGXIIPL</v>
      </c>
      <c r="I800" s="35" t="str">
        <f>IFERROR(_xlfn.XLOOKUP(Table6[[#This Row],[Affected WTG]],'Basic Data'!$A:$A,'Basic Data'!$C:$C),"")</f>
        <v>GEDA</v>
      </c>
      <c r="J800" s="260">
        <f>IFERROR(_xlfn.XLOOKUP(Table6[[#This Row],[Affected WTG]],'Basic Data'!$A:$A,'Basic Data'!$E:$E),"")</f>
        <v>3.846153846153845E-2</v>
      </c>
      <c r="K800" s="102">
        <v>3420</v>
      </c>
      <c r="L800" s="35" t="str">
        <f>IFERROR(_xlfn.XLOOKUP(Table6[[#This Row],[Error Code]],'Basic Data'!$AA:$AA,'Basic Data'!$AB:$AB),"Incorrect Error Code")</f>
        <v>UPS buffer time too short</v>
      </c>
      <c r="M800" s="35" t="s">
        <v>266</v>
      </c>
      <c r="N800" s="264"/>
      <c r="O800" s="265">
        <v>0.80277777777777781</v>
      </c>
      <c r="P800" s="265">
        <v>0.80277777777777781</v>
      </c>
      <c r="Q800" s="266">
        <v>0.82291666666666663</v>
      </c>
      <c r="R800" s="261">
        <f>IF(Table6[[#This Row],[Work Start TimeStamp]]="","",(Table6[[#This Row],[Work Start TimeStamp]]-Table6[[#This Row],[Fault Start TimeStamp]])*24)</f>
        <v>0</v>
      </c>
      <c r="S800" s="261">
        <f>(Table6[[#This Row],[Fault Clearance time]]-Table6[[#This Row],[Work Start TimeStamp]])*24</f>
        <v>0.48333333333333162</v>
      </c>
      <c r="T800" s="261">
        <f>(Table6[[#This Row],[Fault Clearance time]]-Table6[[#This Row],[Fault Start TimeStamp]])*24</f>
        <v>0.48333333333333162</v>
      </c>
      <c r="U800" s="35" t="s">
        <v>464</v>
      </c>
      <c r="V800" s="102" t="s">
        <v>268</v>
      </c>
      <c r="W800" s="267">
        <f>IFERROR(Table6[[#This Row],[Breakdown Time]]*Table6[[#This Row],[Plant Equivalent Weightage]],"")</f>
        <v>1.8589743589743517E-2</v>
      </c>
      <c r="X800" s="262" t="s">
        <v>269</v>
      </c>
      <c r="Y800" s="263" t="s">
        <v>124</v>
      </c>
      <c r="Z800" s="102">
        <v>4705</v>
      </c>
      <c r="AA800" s="257">
        <f>(Table6[[#This Row],[Paired WTG Generation for loss calculation]]/24)*Table6[[#This Row],[Breakdown Time]]</f>
        <v>94.753472222221887</v>
      </c>
      <c r="AB800" s="102"/>
      <c r="AC800" s="35"/>
      <c r="AD800" s="35"/>
    </row>
    <row r="801" spans="1:30">
      <c r="A801" s="102">
        <f t="shared" si="13"/>
        <v>800</v>
      </c>
      <c r="B801" s="257">
        <f>YEAR(Table6[[#This Row],[Date]])+IF(MONTH(Table6[[#This Row],[Date]])&gt;=4,1,0)</f>
        <v>2026</v>
      </c>
      <c r="C801" s="102">
        <f>YEAR(Table6[[#This Row],[Date]])</f>
        <v>2025</v>
      </c>
      <c r="D801" s="102" t="s">
        <v>265</v>
      </c>
      <c r="E801" s="258">
        <f>Table6[[#This Row],[Date]]-DAY(Table6[[#This Row],[Date]])+1</f>
        <v>45778</v>
      </c>
      <c r="F801" s="259">
        <v>45798</v>
      </c>
      <c r="G801" s="35" t="s">
        <v>130</v>
      </c>
      <c r="H801" s="35" t="str">
        <f>IFERROR(_xlfn.XLOOKUP(Table6[[#This Row],[Affected WTG]],'Basic Data'!$A:$A,'Basic Data'!$B:$B),"")</f>
        <v>TQGXIIPL</v>
      </c>
      <c r="I801" s="35" t="str">
        <f>IFERROR(_xlfn.XLOOKUP(Table6[[#This Row],[Affected WTG]],'Basic Data'!$A:$A,'Basic Data'!$C:$C),"")</f>
        <v>GEDA</v>
      </c>
      <c r="J801" s="260">
        <f>IFERROR(_xlfn.XLOOKUP(Table6[[#This Row],[Affected WTG]],'Basic Data'!$A:$A,'Basic Data'!$E:$E),"")</f>
        <v>3.846153846153845E-2</v>
      </c>
      <c r="K801" s="102">
        <v>675</v>
      </c>
      <c r="L801" s="35" t="str">
        <f>IFERROR(_xlfn.XLOOKUP(Table6[[#This Row],[Error Code]],'Basic Data'!$AA:$AA,'Basic Data'!$AB:$AB),"Incorrect Error Code")</f>
        <v>Pitch measuring system 1&gt;&lt;2</v>
      </c>
      <c r="M801" s="35" t="s">
        <v>266</v>
      </c>
      <c r="N801" s="264"/>
      <c r="O801" s="265">
        <v>0.79861111111111116</v>
      </c>
      <c r="P801" s="265">
        <v>0.85069444444444442</v>
      </c>
      <c r="Q801" s="266">
        <v>0.86458333333333337</v>
      </c>
      <c r="R801" s="261">
        <f>IF(Table6[[#This Row],[Work Start TimeStamp]]="","",(Table6[[#This Row],[Work Start TimeStamp]]-Table6[[#This Row],[Fault Start TimeStamp]])*24)</f>
        <v>1.2499999999999982</v>
      </c>
      <c r="S801" s="261">
        <f>(Table6[[#This Row],[Fault Clearance time]]-Table6[[#This Row],[Work Start TimeStamp]])*24</f>
        <v>0.33333333333333481</v>
      </c>
      <c r="T801" s="261">
        <f>(Table6[[#This Row],[Fault Clearance time]]-Table6[[#This Row],[Fault Start TimeStamp]])*24</f>
        <v>1.583333333333333</v>
      </c>
      <c r="U801" s="35" t="s">
        <v>467</v>
      </c>
      <c r="V801" s="102" t="s">
        <v>268</v>
      </c>
      <c r="W801" s="267">
        <f>IFERROR(Table6[[#This Row],[Breakdown Time]]*Table6[[#This Row],[Plant Equivalent Weightage]],"")</f>
        <v>6.0897435897435868E-2</v>
      </c>
      <c r="X801" s="262" t="s">
        <v>296</v>
      </c>
      <c r="Y801" s="263" t="s">
        <v>135</v>
      </c>
      <c r="Z801" s="102">
        <v>9422</v>
      </c>
      <c r="AA801" s="257">
        <f>(Table6[[#This Row],[Paired WTG Generation for loss calculation]]/24)*Table6[[#This Row],[Breakdown Time]]</f>
        <v>621.5902777777776</v>
      </c>
      <c r="AB801" s="102"/>
      <c r="AC801" s="35"/>
      <c r="AD801" s="35"/>
    </row>
    <row r="802" spans="1:30">
      <c r="A802" s="102">
        <f t="shared" si="13"/>
        <v>801</v>
      </c>
      <c r="B802" s="257">
        <f>YEAR(Table6[[#This Row],[Date]])+IF(MONTH(Table6[[#This Row],[Date]])&gt;=4,1,0)</f>
        <v>2026</v>
      </c>
      <c r="C802" s="102">
        <f>YEAR(Table6[[#This Row],[Date]])</f>
        <v>2025</v>
      </c>
      <c r="D802" s="102" t="s">
        <v>265</v>
      </c>
      <c r="E802" s="258">
        <f>Table6[[#This Row],[Date]]-DAY(Table6[[#This Row],[Date]])+1</f>
        <v>45778</v>
      </c>
      <c r="F802" s="259">
        <v>45798</v>
      </c>
      <c r="G802" s="35" t="s">
        <v>131</v>
      </c>
      <c r="H802" s="35" t="str">
        <f>IFERROR(_xlfn.XLOOKUP(Table6[[#This Row],[Affected WTG]],'Basic Data'!$A:$A,'Basic Data'!$B:$B),"")</f>
        <v>TQGXIIPL</v>
      </c>
      <c r="I802" s="35" t="str">
        <f>IFERROR(_xlfn.XLOOKUP(Table6[[#This Row],[Affected WTG]],'Basic Data'!$A:$A,'Basic Data'!$C:$C),"")</f>
        <v>GEDA</v>
      </c>
      <c r="J802" s="260">
        <f>IFERROR(_xlfn.XLOOKUP(Table6[[#This Row],[Affected WTG]],'Basic Data'!$A:$A,'Basic Data'!$E:$E),"")</f>
        <v>3.846153846153845E-2</v>
      </c>
      <c r="K802" s="102">
        <v>152</v>
      </c>
      <c r="L802" s="35" t="str">
        <f>IFERROR(_xlfn.XLOOKUP(Table6[[#This Row],[Error Code]],'Basic Data'!$AA:$AA,'Basic Data'!$AB:$AB),"Incorrect Error Code")</f>
        <v>SLC app. not in SAFE mode</v>
      </c>
      <c r="M802" s="35" t="s">
        <v>266</v>
      </c>
      <c r="N802" s="264"/>
      <c r="O802" s="265">
        <v>0.79861111111111116</v>
      </c>
      <c r="P802" s="265">
        <v>0.79861111111111116</v>
      </c>
      <c r="Q802" s="266">
        <v>0.82361111111111107</v>
      </c>
      <c r="R802" s="261">
        <f>IF(Table6[[#This Row],[Work Start TimeStamp]]="","",(Table6[[#This Row],[Work Start TimeStamp]]-Table6[[#This Row],[Fault Start TimeStamp]])*24)</f>
        <v>0</v>
      </c>
      <c r="S802" s="261">
        <f>(Table6[[#This Row],[Fault Clearance time]]-Table6[[#This Row],[Work Start TimeStamp]])*24</f>
        <v>0.59999999999999787</v>
      </c>
      <c r="T802" s="261">
        <f>(Table6[[#This Row],[Fault Clearance time]]-Table6[[#This Row],[Fault Start TimeStamp]])*24</f>
        <v>0.59999999999999787</v>
      </c>
      <c r="U802" s="35" t="s">
        <v>464</v>
      </c>
      <c r="V802" s="102" t="s">
        <v>268</v>
      </c>
      <c r="W802" s="267">
        <f>IFERROR(Table6[[#This Row],[Breakdown Time]]*Table6[[#This Row],[Plant Equivalent Weightage]],"")</f>
        <v>2.3076923076922988E-2</v>
      </c>
      <c r="X802" s="262" t="s">
        <v>269</v>
      </c>
      <c r="Y802" s="263" t="s">
        <v>136</v>
      </c>
      <c r="Z802" s="102">
        <v>13881</v>
      </c>
      <c r="AA802" s="257">
        <f>(Table6[[#This Row],[Paired WTG Generation for loss calculation]]/24)*Table6[[#This Row],[Breakdown Time]]</f>
        <v>347.02499999999878</v>
      </c>
      <c r="AB802" s="102"/>
      <c r="AC802" s="35"/>
      <c r="AD802" s="35"/>
    </row>
    <row r="803" spans="1:30">
      <c r="A803" s="102">
        <f t="shared" si="13"/>
        <v>802</v>
      </c>
      <c r="B803" s="257">
        <f>YEAR(Table6[[#This Row],[Date]])+IF(MONTH(Table6[[#This Row],[Date]])&gt;=4,1,0)</f>
        <v>2026</v>
      </c>
      <c r="C803" s="102">
        <f>YEAR(Table6[[#This Row],[Date]])</f>
        <v>2025</v>
      </c>
      <c r="D803" s="102" t="s">
        <v>265</v>
      </c>
      <c r="E803" s="258">
        <f>Table6[[#This Row],[Date]]-DAY(Table6[[#This Row],[Date]])+1</f>
        <v>45778</v>
      </c>
      <c r="F803" s="259">
        <v>45798</v>
      </c>
      <c r="G803" s="35" t="s">
        <v>132</v>
      </c>
      <c r="H803" s="35" t="str">
        <f>IFERROR(_xlfn.XLOOKUP(Table6[[#This Row],[Affected WTG]],'Basic Data'!$A:$A,'Basic Data'!$B:$B),"")</f>
        <v>TQGXIIPL</v>
      </c>
      <c r="I803" s="35" t="str">
        <f>IFERROR(_xlfn.XLOOKUP(Table6[[#This Row],[Affected WTG]],'Basic Data'!$A:$A,'Basic Data'!$C:$C),"")</f>
        <v>GEDA</v>
      </c>
      <c r="J803" s="260">
        <f>IFERROR(_xlfn.XLOOKUP(Table6[[#This Row],[Affected WTG]],'Basic Data'!$A:$A,'Basic Data'!$E:$E),"")</f>
        <v>3.846153846153845E-2</v>
      </c>
      <c r="K803" s="102">
        <v>3110</v>
      </c>
      <c r="L803" s="35" t="str">
        <f>IFERROR(_xlfn.XLOOKUP(Table6[[#This Row],[Error Code]],'Basic Data'!$AA:$AA,'Basic Data'!$AB:$AB),"Incorrect Error Code")</f>
        <v>Frequency converter error</v>
      </c>
      <c r="M803" s="35" t="s">
        <v>266</v>
      </c>
      <c r="N803" s="264"/>
      <c r="O803" s="265">
        <v>0.79861111111111116</v>
      </c>
      <c r="P803" s="265">
        <v>0.88263888888888886</v>
      </c>
      <c r="Q803" s="266">
        <v>0.8930555555555556</v>
      </c>
      <c r="R803" s="261">
        <f>IF(Table6[[#This Row],[Work Start TimeStamp]]="","",(Table6[[#This Row],[Work Start TimeStamp]]-Table6[[#This Row],[Fault Start TimeStamp]])*24)</f>
        <v>2.0166666666666648</v>
      </c>
      <c r="S803" s="261">
        <f>(Table6[[#This Row],[Fault Clearance time]]-Table6[[#This Row],[Work Start TimeStamp]])*24</f>
        <v>0.25000000000000178</v>
      </c>
      <c r="T803" s="261">
        <f>(Table6[[#This Row],[Fault Clearance time]]-Table6[[#This Row],[Fault Start TimeStamp]])*24</f>
        <v>2.2666666666666666</v>
      </c>
      <c r="U803" s="35" t="s">
        <v>467</v>
      </c>
      <c r="V803" s="102" t="s">
        <v>268</v>
      </c>
      <c r="W803" s="267">
        <f>IFERROR(Table6[[#This Row],[Breakdown Time]]*Table6[[#This Row],[Plant Equivalent Weightage]],"")</f>
        <v>8.7179487179487147E-2</v>
      </c>
      <c r="X803" s="262" t="s">
        <v>296</v>
      </c>
      <c r="Y803" s="263" t="s">
        <v>120</v>
      </c>
      <c r="Z803" s="102">
        <v>12064</v>
      </c>
      <c r="AA803" s="257">
        <f>(Table6[[#This Row],[Paired WTG Generation for loss calculation]]/24)*Table6[[#This Row],[Breakdown Time]]</f>
        <v>1139.3777777777777</v>
      </c>
      <c r="AB803" s="102"/>
      <c r="AC803" s="35"/>
      <c r="AD803" s="35"/>
    </row>
    <row r="804" spans="1:30">
      <c r="A804" s="102">
        <f t="shared" si="13"/>
        <v>803</v>
      </c>
      <c r="B804" s="257">
        <f>YEAR(Table6[[#This Row],[Date]])+IF(MONTH(Table6[[#This Row],[Date]])&gt;=4,1,0)</f>
        <v>2026</v>
      </c>
      <c r="C804" s="102">
        <f>YEAR(Table6[[#This Row],[Date]])</f>
        <v>2025</v>
      </c>
      <c r="D804" s="102" t="s">
        <v>265</v>
      </c>
      <c r="E804" s="258">
        <f>Table6[[#This Row],[Date]]-DAY(Table6[[#This Row],[Date]])+1</f>
        <v>45778</v>
      </c>
      <c r="F804" s="259">
        <v>45798</v>
      </c>
      <c r="G804" s="35" t="s">
        <v>133</v>
      </c>
      <c r="H804" s="35" t="str">
        <f>IFERROR(_xlfn.XLOOKUP(Table6[[#This Row],[Affected WTG]],'Basic Data'!$A:$A,'Basic Data'!$B:$B),"")</f>
        <v>TQGXIIPL</v>
      </c>
      <c r="I804" s="35" t="str">
        <f>IFERROR(_xlfn.XLOOKUP(Table6[[#This Row],[Affected WTG]],'Basic Data'!$A:$A,'Basic Data'!$C:$C),"")</f>
        <v>GEDA</v>
      </c>
      <c r="J804" s="260">
        <f>IFERROR(_xlfn.XLOOKUP(Table6[[#This Row],[Affected WTG]],'Basic Data'!$A:$A,'Basic Data'!$E:$E),"")</f>
        <v>3.846153846153845E-2</v>
      </c>
      <c r="K804" s="102">
        <v>3420</v>
      </c>
      <c r="L804" s="35" t="str">
        <f>IFERROR(_xlfn.XLOOKUP(Table6[[#This Row],[Error Code]],'Basic Data'!$AA:$AA,'Basic Data'!$AB:$AB),"Incorrect Error Code")</f>
        <v>UPS buffer time too short</v>
      </c>
      <c r="M804" s="35" t="s">
        <v>266</v>
      </c>
      <c r="N804" s="264"/>
      <c r="O804" s="265">
        <v>0.79861111111111116</v>
      </c>
      <c r="P804" s="265">
        <v>0.79861111111111116</v>
      </c>
      <c r="Q804" s="266">
        <v>0.85555555555555551</v>
      </c>
      <c r="R804" s="261">
        <f>IF(Table6[[#This Row],[Work Start TimeStamp]]="","",(Table6[[#This Row],[Work Start TimeStamp]]-Table6[[#This Row],[Fault Start TimeStamp]])*24)</f>
        <v>0</v>
      </c>
      <c r="S804" s="261">
        <f>(Table6[[#This Row],[Fault Clearance time]]-Table6[[#This Row],[Work Start TimeStamp]])*24</f>
        <v>1.3666666666666645</v>
      </c>
      <c r="T804" s="261">
        <f>(Table6[[#This Row],[Fault Clearance time]]-Table6[[#This Row],[Fault Start TimeStamp]])*24</f>
        <v>1.3666666666666645</v>
      </c>
      <c r="U804" s="35" t="s">
        <v>464</v>
      </c>
      <c r="V804" s="102" t="s">
        <v>268</v>
      </c>
      <c r="W804" s="267">
        <f>IFERROR(Table6[[#This Row],[Breakdown Time]]*Table6[[#This Row],[Plant Equivalent Weightage]],"")</f>
        <v>5.2564102564102461E-2</v>
      </c>
      <c r="X804" s="262" t="s">
        <v>269</v>
      </c>
      <c r="Y804" s="263" t="s">
        <v>121</v>
      </c>
      <c r="Z804" s="102">
        <v>8259</v>
      </c>
      <c r="AA804" s="257">
        <f>(Table6[[#This Row],[Paired WTG Generation for loss calculation]]/24)*Table6[[#This Row],[Breakdown Time]]</f>
        <v>470.30416666666594</v>
      </c>
      <c r="AB804" s="102"/>
      <c r="AC804" s="35"/>
      <c r="AD804" s="35"/>
    </row>
    <row r="805" spans="1:30">
      <c r="A805" s="102">
        <f t="shared" si="13"/>
        <v>804</v>
      </c>
      <c r="B805" s="257">
        <f>YEAR(Table6[[#This Row],[Date]])+IF(MONTH(Table6[[#This Row],[Date]])&gt;=4,1,0)</f>
        <v>2026</v>
      </c>
      <c r="C805" s="102">
        <f>YEAR(Table6[[#This Row],[Date]])</f>
        <v>2025</v>
      </c>
      <c r="D805" s="102" t="s">
        <v>265</v>
      </c>
      <c r="E805" s="258">
        <f>Table6[[#This Row],[Date]]-DAY(Table6[[#This Row],[Date]])+1</f>
        <v>45778</v>
      </c>
      <c r="F805" s="259">
        <v>45798</v>
      </c>
      <c r="G805" s="35" t="s">
        <v>134</v>
      </c>
      <c r="H805" s="35" t="str">
        <f>IFERROR(_xlfn.XLOOKUP(Table6[[#This Row],[Affected WTG]],'Basic Data'!$A:$A,'Basic Data'!$B:$B),"")</f>
        <v>TQGXIIPL</v>
      </c>
      <c r="I805" s="35" t="str">
        <f>IFERROR(_xlfn.XLOOKUP(Table6[[#This Row],[Affected WTG]],'Basic Data'!$A:$A,'Basic Data'!$C:$C),"")</f>
        <v>GEDA</v>
      </c>
      <c r="J805" s="260">
        <f>IFERROR(_xlfn.XLOOKUP(Table6[[#This Row],[Affected WTG]],'Basic Data'!$A:$A,'Basic Data'!$E:$E),"")</f>
        <v>3.846153846153845E-2</v>
      </c>
      <c r="K805" s="102">
        <v>152</v>
      </c>
      <c r="L805" s="35" t="str">
        <f>IFERROR(_xlfn.XLOOKUP(Table6[[#This Row],[Error Code]],'Basic Data'!$AA:$AA,'Basic Data'!$AB:$AB),"Incorrect Error Code")</f>
        <v>SLC app. not in SAFE mode</v>
      </c>
      <c r="M805" s="35" t="s">
        <v>266</v>
      </c>
      <c r="N805" s="264"/>
      <c r="O805" s="265">
        <v>0.79861111111111116</v>
      </c>
      <c r="P805" s="265">
        <v>0.79861111111111116</v>
      </c>
      <c r="Q805" s="266">
        <v>0.82499999999999996</v>
      </c>
      <c r="R805" s="261">
        <f>IF(Table6[[#This Row],[Work Start TimeStamp]]="","",(Table6[[#This Row],[Work Start TimeStamp]]-Table6[[#This Row],[Fault Start TimeStamp]])*24)</f>
        <v>0</v>
      </c>
      <c r="S805" s="261">
        <f>(Table6[[#This Row],[Fault Clearance time]]-Table6[[#This Row],[Work Start TimeStamp]])*24</f>
        <v>0.63333333333333108</v>
      </c>
      <c r="T805" s="261">
        <f>(Table6[[#This Row],[Fault Clearance time]]-Table6[[#This Row],[Fault Start TimeStamp]])*24</f>
        <v>0.63333333333333108</v>
      </c>
      <c r="U805" s="35" t="s">
        <v>464</v>
      </c>
      <c r="V805" s="102" t="s">
        <v>268</v>
      </c>
      <c r="W805" s="267">
        <f>IFERROR(Table6[[#This Row],[Breakdown Time]]*Table6[[#This Row],[Plant Equivalent Weightage]],"")</f>
        <v>2.4358974358974265E-2</v>
      </c>
      <c r="X805" s="262" t="s">
        <v>269</v>
      </c>
      <c r="Y805" s="263" t="s">
        <v>138</v>
      </c>
      <c r="Z805" s="102">
        <v>7917</v>
      </c>
      <c r="AA805" s="257">
        <f>(Table6[[#This Row],[Paired WTG Generation for loss calculation]]/24)*Table6[[#This Row],[Breakdown Time]]</f>
        <v>208.92083333333258</v>
      </c>
      <c r="AB805" s="102"/>
      <c r="AC805" s="35"/>
      <c r="AD805" s="35"/>
    </row>
    <row r="806" spans="1:30">
      <c r="A806" s="102">
        <f t="shared" si="13"/>
        <v>805</v>
      </c>
      <c r="B806" s="257">
        <f>YEAR(Table6[[#This Row],[Date]])+IF(MONTH(Table6[[#This Row],[Date]])&gt;=4,1,0)</f>
        <v>2026</v>
      </c>
      <c r="C806" s="102">
        <f>YEAR(Table6[[#This Row],[Date]])</f>
        <v>2025</v>
      </c>
      <c r="D806" s="102" t="s">
        <v>265</v>
      </c>
      <c r="E806" s="258">
        <f>Table6[[#This Row],[Date]]-DAY(Table6[[#This Row],[Date]])+1</f>
        <v>45778</v>
      </c>
      <c r="F806" s="259">
        <v>45798</v>
      </c>
      <c r="G806" s="35" t="s">
        <v>135</v>
      </c>
      <c r="H806" s="35" t="str">
        <f>IFERROR(_xlfn.XLOOKUP(Table6[[#This Row],[Affected WTG]],'Basic Data'!$A:$A,'Basic Data'!$B:$B),"")</f>
        <v>TQGXIIPL</v>
      </c>
      <c r="I806" s="35" t="str">
        <f>IFERROR(_xlfn.XLOOKUP(Table6[[#This Row],[Affected WTG]],'Basic Data'!$A:$A,'Basic Data'!$C:$C),"")</f>
        <v>GEDA</v>
      </c>
      <c r="J806" s="260">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266</v>
      </c>
      <c r="N806" s="264"/>
      <c r="O806" s="265">
        <v>0.79861111111111116</v>
      </c>
      <c r="P806" s="265">
        <v>0.79861111111111116</v>
      </c>
      <c r="Q806" s="266">
        <v>0.86875000000000002</v>
      </c>
      <c r="R806" s="261">
        <f>IF(Table6[[#This Row],[Work Start TimeStamp]]="","",(Table6[[#This Row],[Work Start TimeStamp]]-Table6[[#This Row],[Fault Start TimeStamp]])*24)</f>
        <v>0</v>
      </c>
      <c r="S806" s="261">
        <f>(Table6[[#This Row],[Fault Clearance time]]-Table6[[#This Row],[Work Start TimeStamp]])*24</f>
        <v>1.6833333333333327</v>
      </c>
      <c r="T806" s="261">
        <f>(Table6[[#This Row],[Fault Clearance time]]-Table6[[#This Row],[Fault Start TimeStamp]])*24</f>
        <v>1.6833333333333327</v>
      </c>
      <c r="U806" s="35" t="s">
        <v>465</v>
      </c>
      <c r="V806" s="102" t="s">
        <v>268</v>
      </c>
      <c r="W806" s="267">
        <f>IFERROR(Table6[[#This Row],[Breakdown Time]]*Table6[[#This Row],[Plant Equivalent Weightage]],"")</f>
        <v>6.4743589743589694E-2</v>
      </c>
      <c r="X806" s="262" t="s">
        <v>269</v>
      </c>
      <c r="Y806" s="263" t="s">
        <v>120</v>
      </c>
      <c r="Z806" s="102">
        <v>12064</v>
      </c>
      <c r="AA806" s="257">
        <f>(Table6[[#This Row],[Paired WTG Generation for loss calculation]]/24)*Table6[[#This Row],[Breakdown Time]]</f>
        <v>846.15555555555522</v>
      </c>
      <c r="AB806" s="102"/>
      <c r="AC806" s="35"/>
      <c r="AD806" s="35"/>
    </row>
    <row r="807" spans="1:30">
      <c r="A807" s="102">
        <f t="shared" si="13"/>
        <v>806</v>
      </c>
      <c r="B807" s="257">
        <f>YEAR(Table6[[#This Row],[Date]])+IF(MONTH(Table6[[#This Row],[Date]])&gt;=4,1,0)</f>
        <v>2026</v>
      </c>
      <c r="C807" s="102">
        <f>YEAR(Table6[[#This Row],[Date]])</f>
        <v>2025</v>
      </c>
      <c r="D807" s="102" t="s">
        <v>265</v>
      </c>
      <c r="E807" s="258">
        <f>Table6[[#This Row],[Date]]-DAY(Table6[[#This Row],[Date]])+1</f>
        <v>45778</v>
      </c>
      <c r="F807" s="259">
        <v>45798</v>
      </c>
      <c r="G807" s="35" t="s">
        <v>136</v>
      </c>
      <c r="H807" s="35" t="str">
        <f>IFERROR(_xlfn.XLOOKUP(Table6[[#This Row],[Affected WTG]],'Basic Data'!$A:$A,'Basic Data'!$B:$B),"")</f>
        <v>TQGXIIPL</v>
      </c>
      <c r="I807" s="35" t="str">
        <f>IFERROR(_xlfn.XLOOKUP(Table6[[#This Row],[Affected WTG]],'Basic Data'!$A:$A,'Basic Data'!$C:$C),"")</f>
        <v>GEDA</v>
      </c>
      <c r="J807" s="260">
        <f>IFERROR(_xlfn.XLOOKUP(Table6[[#This Row],[Affected WTG]],'Basic Data'!$A:$A,'Basic Data'!$E:$E),"")</f>
        <v>3.846153846153845E-2</v>
      </c>
      <c r="K807" s="102">
        <v>3420</v>
      </c>
      <c r="L807" s="35" t="str">
        <f>IFERROR(_xlfn.XLOOKUP(Table6[[#This Row],[Error Code]],'Basic Data'!$AA:$AA,'Basic Data'!$AB:$AB),"Incorrect Error Code")</f>
        <v>UPS buffer time too short</v>
      </c>
      <c r="M807" s="35" t="s">
        <v>266</v>
      </c>
      <c r="N807" s="264"/>
      <c r="O807" s="265">
        <v>0.79861111111111116</v>
      </c>
      <c r="P807" s="265">
        <v>0.79861111111111116</v>
      </c>
      <c r="Q807" s="266">
        <v>0.84513888888888888</v>
      </c>
      <c r="R807" s="261">
        <f>IF(Table6[[#This Row],[Work Start TimeStamp]]="","",(Table6[[#This Row],[Work Start TimeStamp]]-Table6[[#This Row],[Fault Start TimeStamp]])*24)</f>
        <v>0</v>
      </c>
      <c r="S807" s="261">
        <f>(Table6[[#This Row],[Fault Clearance time]]-Table6[[#This Row],[Work Start TimeStamp]])*24</f>
        <v>1.1166666666666654</v>
      </c>
      <c r="T807" s="261">
        <f>(Table6[[#This Row],[Fault Clearance time]]-Table6[[#This Row],[Fault Start TimeStamp]])*24</f>
        <v>1.1166666666666654</v>
      </c>
      <c r="U807" s="35" t="s">
        <v>464</v>
      </c>
      <c r="V807" s="102" t="s">
        <v>268</v>
      </c>
      <c r="W807" s="267">
        <f>IFERROR(Table6[[#This Row],[Breakdown Time]]*Table6[[#This Row],[Plant Equivalent Weightage]],"")</f>
        <v>4.2948717948717886E-2</v>
      </c>
      <c r="X807" s="262" t="s">
        <v>269</v>
      </c>
      <c r="Y807" s="263" t="s">
        <v>120</v>
      </c>
      <c r="Z807" s="102">
        <v>12064</v>
      </c>
      <c r="AA807" s="257">
        <f>(Table6[[#This Row],[Paired WTG Generation for loss calculation]]/24)*Table6[[#This Row],[Breakdown Time]]</f>
        <v>561.31111111111045</v>
      </c>
      <c r="AB807" s="102"/>
      <c r="AC807" s="35"/>
      <c r="AD807" s="35"/>
    </row>
    <row r="808" spans="1:30">
      <c r="A808" s="102">
        <f t="shared" si="13"/>
        <v>807</v>
      </c>
      <c r="B808" s="257">
        <f>YEAR(Table6[[#This Row],[Date]])+IF(MONTH(Table6[[#This Row],[Date]])&gt;=4,1,0)</f>
        <v>2026</v>
      </c>
      <c r="C808" s="102">
        <f>YEAR(Table6[[#This Row],[Date]])</f>
        <v>2025</v>
      </c>
      <c r="D808" s="102" t="s">
        <v>265</v>
      </c>
      <c r="E808" s="258">
        <f>Table6[[#This Row],[Date]]-DAY(Table6[[#This Row],[Date]])+1</f>
        <v>45778</v>
      </c>
      <c r="F808" s="259">
        <v>45798</v>
      </c>
      <c r="G808" s="35" t="s">
        <v>137</v>
      </c>
      <c r="H808" s="35" t="str">
        <f>IFERROR(_xlfn.XLOOKUP(Table6[[#This Row],[Affected WTG]],'Basic Data'!$A:$A,'Basic Data'!$B:$B),"")</f>
        <v>TQGXIIPL</v>
      </c>
      <c r="I808" s="35" t="str">
        <f>IFERROR(_xlfn.XLOOKUP(Table6[[#This Row],[Affected WTG]],'Basic Data'!$A:$A,'Basic Data'!$C:$C),"")</f>
        <v>GEDA</v>
      </c>
      <c r="J808" s="260">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266</v>
      </c>
      <c r="N808" s="264"/>
      <c r="O808" s="265">
        <v>0.80277777777777781</v>
      </c>
      <c r="P808" s="265">
        <v>0.80277777777777781</v>
      </c>
      <c r="Q808" s="266">
        <v>0.83125000000000004</v>
      </c>
      <c r="R808" s="261">
        <f>IF(Table6[[#This Row],[Work Start TimeStamp]]="","",(Table6[[#This Row],[Work Start TimeStamp]]-Table6[[#This Row],[Fault Start TimeStamp]])*24)</f>
        <v>0</v>
      </c>
      <c r="S808" s="261">
        <f>(Table6[[#This Row],[Fault Clearance time]]-Table6[[#This Row],[Work Start TimeStamp]])*24</f>
        <v>0.68333333333333357</v>
      </c>
      <c r="T808" s="261">
        <f>(Table6[[#This Row],[Fault Clearance time]]-Table6[[#This Row],[Fault Start TimeStamp]])*24</f>
        <v>0.68333333333333357</v>
      </c>
      <c r="U808" s="35" t="s">
        <v>465</v>
      </c>
      <c r="V808" s="102" t="s">
        <v>268</v>
      </c>
      <c r="W808" s="267">
        <f>IFERROR(Table6[[#This Row],[Breakdown Time]]*Table6[[#This Row],[Plant Equivalent Weightage]],"")</f>
        <v>2.6282051282051282E-2</v>
      </c>
      <c r="X808" s="262" t="s">
        <v>269</v>
      </c>
      <c r="Y808" s="263" t="s">
        <v>125</v>
      </c>
      <c r="Z808" s="102">
        <v>4932</v>
      </c>
      <c r="AA808" s="257">
        <f>(Table6[[#This Row],[Paired WTG Generation for loss calculation]]/24)*Table6[[#This Row],[Breakdown Time]]</f>
        <v>140.42500000000004</v>
      </c>
      <c r="AB808" s="102"/>
      <c r="AC808" s="35"/>
      <c r="AD808" s="35"/>
    </row>
    <row r="809" spans="1:30">
      <c r="A809" s="102">
        <f t="shared" si="13"/>
        <v>808</v>
      </c>
      <c r="B809" s="257">
        <f>YEAR(Table6[[#This Row],[Date]])+IF(MONTH(Table6[[#This Row],[Date]])&gt;=4,1,0)</f>
        <v>2026</v>
      </c>
      <c r="C809" s="102">
        <f>YEAR(Table6[[#This Row],[Date]])</f>
        <v>2025</v>
      </c>
      <c r="D809" s="102" t="s">
        <v>265</v>
      </c>
      <c r="E809" s="258">
        <f>Table6[[#This Row],[Date]]-DAY(Table6[[#This Row],[Date]])+1</f>
        <v>45778</v>
      </c>
      <c r="F809" s="259">
        <v>45798</v>
      </c>
      <c r="G809" s="35" t="s">
        <v>138</v>
      </c>
      <c r="H809" s="35" t="str">
        <f>IFERROR(_xlfn.XLOOKUP(Table6[[#This Row],[Affected WTG]],'Basic Data'!$A:$A,'Basic Data'!$B:$B),"")</f>
        <v>TQGXIIPL</v>
      </c>
      <c r="I809" s="35" t="str">
        <f>IFERROR(_xlfn.XLOOKUP(Table6[[#This Row],[Affected WTG]],'Basic Data'!$A:$A,'Basic Data'!$C:$C),"")</f>
        <v>GEDA</v>
      </c>
      <c r="J809" s="260">
        <f>IFERROR(_xlfn.XLOOKUP(Table6[[#This Row],[Affected WTG]],'Basic Data'!$A:$A,'Basic Data'!$E:$E),"")</f>
        <v>3.846153846153845E-2</v>
      </c>
      <c r="K809" s="102">
        <v>152</v>
      </c>
      <c r="L809" s="35" t="str">
        <f>IFERROR(_xlfn.XLOOKUP(Table6[[#This Row],[Error Code]],'Basic Data'!$AA:$AA,'Basic Data'!$AB:$AB),"Incorrect Error Code")</f>
        <v>SLC app. not in SAFE mode</v>
      </c>
      <c r="M809" s="35" t="s">
        <v>266</v>
      </c>
      <c r="N809" s="264"/>
      <c r="O809" s="265">
        <v>0.79861111111111116</v>
      </c>
      <c r="P809" s="265">
        <v>0.79861111111111116</v>
      </c>
      <c r="Q809" s="266">
        <v>0.82638888888888884</v>
      </c>
      <c r="R809" s="261">
        <f>IF(Table6[[#This Row],[Work Start TimeStamp]]="","",(Table6[[#This Row],[Work Start TimeStamp]]-Table6[[#This Row],[Fault Start TimeStamp]])*24)</f>
        <v>0</v>
      </c>
      <c r="S809" s="261">
        <f>(Table6[[#This Row],[Fault Clearance time]]-Table6[[#This Row],[Work Start TimeStamp]])*24</f>
        <v>0.6666666666666643</v>
      </c>
      <c r="T809" s="261">
        <f>(Table6[[#This Row],[Fault Clearance time]]-Table6[[#This Row],[Fault Start TimeStamp]])*24</f>
        <v>0.6666666666666643</v>
      </c>
      <c r="U809" s="35" t="s">
        <v>464</v>
      </c>
      <c r="V809" s="102" t="s">
        <v>268</v>
      </c>
      <c r="W809" s="267">
        <f>IFERROR(Table6[[#This Row],[Breakdown Time]]*Table6[[#This Row],[Plant Equivalent Weightage]],"")</f>
        <v>2.5641025641025543E-2</v>
      </c>
      <c r="X809" s="262" t="s">
        <v>269</v>
      </c>
      <c r="Y809" s="263" t="s">
        <v>134</v>
      </c>
      <c r="Z809" s="102">
        <v>7738</v>
      </c>
      <c r="AA809" s="257">
        <f>(Table6[[#This Row],[Paired WTG Generation for loss calculation]]/24)*Table6[[#This Row],[Breakdown Time]]</f>
        <v>214.94444444444369</v>
      </c>
      <c r="AB809" s="102"/>
      <c r="AC809" s="35"/>
      <c r="AD809" s="35"/>
    </row>
    <row r="810" spans="1:30">
      <c r="A810" s="102">
        <f t="shared" si="13"/>
        <v>809</v>
      </c>
      <c r="B810" s="257">
        <f>YEAR(Table6[[#This Row],[Date]])+IF(MONTH(Table6[[#This Row],[Date]])&gt;=4,1,0)</f>
        <v>2026</v>
      </c>
      <c r="C810" s="102">
        <f>YEAR(Table6[[#This Row],[Date]])</f>
        <v>2025</v>
      </c>
      <c r="D810" s="102" t="s">
        <v>265</v>
      </c>
      <c r="E810" s="258">
        <f>Table6[[#This Row],[Date]]-DAY(Table6[[#This Row],[Date]])+1</f>
        <v>45778</v>
      </c>
      <c r="F810" s="259">
        <v>45798</v>
      </c>
      <c r="G810" s="35" t="s">
        <v>139</v>
      </c>
      <c r="H810" s="35" t="str">
        <f>IFERROR(_xlfn.XLOOKUP(Table6[[#This Row],[Affected WTG]],'Basic Data'!$A:$A,'Basic Data'!$B:$B),"")</f>
        <v>TQGXIIPL</v>
      </c>
      <c r="I810" s="35" t="str">
        <f>IFERROR(_xlfn.XLOOKUP(Table6[[#This Row],[Affected WTG]],'Basic Data'!$A:$A,'Basic Data'!$C:$C),"")</f>
        <v>GEDA</v>
      </c>
      <c r="J810" s="260">
        <f>IFERROR(_xlfn.XLOOKUP(Table6[[#This Row],[Affected WTG]],'Basic Data'!$A:$A,'Basic Data'!$E:$E),"")</f>
        <v>3.846153846153845E-2</v>
      </c>
      <c r="K810" s="102">
        <v>3420</v>
      </c>
      <c r="L810" s="35" t="str">
        <f>IFERROR(_xlfn.XLOOKUP(Table6[[#This Row],[Error Code]],'Basic Data'!$AA:$AA,'Basic Data'!$AB:$AB),"Incorrect Error Code")</f>
        <v>UPS buffer time too short</v>
      </c>
      <c r="M810" s="35" t="s">
        <v>266</v>
      </c>
      <c r="N810" s="264"/>
      <c r="O810" s="265">
        <v>0.80277777777777781</v>
      </c>
      <c r="P810" s="265">
        <v>0.80277777777777781</v>
      </c>
      <c r="Q810" s="266">
        <v>0.82708333333333328</v>
      </c>
      <c r="R810" s="261">
        <f>IF(Table6[[#This Row],[Work Start TimeStamp]]="","",(Table6[[#This Row],[Work Start TimeStamp]]-Table6[[#This Row],[Fault Start TimeStamp]])*24)</f>
        <v>0</v>
      </c>
      <c r="S810" s="261">
        <f>(Table6[[#This Row],[Fault Clearance time]]-Table6[[#This Row],[Work Start TimeStamp]])*24</f>
        <v>0.58333333333333126</v>
      </c>
      <c r="T810" s="261">
        <f>(Table6[[#This Row],[Fault Clearance time]]-Table6[[#This Row],[Fault Start TimeStamp]])*24</f>
        <v>0.58333333333333126</v>
      </c>
      <c r="U810" s="35" t="s">
        <v>464</v>
      </c>
      <c r="V810" s="102" t="s">
        <v>268</v>
      </c>
      <c r="W810" s="267">
        <f>IFERROR(Table6[[#This Row],[Breakdown Time]]*Table6[[#This Row],[Plant Equivalent Weightage]],"")</f>
        <v>2.2435897435897349E-2</v>
      </c>
      <c r="X810" s="262" t="s">
        <v>269</v>
      </c>
      <c r="Y810" s="263" t="s">
        <v>115</v>
      </c>
      <c r="Z810" s="102">
        <v>5803</v>
      </c>
      <c r="AA810" s="257">
        <f>(Table6[[#This Row],[Paired WTG Generation for loss calculation]]/24)*Table6[[#This Row],[Breakdown Time]]</f>
        <v>141.04513888888837</v>
      </c>
      <c r="AB810" s="102"/>
      <c r="AC810" s="35"/>
      <c r="AD810" s="35"/>
    </row>
    <row r="811" spans="1:30">
      <c r="A811" s="102">
        <f t="shared" si="13"/>
        <v>810</v>
      </c>
      <c r="B811" s="257">
        <f>YEAR(Table6[[#This Row],[Date]])+IF(MONTH(Table6[[#This Row],[Date]])&gt;=4,1,0)</f>
        <v>2026</v>
      </c>
      <c r="C811" s="102">
        <f>YEAR(Table6[[#This Row],[Date]])</f>
        <v>2025</v>
      </c>
      <c r="D811" s="102" t="s">
        <v>265</v>
      </c>
      <c r="E811" s="258">
        <f>Table6[[#This Row],[Date]]-DAY(Table6[[#This Row],[Date]])+1</f>
        <v>45778</v>
      </c>
      <c r="F811" s="259">
        <v>45798</v>
      </c>
      <c r="G811" s="35" t="s">
        <v>140</v>
      </c>
      <c r="H811" s="35" t="str">
        <f>IFERROR(_xlfn.XLOOKUP(Table6[[#This Row],[Affected WTG]],'Basic Data'!$A:$A,'Basic Data'!$B:$B),"")</f>
        <v>TQGXIIPL</v>
      </c>
      <c r="I811" s="35" t="str">
        <f>IFERROR(_xlfn.XLOOKUP(Table6[[#This Row],[Affected WTG]],'Basic Data'!$A:$A,'Basic Data'!$C:$C),"")</f>
        <v>GEDA</v>
      </c>
      <c r="J811" s="260">
        <f>IFERROR(_xlfn.XLOOKUP(Table6[[#This Row],[Affected WTG]],'Basic Data'!$A:$A,'Basic Data'!$E:$E),"")</f>
        <v>3.846153846153845E-2</v>
      </c>
      <c r="K811" s="102">
        <v>152</v>
      </c>
      <c r="L811" s="35" t="str">
        <f>IFERROR(_xlfn.XLOOKUP(Table6[[#This Row],[Error Code]],'Basic Data'!$AA:$AA,'Basic Data'!$AB:$AB),"Incorrect Error Code")</f>
        <v>SLC app. not in SAFE mode</v>
      </c>
      <c r="M811" s="35" t="s">
        <v>266</v>
      </c>
      <c r="N811" s="264"/>
      <c r="O811" s="265">
        <v>0.80277777777777781</v>
      </c>
      <c r="P811" s="265">
        <v>0.80277777777777781</v>
      </c>
      <c r="Q811" s="266">
        <v>0.83472222222222225</v>
      </c>
      <c r="R811" s="261">
        <f>IF(Table6[[#This Row],[Work Start TimeStamp]]="","",(Table6[[#This Row],[Work Start TimeStamp]]-Table6[[#This Row],[Fault Start TimeStamp]])*24)</f>
        <v>0</v>
      </c>
      <c r="S811" s="261">
        <f>(Table6[[#This Row],[Fault Clearance time]]-Table6[[#This Row],[Work Start TimeStamp]])*24</f>
        <v>0.76666666666666661</v>
      </c>
      <c r="T811" s="261">
        <f>(Table6[[#This Row],[Fault Clearance time]]-Table6[[#This Row],[Fault Start TimeStamp]])*24</f>
        <v>0.76666666666666661</v>
      </c>
      <c r="U811" s="35" t="s">
        <v>464</v>
      </c>
      <c r="V811" s="102" t="s">
        <v>268</v>
      </c>
      <c r="W811" s="267">
        <f>IFERROR(Table6[[#This Row],[Breakdown Time]]*Table6[[#This Row],[Plant Equivalent Weightage]],"")</f>
        <v>2.9487179487179476E-2</v>
      </c>
      <c r="X811" s="262" t="s">
        <v>269</v>
      </c>
      <c r="Y811" s="263" t="s">
        <v>115</v>
      </c>
      <c r="Z811" s="102">
        <v>5803</v>
      </c>
      <c r="AA811" s="257">
        <f>(Table6[[#This Row],[Paired WTG Generation for loss calculation]]/24)*Table6[[#This Row],[Breakdown Time]]</f>
        <v>185.3736111111111</v>
      </c>
      <c r="AB811" s="102"/>
      <c r="AC811" s="35"/>
      <c r="AD811" s="35"/>
    </row>
    <row r="812" spans="1:30">
      <c r="A812" s="102">
        <f t="shared" si="13"/>
        <v>811</v>
      </c>
      <c r="B812" s="257">
        <f>YEAR(Table6[[#This Row],[Date]])+IF(MONTH(Table6[[#This Row],[Date]])&gt;=4,1,0)</f>
        <v>2026</v>
      </c>
      <c r="C812" s="102">
        <f>YEAR(Table6[[#This Row],[Date]])</f>
        <v>2025</v>
      </c>
      <c r="D812" s="102" t="s">
        <v>265</v>
      </c>
      <c r="E812" s="258">
        <f>Table6[[#This Row],[Date]]-DAY(Table6[[#This Row],[Date]])+1</f>
        <v>45778</v>
      </c>
      <c r="F812" s="259">
        <v>45799</v>
      </c>
      <c r="G812" s="35" t="s">
        <v>116</v>
      </c>
      <c r="H812" s="35" t="str">
        <f>IFERROR(_xlfn.XLOOKUP(Table6[[#This Row],[Affected WTG]],'Basic Data'!$A:$A,'Basic Data'!$B:$B),"")</f>
        <v>TQGXIIPL</v>
      </c>
      <c r="I812" s="35" t="str">
        <f>IFERROR(_xlfn.XLOOKUP(Table6[[#This Row],[Affected WTG]],'Basic Data'!$A:$A,'Basic Data'!$C:$C),"")</f>
        <v>GEDA</v>
      </c>
      <c r="J812" s="260">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266</v>
      </c>
      <c r="N812" s="264"/>
      <c r="O812" s="265">
        <v>0.79236111111111107</v>
      </c>
      <c r="P812" s="265">
        <v>0.79236111111111107</v>
      </c>
      <c r="Q812" s="266">
        <v>0.8208333333333333</v>
      </c>
      <c r="R812" s="261">
        <f>IF(Table6[[#This Row],[Work Start TimeStamp]]="","",(Table6[[#This Row],[Work Start TimeStamp]]-Table6[[#This Row],[Fault Start TimeStamp]])*24)</f>
        <v>0</v>
      </c>
      <c r="S812" s="261">
        <f>(Table6[[#This Row],[Fault Clearance time]]-Table6[[#This Row],[Work Start TimeStamp]])*24</f>
        <v>0.68333333333333357</v>
      </c>
      <c r="T812" s="261">
        <f>(Table6[[#This Row],[Fault Clearance time]]-Table6[[#This Row],[Fault Start TimeStamp]])*24</f>
        <v>0.68333333333333357</v>
      </c>
      <c r="U812" s="35" t="s">
        <v>465</v>
      </c>
      <c r="V812" s="102" t="s">
        <v>268</v>
      </c>
      <c r="W812" s="267">
        <f>IFERROR(Table6[[#This Row],[Breakdown Time]]*Table6[[#This Row],[Plant Equivalent Weightage]],"")</f>
        <v>2.6282051282051282E-2</v>
      </c>
      <c r="X812" s="262" t="s">
        <v>269</v>
      </c>
      <c r="Y812" s="263" t="s">
        <v>119</v>
      </c>
      <c r="Z812" s="102">
        <v>5814</v>
      </c>
      <c r="AA812" s="257">
        <f>(Table6[[#This Row],[Paired WTG Generation for loss calculation]]/24)*Table6[[#This Row],[Breakdown Time]]</f>
        <v>165.53750000000005</v>
      </c>
      <c r="AB812" s="102"/>
      <c r="AC812" s="35"/>
      <c r="AD812" s="35"/>
    </row>
    <row r="813" spans="1:30">
      <c r="A813" s="102">
        <f t="shared" si="13"/>
        <v>812</v>
      </c>
      <c r="B813" s="257">
        <f>YEAR(Table6[[#This Row],[Date]])+IF(MONTH(Table6[[#This Row],[Date]])&gt;=4,1,0)</f>
        <v>2026</v>
      </c>
      <c r="C813" s="102">
        <f>YEAR(Table6[[#This Row],[Date]])</f>
        <v>2025</v>
      </c>
      <c r="D813" s="102" t="s">
        <v>265</v>
      </c>
      <c r="E813" s="258">
        <f>Table6[[#This Row],[Date]]-DAY(Table6[[#This Row],[Date]])+1</f>
        <v>45778</v>
      </c>
      <c r="F813" s="259">
        <v>45799</v>
      </c>
      <c r="G813" s="35" t="s">
        <v>117</v>
      </c>
      <c r="H813" s="35" t="str">
        <f>IFERROR(_xlfn.XLOOKUP(Table6[[#This Row],[Affected WTG]],'Basic Data'!$A:$A,'Basic Data'!$B:$B),"")</f>
        <v>TQGXIIPL</v>
      </c>
      <c r="I813" s="35" t="str">
        <f>IFERROR(_xlfn.XLOOKUP(Table6[[#This Row],[Affected WTG]],'Basic Data'!$A:$A,'Basic Data'!$C:$C),"")</f>
        <v>GEDA</v>
      </c>
      <c r="J813" s="260">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266</v>
      </c>
      <c r="N813" s="264"/>
      <c r="O813" s="265">
        <v>0.79236111111111107</v>
      </c>
      <c r="P813" s="265">
        <v>0.79236111111111107</v>
      </c>
      <c r="Q813" s="266">
        <v>0.81944444444444442</v>
      </c>
      <c r="R813" s="261">
        <f>IF(Table6[[#This Row],[Work Start TimeStamp]]="","",(Table6[[#This Row],[Work Start TimeStamp]]-Table6[[#This Row],[Fault Start TimeStamp]])*24)</f>
        <v>0</v>
      </c>
      <c r="S813" s="261">
        <f>(Table6[[#This Row],[Fault Clearance time]]-Table6[[#This Row],[Work Start TimeStamp]])*24</f>
        <v>0.65000000000000036</v>
      </c>
      <c r="T813" s="261">
        <f>(Table6[[#This Row],[Fault Clearance time]]-Table6[[#This Row],[Fault Start TimeStamp]])*24</f>
        <v>0.65000000000000036</v>
      </c>
      <c r="U813" s="35" t="s">
        <v>465</v>
      </c>
      <c r="V813" s="102" t="s">
        <v>268</v>
      </c>
      <c r="W813" s="267">
        <f>IFERROR(Table6[[#This Row],[Breakdown Time]]*Table6[[#This Row],[Plant Equivalent Weightage]],"")</f>
        <v>2.5000000000000005E-2</v>
      </c>
      <c r="X813" s="262" t="s">
        <v>269</v>
      </c>
      <c r="Y813" s="263" t="s">
        <v>123</v>
      </c>
      <c r="Z813" s="102">
        <v>4651</v>
      </c>
      <c r="AA813" s="257">
        <f>(Table6[[#This Row],[Paired WTG Generation for loss calculation]]/24)*Table6[[#This Row],[Breakdown Time]]</f>
        <v>125.96458333333339</v>
      </c>
      <c r="AB813" s="102"/>
      <c r="AC813" s="35"/>
      <c r="AD813" s="35"/>
    </row>
    <row r="814" spans="1:30">
      <c r="A814" s="102">
        <f t="shared" si="13"/>
        <v>813</v>
      </c>
      <c r="B814" s="257">
        <f>YEAR(Table6[[#This Row],[Date]])+IF(MONTH(Table6[[#This Row],[Date]])&gt;=4,1,0)</f>
        <v>2026</v>
      </c>
      <c r="C814" s="102">
        <f>YEAR(Table6[[#This Row],[Date]])</f>
        <v>2025</v>
      </c>
      <c r="D814" s="102" t="s">
        <v>265</v>
      </c>
      <c r="E814" s="258">
        <f>Table6[[#This Row],[Date]]-DAY(Table6[[#This Row],[Date]])+1</f>
        <v>45778</v>
      </c>
      <c r="F814" s="259">
        <v>45799</v>
      </c>
      <c r="G814" s="35" t="s">
        <v>117</v>
      </c>
      <c r="H814" s="35" t="str">
        <f>IFERROR(_xlfn.XLOOKUP(Table6[[#This Row],[Affected WTG]],'Basic Data'!$A:$A,'Basic Data'!$B:$B),"")</f>
        <v>TQGXIIPL</v>
      </c>
      <c r="I814" s="35" t="str">
        <f>IFERROR(_xlfn.XLOOKUP(Table6[[#This Row],[Affected WTG]],'Basic Data'!$A:$A,'Basic Data'!$C:$C),"")</f>
        <v>GEDA</v>
      </c>
      <c r="J814" s="260">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266</v>
      </c>
      <c r="N814" s="264"/>
      <c r="O814" s="265">
        <v>0.82152777777777775</v>
      </c>
      <c r="P814" s="265">
        <v>0.82152777777777775</v>
      </c>
      <c r="Q814" s="266">
        <v>0.83819444444444446</v>
      </c>
      <c r="R814" s="261">
        <f>IF(Table6[[#This Row],[Work Start TimeStamp]]="","",(Table6[[#This Row],[Work Start TimeStamp]]-Table6[[#This Row],[Fault Start TimeStamp]])*24)</f>
        <v>0</v>
      </c>
      <c r="S814" s="261">
        <f>(Table6[[#This Row],[Fault Clearance time]]-Table6[[#This Row],[Work Start TimeStamp]])*24</f>
        <v>0.40000000000000124</v>
      </c>
      <c r="T814" s="261">
        <f>(Table6[[#This Row],[Fault Clearance time]]-Table6[[#This Row],[Fault Start TimeStamp]])*24</f>
        <v>0.40000000000000124</v>
      </c>
      <c r="U814" s="35" t="s">
        <v>468</v>
      </c>
      <c r="V814" s="102" t="s">
        <v>268</v>
      </c>
      <c r="W814" s="267">
        <f>IFERROR(Table6[[#This Row],[Breakdown Time]]*Table6[[#This Row],[Plant Equivalent Weightage]],"")</f>
        <v>1.5384615384615427E-2</v>
      </c>
      <c r="X814" s="262" t="s">
        <v>269</v>
      </c>
      <c r="Y814" s="263" t="s">
        <v>123</v>
      </c>
      <c r="Z814" s="102">
        <v>4651</v>
      </c>
      <c r="AA814" s="257">
        <f>(Table6[[#This Row],[Paired WTG Generation for loss calculation]]/24)*Table6[[#This Row],[Breakdown Time]]</f>
        <v>77.516666666666907</v>
      </c>
      <c r="AB814" s="102"/>
      <c r="AC814" s="35"/>
      <c r="AD814" s="35"/>
    </row>
    <row r="815" spans="1:30">
      <c r="A815" s="102">
        <f t="shared" si="13"/>
        <v>814</v>
      </c>
      <c r="B815" s="257">
        <f>YEAR(Table6[[#This Row],[Date]])+IF(MONTH(Table6[[#This Row],[Date]])&gt;=4,1,0)</f>
        <v>2026</v>
      </c>
      <c r="C815" s="102">
        <f>YEAR(Table6[[#This Row],[Date]])</f>
        <v>2025</v>
      </c>
      <c r="D815" s="102" t="s">
        <v>265</v>
      </c>
      <c r="E815" s="258">
        <f>Table6[[#This Row],[Date]]-DAY(Table6[[#This Row],[Date]])+1</f>
        <v>45778</v>
      </c>
      <c r="F815" s="259">
        <v>45799</v>
      </c>
      <c r="G815" s="35" t="s">
        <v>119</v>
      </c>
      <c r="H815" s="35" t="str">
        <f>IFERROR(_xlfn.XLOOKUP(Table6[[#This Row],[Affected WTG]],'Basic Data'!$A:$A,'Basic Data'!$B:$B),"")</f>
        <v>TQGXIIPL</v>
      </c>
      <c r="I815" s="35" t="str">
        <f>IFERROR(_xlfn.XLOOKUP(Table6[[#This Row],[Affected WTG]],'Basic Data'!$A:$A,'Basic Data'!$C:$C),"")</f>
        <v>GEDA</v>
      </c>
      <c r="J815" s="260">
        <f>IFERROR(_xlfn.XLOOKUP(Table6[[#This Row],[Affected WTG]],'Basic Data'!$A:$A,'Basic Data'!$E:$E),"")</f>
        <v>3.846153846153845E-2</v>
      </c>
      <c r="K815" s="102">
        <v>3420</v>
      </c>
      <c r="L815" s="35" t="str">
        <f>IFERROR(_xlfn.XLOOKUP(Table6[[#This Row],[Error Code]],'Basic Data'!$AA:$AA,'Basic Data'!$AB:$AB),"Incorrect Error Code")</f>
        <v>UPS buffer time too short</v>
      </c>
      <c r="M815" s="35" t="s">
        <v>266</v>
      </c>
      <c r="N815" s="264"/>
      <c r="O815" s="265">
        <v>0.79236111111111107</v>
      </c>
      <c r="P815" s="265">
        <v>0.79236111111111107</v>
      </c>
      <c r="Q815" s="266">
        <v>0.80763888888888891</v>
      </c>
      <c r="R815" s="261">
        <f>IF(Table6[[#This Row],[Work Start TimeStamp]]="","",(Table6[[#This Row],[Work Start TimeStamp]]-Table6[[#This Row],[Fault Start TimeStamp]])*24)</f>
        <v>0</v>
      </c>
      <c r="S815" s="261">
        <f>(Table6[[#This Row],[Fault Clearance time]]-Table6[[#This Row],[Work Start TimeStamp]])*24</f>
        <v>0.36666666666666803</v>
      </c>
      <c r="T815" s="261">
        <f>(Table6[[#This Row],[Fault Clearance time]]-Table6[[#This Row],[Fault Start TimeStamp]])*24</f>
        <v>0.36666666666666803</v>
      </c>
      <c r="U815" s="35" t="s">
        <v>464</v>
      </c>
      <c r="V815" s="102" t="s">
        <v>268</v>
      </c>
      <c r="W815" s="267">
        <f>IFERROR(Table6[[#This Row],[Breakdown Time]]*Table6[[#This Row],[Plant Equivalent Weightage]],"")</f>
        <v>1.4102564102564151E-2</v>
      </c>
      <c r="X815" s="262" t="s">
        <v>269</v>
      </c>
      <c r="Y815" s="263" t="s">
        <v>116</v>
      </c>
      <c r="Z815" s="102">
        <v>4261</v>
      </c>
      <c r="AA815" s="257">
        <f>(Table6[[#This Row],[Paired WTG Generation for loss calculation]]/24)*Table6[[#This Row],[Breakdown Time]]</f>
        <v>65.098611111111353</v>
      </c>
      <c r="AB815" s="102"/>
      <c r="AC815" s="35"/>
      <c r="AD815" s="35"/>
    </row>
    <row r="816" spans="1:30">
      <c r="A816" s="102">
        <f t="shared" si="13"/>
        <v>815</v>
      </c>
      <c r="B816" s="257">
        <f>YEAR(Table6[[#This Row],[Date]])+IF(MONTH(Table6[[#This Row],[Date]])&gt;=4,1,0)</f>
        <v>2026</v>
      </c>
      <c r="C816" s="102">
        <f>YEAR(Table6[[#This Row],[Date]])</f>
        <v>2025</v>
      </c>
      <c r="D816" s="102" t="s">
        <v>265</v>
      </c>
      <c r="E816" s="258">
        <f>Table6[[#This Row],[Date]]-DAY(Table6[[#This Row],[Date]])+1</f>
        <v>45778</v>
      </c>
      <c r="F816" s="259">
        <v>45799</v>
      </c>
      <c r="G816" s="35" t="s">
        <v>122</v>
      </c>
      <c r="H816" s="35" t="str">
        <f>IFERROR(_xlfn.XLOOKUP(Table6[[#This Row],[Affected WTG]],'Basic Data'!$A:$A,'Basic Data'!$B:$B),"")</f>
        <v>TQGXIIPL</v>
      </c>
      <c r="I816" s="35" t="str">
        <f>IFERROR(_xlfn.XLOOKUP(Table6[[#This Row],[Affected WTG]],'Basic Data'!$A:$A,'Basic Data'!$C:$C),"")</f>
        <v>GEDA</v>
      </c>
      <c r="J816" s="260">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266</v>
      </c>
      <c r="N816" s="264"/>
      <c r="O816" s="265">
        <v>0.79236111111111107</v>
      </c>
      <c r="P816" s="265">
        <v>0.79236111111111107</v>
      </c>
      <c r="Q816" s="266">
        <v>0.81388888888888888</v>
      </c>
      <c r="R816" s="261">
        <f>IF(Table6[[#This Row],[Work Start TimeStamp]]="","",(Table6[[#This Row],[Work Start TimeStamp]]-Table6[[#This Row],[Fault Start TimeStamp]])*24)</f>
        <v>0</v>
      </c>
      <c r="S816" s="261">
        <f>(Table6[[#This Row],[Fault Clearance time]]-Table6[[#This Row],[Work Start TimeStamp]])*24</f>
        <v>0.5166666666666675</v>
      </c>
      <c r="T816" s="261">
        <f>(Table6[[#This Row],[Fault Clearance time]]-Table6[[#This Row],[Fault Start TimeStamp]])*24</f>
        <v>0.5166666666666675</v>
      </c>
      <c r="U816" s="35" t="s">
        <v>464</v>
      </c>
      <c r="V816" s="102" t="s">
        <v>268</v>
      </c>
      <c r="W816" s="267">
        <f>IFERROR(Table6[[#This Row],[Breakdown Time]]*Table6[[#This Row],[Plant Equivalent Weightage]],"")</f>
        <v>1.9871794871794898E-2</v>
      </c>
      <c r="X816" s="262" t="s">
        <v>269</v>
      </c>
      <c r="Y816" s="263" t="s">
        <v>140</v>
      </c>
      <c r="Z816" s="102">
        <v>3271</v>
      </c>
      <c r="AA816" s="257">
        <f>(Table6[[#This Row],[Paired WTG Generation for loss calculation]]/24)*Table6[[#This Row],[Breakdown Time]]</f>
        <v>70.417361111111219</v>
      </c>
      <c r="AB816" s="102"/>
      <c r="AC816" s="35"/>
      <c r="AD816" s="35"/>
    </row>
    <row r="817" spans="1:30">
      <c r="A817" s="102">
        <f t="shared" si="13"/>
        <v>816</v>
      </c>
      <c r="B817" s="257">
        <f>YEAR(Table6[[#This Row],[Date]])+IF(MONTH(Table6[[#This Row],[Date]])&gt;=4,1,0)</f>
        <v>2026</v>
      </c>
      <c r="C817" s="102">
        <f>YEAR(Table6[[#This Row],[Date]])</f>
        <v>2025</v>
      </c>
      <c r="D817" s="102" t="s">
        <v>265</v>
      </c>
      <c r="E817" s="258">
        <f>Table6[[#This Row],[Date]]-DAY(Table6[[#This Row],[Date]])+1</f>
        <v>45778</v>
      </c>
      <c r="F817" s="259">
        <v>45799</v>
      </c>
      <c r="G817" s="35" t="s">
        <v>124</v>
      </c>
      <c r="H817" s="35" t="str">
        <f>IFERROR(_xlfn.XLOOKUP(Table6[[#This Row],[Affected WTG]],'Basic Data'!$A:$A,'Basic Data'!$B:$B),"")</f>
        <v>TQGXIIPL</v>
      </c>
      <c r="I817" s="35" t="str">
        <f>IFERROR(_xlfn.XLOOKUP(Table6[[#This Row],[Affected WTG]],'Basic Data'!$A:$A,'Basic Data'!$C:$C),"")</f>
        <v>GEDA</v>
      </c>
      <c r="J817" s="260">
        <f>IFERROR(_xlfn.XLOOKUP(Table6[[#This Row],[Affected WTG]],'Basic Data'!$A:$A,'Basic Data'!$E:$E),"")</f>
        <v>3.846153846153845E-2</v>
      </c>
      <c r="K817" s="102">
        <v>3420</v>
      </c>
      <c r="L817" s="35" t="str">
        <f>IFERROR(_xlfn.XLOOKUP(Table6[[#This Row],[Error Code]],'Basic Data'!$AA:$AA,'Basic Data'!$AB:$AB),"Incorrect Error Code")</f>
        <v>UPS buffer time too short</v>
      </c>
      <c r="M817" s="35" t="s">
        <v>266</v>
      </c>
      <c r="N817" s="264"/>
      <c r="O817" s="265">
        <v>0.47430555555555554</v>
      </c>
      <c r="P817" s="265">
        <v>0.47430555555555554</v>
      </c>
      <c r="Q817" s="266">
        <v>0.49236111111111114</v>
      </c>
      <c r="R817" s="261">
        <f>IF(Table6[[#This Row],[Work Start TimeStamp]]="","",(Table6[[#This Row],[Work Start TimeStamp]]-Table6[[#This Row],[Fault Start TimeStamp]])*24)</f>
        <v>0</v>
      </c>
      <c r="S817" s="261">
        <f>(Table6[[#This Row],[Fault Clearance time]]-Table6[[#This Row],[Work Start TimeStamp]])*24</f>
        <v>0.43333333333333446</v>
      </c>
      <c r="T817" s="261">
        <f>(Table6[[#This Row],[Fault Clearance time]]-Table6[[#This Row],[Fault Start TimeStamp]])*24</f>
        <v>0.43333333333333446</v>
      </c>
      <c r="U817" s="35" t="s">
        <v>469</v>
      </c>
      <c r="V817" s="102" t="s">
        <v>268</v>
      </c>
      <c r="W817" s="267">
        <f>IFERROR(Table6[[#This Row],[Breakdown Time]]*Table6[[#This Row],[Plant Equivalent Weightage]],"")</f>
        <v>1.6666666666666705E-2</v>
      </c>
      <c r="X817" s="262" t="s">
        <v>269</v>
      </c>
      <c r="Y817" s="263" t="s">
        <v>129</v>
      </c>
      <c r="Z817" s="102">
        <v>5244</v>
      </c>
      <c r="AA817" s="257">
        <f>(Table6[[#This Row],[Paired WTG Generation for loss calculation]]/24)*Table6[[#This Row],[Breakdown Time]]</f>
        <v>94.683333333333579</v>
      </c>
      <c r="AB817" s="102"/>
      <c r="AC817" s="35"/>
      <c r="AD817" s="35"/>
    </row>
    <row r="818" spans="1:30">
      <c r="A818" s="102">
        <f t="shared" si="13"/>
        <v>817</v>
      </c>
      <c r="B818" s="257">
        <f>YEAR(Table6[[#This Row],[Date]])+IF(MONTH(Table6[[#This Row],[Date]])&gt;=4,1,0)</f>
        <v>2026</v>
      </c>
      <c r="C818" s="102">
        <f>YEAR(Table6[[#This Row],[Date]])</f>
        <v>2025</v>
      </c>
      <c r="D818" s="102" t="s">
        <v>265</v>
      </c>
      <c r="E818" s="258">
        <f>Table6[[#This Row],[Date]]-DAY(Table6[[#This Row],[Date]])+1</f>
        <v>45778</v>
      </c>
      <c r="F818" s="259">
        <v>45799</v>
      </c>
      <c r="G818" s="35" t="s">
        <v>126</v>
      </c>
      <c r="H818" s="35" t="str">
        <f>IFERROR(_xlfn.XLOOKUP(Table6[[#This Row],[Affected WTG]],'Basic Data'!$A:$A,'Basic Data'!$B:$B),"")</f>
        <v>TQGXIIPL</v>
      </c>
      <c r="I818" s="35" t="str">
        <f>IFERROR(_xlfn.XLOOKUP(Table6[[#This Row],[Affected WTG]],'Basic Data'!$A:$A,'Basic Data'!$C:$C),"")</f>
        <v>GEDA</v>
      </c>
      <c r="J818" s="260">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266</v>
      </c>
      <c r="N818" s="264"/>
      <c r="O818" s="265">
        <v>0.79236111111111107</v>
      </c>
      <c r="P818" s="265">
        <v>0.79236111111111107</v>
      </c>
      <c r="Q818" s="266">
        <v>0.8208333333333333</v>
      </c>
      <c r="R818" s="261">
        <f>IF(Table6[[#This Row],[Work Start TimeStamp]]="","",(Table6[[#This Row],[Work Start TimeStamp]]-Table6[[#This Row],[Fault Start TimeStamp]])*24)</f>
        <v>0</v>
      </c>
      <c r="S818" s="261">
        <f>(Table6[[#This Row],[Fault Clearance time]]-Table6[[#This Row],[Work Start TimeStamp]])*24</f>
        <v>0.68333333333333357</v>
      </c>
      <c r="T818" s="261">
        <f>(Table6[[#This Row],[Fault Clearance time]]-Table6[[#This Row],[Fault Start TimeStamp]])*24</f>
        <v>0.68333333333333357</v>
      </c>
      <c r="U818" s="35" t="s">
        <v>465</v>
      </c>
      <c r="V818" s="102" t="s">
        <v>268</v>
      </c>
      <c r="W818" s="267">
        <f>IFERROR(Table6[[#This Row],[Breakdown Time]]*Table6[[#This Row],[Plant Equivalent Weightage]],"")</f>
        <v>2.6282051282051282E-2</v>
      </c>
      <c r="X818" s="262" t="s">
        <v>269</v>
      </c>
      <c r="Y818" s="263" t="s">
        <v>128</v>
      </c>
      <c r="Z818" s="102">
        <v>4869</v>
      </c>
      <c r="AA818" s="257">
        <f>(Table6[[#This Row],[Paired WTG Generation for loss calculation]]/24)*Table6[[#This Row],[Breakdown Time]]</f>
        <v>138.63125000000005</v>
      </c>
      <c r="AB818" s="102"/>
      <c r="AC818" s="35"/>
      <c r="AD818" s="35"/>
    </row>
    <row r="819" spans="1:30">
      <c r="A819" s="102">
        <f t="shared" si="13"/>
        <v>818</v>
      </c>
      <c r="B819" s="257">
        <f>YEAR(Table6[[#This Row],[Date]])+IF(MONTH(Table6[[#This Row],[Date]])&gt;=4,1,0)</f>
        <v>2026</v>
      </c>
      <c r="C819" s="102">
        <f>YEAR(Table6[[#This Row],[Date]])</f>
        <v>2025</v>
      </c>
      <c r="D819" s="102" t="s">
        <v>265</v>
      </c>
      <c r="E819" s="258">
        <f>Table6[[#This Row],[Date]]-DAY(Table6[[#This Row],[Date]])+1</f>
        <v>45778</v>
      </c>
      <c r="F819" s="259">
        <v>45799</v>
      </c>
      <c r="G819" s="35" t="s">
        <v>129</v>
      </c>
      <c r="H819" s="35" t="str">
        <f>IFERROR(_xlfn.XLOOKUP(Table6[[#This Row],[Affected WTG]],'Basic Data'!$A:$A,'Basic Data'!$B:$B),"")</f>
        <v>TQGXIIPL</v>
      </c>
      <c r="I819" s="35" t="str">
        <f>IFERROR(_xlfn.XLOOKUP(Table6[[#This Row],[Affected WTG]],'Basic Data'!$A:$A,'Basic Data'!$C:$C),"")</f>
        <v>GEDA</v>
      </c>
      <c r="J819" s="260">
        <f>IFERROR(_xlfn.XLOOKUP(Table6[[#This Row],[Affected WTG]],'Basic Data'!$A:$A,'Basic Data'!$E:$E),"")</f>
        <v>3.846153846153845E-2</v>
      </c>
      <c r="K819" s="102">
        <v>3420</v>
      </c>
      <c r="L819" s="35" t="str">
        <f>IFERROR(_xlfn.XLOOKUP(Table6[[#This Row],[Error Code]],'Basic Data'!$AA:$AA,'Basic Data'!$AB:$AB),"Incorrect Error Code")</f>
        <v>UPS buffer time too short</v>
      </c>
      <c r="M819" s="35" t="s">
        <v>266</v>
      </c>
      <c r="N819" s="264"/>
      <c r="O819" s="265">
        <v>0.47430555555555554</v>
      </c>
      <c r="P819" s="265">
        <v>0.47430555555555554</v>
      </c>
      <c r="Q819" s="266">
        <v>0.49236111111111114</v>
      </c>
      <c r="R819" s="261">
        <f>IF(Table6[[#This Row],[Work Start TimeStamp]]="","",(Table6[[#This Row],[Work Start TimeStamp]]-Table6[[#This Row],[Fault Start TimeStamp]])*24)</f>
        <v>0</v>
      </c>
      <c r="S819" s="261">
        <f>(Table6[[#This Row],[Fault Clearance time]]-Table6[[#This Row],[Work Start TimeStamp]])*24</f>
        <v>0.43333333333333446</v>
      </c>
      <c r="T819" s="261">
        <f>(Table6[[#This Row],[Fault Clearance time]]-Table6[[#This Row],[Fault Start TimeStamp]])*24</f>
        <v>0.43333333333333446</v>
      </c>
      <c r="U819" s="35" t="s">
        <v>469</v>
      </c>
      <c r="V819" s="102" t="s">
        <v>268</v>
      </c>
      <c r="W819" s="267">
        <f>IFERROR(Table6[[#This Row],[Breakdown Time]]*Table6[[#This Row],[Plant Equivalent Weightage]],"")</f>
        <v>1.6666666666666705E-2</v>
      </c>
      <c r="X819" s="262" t="s">
        <v>269</v>
      </c>
      <c r="Y819" s="263" t="s">
        <v>124</v>
      </c>
      <c r="Z819" s="102">
        <v>4928</v>
      </c>
      <c r="AA819" s="257">
        <f>(Table6[[#This Row],[Paired WTG Generation for loss calculation]]/24)*Table6[[#This Row],[Breakdown Time]]</f>
        <v>88.977777777778016</v>
      </c>
      <c r="AB819" s="102"/>
      <c r="AC819" s="35"/>
      <c r="AD819" s="35"/>
    </row>
    <row r="820" spans="1:30">
      <c r="A820" s="102">
        <f t="shared" si="13"/>
        <v>819</v>
      </c>
      <c r="B820" s="257">
        <f>YEAR(Table6[[#This Row],[Date]])+IF(MONTH(Table6[[#This Row],[Date]])&gt;=4,1,0)</f>
        <v>2026</v>
      </c>
      <c r="C820" s="102">
        <f>YEAR(Table6[[#This Row],[Date]])</f>
        <v>2025</v>
      </c>
      <c r="D820" s="102" t="s">
        <v>265</v>
      </c>
      <c r="E820" s="258">
        <f>Table6[[#This Row],[Date]]-DAY(Table6[[#This Row],[Date]])+1</f>
        <v>45778</v>
      </c>
      <c r="F820" s="259">
        <v>45799</v>
      </c>
      <c r="G820" s="35" t="s">
        <v>137</v>
      </c>
      <c r="H820" s="35" t="str">
        <f>IFERROR(_xlfn.XLOOKUP(Table6[[#This Row],[Affected WTG]],'Basic Data'!$A:$A,'Basic Data'!$B:$B),"")</f>
        <v>TQGXIIPL</v>
      </c>
      <c r="I820" s="35" t="str">
        <f>IFERROR(_xlfn.XLOOKUP(Table6[[#This Row],[Affected WTG]],'Basic Data'!$A:$A,'Basic Data'!$C:$C),"")</f>
        <v>GEDA</v>
      </c>
      <c r="J820" s="260">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266</v>
      </c>
      <c r="N820" s="264"/>
      <c r="O820" s="265">
        <v>0.79236111111111107</v>
      </c>
      <c r="P820" s="265">
        <v>0.79236111111111107</v>
      </c>
      <c r="Q820" s="266">
        <v>0.82430555555555551</v>
      </c>
      <c r="R820" s="261">
        <f>IF(Table6[[#This Row],[Work Start TimeStamp]]="","",(Table6[[#This Row],[Work Start TimeStamp]]-Table6[[#This Row],[Fault Start TimeStamp]])*24)</f>
        <v>0</v>
      </c>
      <c r="S820" s="261">
        <f>(Table6[[#This Row],[Fault Clearance time]]-Table6[[#This Row],[Work Start TimeStamp]])*24</f>
        <v>0.76666666666666661</v>
      </c>
      <c r="T820" s="261">
        <f>(Table6[[#This Row],[Fault Clearance time]]-Table6[[#This Row],[Fault Start TimeStamp]])*24</f>
        <v>0.76666666666666661</v>
      </c>
      <c r="U820" s="35" t="s">
        <v>465</v>
      </c>
      <c r="V820" s="102" t="s">
        <v>268</v>
      </c>
      <c r="W820" s="267">
        <f>IFERROR(Table6[[#This Row],[Breakdown Time]]*Table6[[#This Row],[Plant Equivalent Weightage]],"")</f>
        <v>2.9487179487179476E-2</v>
      </c>
      <c r="X820" s="262" t="s">
        <v>269</v>
      </c>
      <c r="Y820" s="263" t="s">
        <v>125</v>
      </c>
      <c r="Z820" s="102">
        <v>4947</v>
      </c>
      <c r="AA820" s="257">
        <f>(Table6[[#This Row],[Paired WTG Generation for loss calculation]]/24)*Table6[[#This Row],[Breakdown Time]]</f>
        <v>158.02916666666667</v>
      </c>
      <c r="AB820" s="102"/>
      <c r="AC820" s="35"/>
      <c r="AD820" s="35"/>
    </row>
    <row r="821" spans="1:30">
      <c r="A821" s="102">
        <f t="shared" si="13"/>
        <v>820</v>
      </c>
      <c r="B821" s="257">
        <f>YEAR(Table6[[#This Row],[Date]])+IF(MONTH(Table6[[#This Row],[Date]])&gt;=4,1,0)</f>
        <v>2026</v>
      </c>
      <c r="C821" s="102">
        <f>YEAR(Table6[[#This Row],[Date]])</f>
        <v>2025</v>
      </c>
      <c r="D821" s="102" t="s">
        <v>265</v>
      </c>
      <c r="E821" s="258">
        <f>Table6[[#This Row],[Date]]-DAY(Table6[[#This Row],[Date]])+1</f>
        <v>45778</v>
      </c>
      <c r="F821" s="259">
        <v>45799</v>
      </c>
      <c r="G821" s="35" t="s">
        <v>139</v>
      </c>
      <c r="H821" s="35" t="str">
        <f>IFERROR(_xlfn.XLOOKUP(Table6[[#This Row],[Affected WTG]],'Basic Data'!$A:$A,'Basic Data'!$B:$B),"")</f>
        <v>TQGXIIPL</v>
      </c>
      <c r="I821" s="35" t="str">
        <f>IFERROR(_xlfn.XLOOKUP(Table6[[#This Row],[Affected WTG]],'Basic Data'!$A:$A,'Basic Data'!$C:$C),"")</f>
        <v>GEDA</v>
      </c>
      <c r="J821" s="260">
        <f>IFERROR(_xlfn.XLOOKUP(Table6[[#This Row],[Affected WTG]],'Basic Data'!$A:$A,'Basic Data'!$E:$E),"")</f>
        <v>3.846153846153845E-2</v>
      </c>
      <c r="K821" s="102">
        <v>3110</v>
      </c>
      <c r="L821" s="35" t="str">
        <f>IFERROR(_xlfn.XLOOKUP(Table6[[#This Row],[Error Code]],'Basic Data'!$AA:$AA,'Basic Data'!$AB:$AB),"Incorrect Error Code")</f>
        <v>Frequency converter error</v>
      </c>
      <c r="M821" s="35" t="s">
        <v>266</v>
      </c>
      <c r="N821" s="264"/>
      <c r="O821" s="265">
        <v>0.79236111111111107</v>
      </c>
      <c r="P821" s="265">
        <v>0.79236111111111107</v>
      </c>
      <c r="Q821" s="266">
        <v>0.82986111111111116</v>
      </c>
      <c r="R821" s="261">
        <f>IF(Table6[[#This Row],[Work Start TimeStamp]]="","",(Table6[[#This Row],[Work Start TimeStamp]]-Table6[[#This Row],[Fault Start TimeStamp]])*24)</f>
        <v>0</v>
      </c>
      <c r="S821" s="261">
        <f>(Table6[[#This Row],[Fault Clearance time]]-Table6[[#This Row],[Work Start TimeStamp]])*24</f>
        <v>0.90000000000000213</v>
      </c>
      <c r="T821" s="261">
        <f>(Table6[[#This Row],[Fault Clearance time]]-Table6[[#This Row],[Fault Start TimeStamp]])*24</f>
        <v>0.90000000000000213</v>
      </c>
      <c r="U821" s="35" t="s">
        <v>464</v>
      </c>
      <c r="V821" s="102" t="s">
        <v>268</v>
      </c>
      <c r="W821" s="267">
        <f>IFERROR(Table6[[#This Row],[Breakdown Time]]*Table6[[#This Row],[Plant Equivalent Weightage]],"")</f>
        <v>3.4615384615384687E-2</v>
      </c>
      <c r="X821" s="262" t="s">
        <v>269</v>
      </c>
      <c r="Y821" s="263" t="s">
        <v>115</v>
      </c>
      <c r="Z821" s="102">
        <v>5325</v>
      </c>
      <c r="AA821" s="257">
        <f>(Table6[[#This Row],[Paired WTG Generation for loss calculation]]/24)*Table6[[#This Row],[Breakdown Time]]</f>
        <v>199.68750000000048</v>
      </c>
      <c r="AB821" s="102"/>
      <c r="AC821" s="35"/>
      <c r="AD821" s="35"/>
    </row>
    <row r="822" spans="1:30">
      <c r="A822" s="102">
        <f t="shared" si="13"/>
        <v>821</v>
      </c>
      <c r="B822" s="257">
        <f>YEAR(Table6[[#This Row],[Date]])+IF(MONTH(Table6[[#This Row],[Date]])&gt;=4,1,0)</f>
        <v>2026</v>
      </c>
      <c r="C822" s="102">
        <f>YEAR(Table6[[#This Row],[Date]])</f>
        <v>2025</v>
      </c>
      <c r="D822" s="102" t="s">
        <v>265</v>
      </c>
      <c r="E822" s="258">
        <f>Table6[[#This Row],[Date]]-DAY(Table6[[#This Row],[Date]])+1</f>
        <v>45778</v>
      </c>
      <c r="F822" s="259">
        <v>45799</v>
      </c>
      <c r="G822" s="35" t="s">
        <v>140</v>
      </c>
      <c r="H822" s="35" t="str">
        <f>IFERROR(_xlfn.XLOOKUP(Table6[[#This Row],[Affected WTG]],'Basic Data'!$A:$A,'Basic Data'!$B:$B),"")</f>
        <v>TQGXIIPL</v>
      </c>
      <c r="I822" s="35" t="str">
        <f>IFERROR(_xlfn.XLOOKUP(Table6[[#This Row],[Affected WTG]],'Basic Data'!$A:$A,'Basic Data'!$C:$C),"")</f>
        <v>GEDA</v>
      </c>
      <c r="J822" s="260">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266</v>
      </c>
      <c r="N822" s="264"/>
      <c r="O822" s="265">
        <v>0.79236111111111107</v>
      </c>
      <c r="P822" s="265">
        <v>0.79236111111111107</v>
      </c>
      <c r="Q822" s="266">
        <v>0.82013888888888886</v>
      </c>
      <c r="R822" s="261">
        <f>IF(Table6[[#This Row],[Work Start TimeStamp]]="","",(Table6[[#This Row],[Work Start TimeStamp]]-Table6[[#This Row],[Fault Start TimeStamp]])*24)</f>
        <v>0</v>
      </c>
      <c r="S822" s="261">
        <f>(Table6[[#This Row],[Fault Clearance time]]-Table6[[#This Row],[Work Start TimeStamp]])*24</f>
        <v>0.66666666666666696</v>
      </c>
      <c r="T822" s="261">
        <f>(Table6[[#This Row],[Fault Clearance time]]-Table6[[#This Row],[Fault Start TimeStamp]])*24</f>
        <v>0.66666666666666696</v>
      </c>
      <c r="U822" s="35" t="s">
        <v>465</v>
      </c>
      <c r="V822" s="102" t="s">
        <v>268</v>
      </c>
      <c r="W822" s="267">
        <f>IFERROR(Table6[[#This Row],[Breakdown Time]]*Table6[[#This Row],[Plant Equivalent Weightage]],"")</f>
        <v>2.5641025641025644E-2</v>
      </c>
      <c r="X822" s="262" t="s">
        <v>269</v>
      </c>
      <c r="Y822" s="263" t="s">
        <v>115</v>
      </c>
      <c r="Z822" s="102">
        <v>5325</v>
      </c>
      <c r="AA822" s="257">
        <f>(Table6[[#This Row],[Paired WTG Generation for loss calculation]]/24)*Table6[[#This Row],[Breakdown Time]]</f>
        <v>147.91666666666674</v>
      </c>
      <c r="AB822" s="102"/>
      <c r="AC822" s="35"/>
      <c r="AD822" s="35"/>
    </row>
    <row r="823" spans="1:30">
      <c r="A823" s="102">
        <f t="shared" si="13"/>
        <v>822</v>
      </c>
      <c r="B823" s="257">
        <f>YEAR(Table6[[#This Row],[Date]])+IF(MONTH(Table6[[#This Row],[Date]])&gt;=4,1,0)</f>
        <v>2026</v>
      </c>
      <c r="C823" s="102">
        <f>YEAR(Table6[[#This Row],[Date]])</f>
        <v>2025</v>
      </c>
      <c r="D823" s="102" t="s">
        <v>265</v>
      </c>
      <c r="E823" s="258">
        <f>Table6[[#This Row],[Date]]-DAY(Table6[[#This Row],[Date]])+1</f>
        <v>45778</v>
      </c>
      <c r="F823" s="259">
        <v>45800</v>
      </c>
      <c r="G823" s="35" t="s">
        <v>117</v>
      </c>
      <c r="H823" s="35" t="str">
        <f>IFERROR(_xlfn.XLOOKUP(Table6[[#This Row],[Affected WTG]],'Basic Data'!$A:$A,'Basic Data'!$B:$B),"")</f>
        <v>TQGXIIPL</v>
      </c>
      <c r="I823" s="35" t="str">
        <f>IFERROR(_xlfn.XLOOKUP(Table6[[#This Row],[Affected WTG]],'Basic Data'!$A:$A,'Basic Data'!$C:$C),"")</f>
        <v>GEDA</v>
      </c>
      <c r="J823" s="260">
        <f>IFERROR(_xlfn.XLOOKUP(Table6[[#This Row],[Affected WTG]],'Basic Data'!$A:$A,'Basic Data'!$E:$E),"")</f>
        <v>3.846153846153845E-2</v>
      </c>
      <c r="K823" s="102">
        <v>53</v>
      </c>
      <c r="L823" s="35" t="str">
        <f>IFERROR(_xlfn.XLOOKUP(Table6[[#This Row],[Error Code]],'Basic Data'!$AA:$AA,'Basic Data'!$AB:$AB),"Incorrect Error Code")</f>
        <v>Wind dir.dev. level 1</v>
      </c>
      <c r="M823" s="35" t="s">
        <v>278</v>
      </c>
      <c r="N823" s="264"/>
      <c r="O823" s="265">
        <v>0.72430555555555554</v>
      </c>
      <c r="P823" s="265">
        <v>0.72430555555555554</v>
      </c>
      <c r="Q823" s="266">
        <v>0.72638888888888886</v>
      </c>
      <c r="R823" s="261">
        <f>IF(Table6[[#This Row],[Work Start TimeStamp]]="","",(Table6[[#This Row],[Work Start TimeStamp]]-Table6[[#This Row],[Fault Start TimeStamp]])*24)</f>
        <v>0</v>
      </c>
      <c r="S823" s="261">
        <f>(Table6[[#This Row],[Fault Clearance time]]-Table6[[#This Row],[Work Start TimeStamp]])*24</f>
        <v>4.9999999999999822E-2</v>
      </c>
      <c r="T823" s="261">
        <f>(Table6[[#This Row],[Fault Clearance time]]-Table6[[#This Row],[Fault Start TimeStamp]])*24</f>
        <v>4.9999999999999822E-2</v>
      </c>
      <c r="U823" s="35" t="s">
        <v>293</v>
      </c>
      <c r="V823" s="102" t="s">
        <v>268</v>
      </c>
      <c r="W823" s="267">
        <f>IFERROR(Table6[[#This Row],[Breakdown Time]]*Table6[[#This Row],[Plant Equivalent Weightage]],"")</f>
        <v>1.9230769230769156E-3</v>
      </c>
      <c r="X823" s="262" t="s">
        <v>269</v>
      </c>
      <c r="Y823" s="263" t="s">
        <v>123</v>
      </c>
      <c r="Z823" s="102">
        <v>13305</v>
      </c>
      <c r="AA823" s="257">
        <f>(Table6[[#This Row],[Paired WTG Generation for loss calculation]]/24)*Table6[[#This Row],[Breakdown Time]]</f>
        <v>27.718749999999901</v>
      </c>
      <c r="AB823" s="102"/>
      <c r="AC823" s="35"/>
      <c r="AD823" s="35"/>
    </row>
    <row r="824" spans="1:30">
      <c r="A824" s="102">
        <f t="shared" si="13"/>
        <v>823</v>
      </c>
      <c r="B824" s="257">
        <f>YEAR(Table6[[#This Row],[Date]])+IF(MONTH(Table6[[#This Row],[Date]])&gt;=4,1,0)</f>
        <v>2026</v>
      </c>
      <c r="C824" s="102">
        <f>YEAR(Table6[[#This Row],[Date]])</f>
        <v>2025</v>
      </c>
      <c r="D824" s="102" t="s">
        <v>265</v>
      </c>
      <c r="E824" s="258">
        <f>Table6[[#This Row],[Date]]-DAY(Table6[[#This Row],[Date]])+1</f>
        <v>45778</v>
      </c>
      <c r="F824" s="259">
        <v>45800</v>
      </c>
      <c r="G824" s="35" t="s">
        <v>122</v>
      </c>
      <c r="H824" s="35" t="str">
        <f>IFERROR(_xlfn.XLOOKUP(Table6[[#This Row],[Affected WTG]],'Basic Data'!$A:$A,'Basic Data'!$B:$B),"")</f>
        <v>TQGXIIPL</v>
      </c>
      <c r="I824" s="35" t="str">
        <f>IFERROR(_xlfn.XLOOKUP(Table6[[#This Row],[Affected WTG]],'Basic Data'!$A:$A,'Basic Data'!$C:$C),"")</f>
        <v>GEDA</v>
      </c>
      <c r="J824" s="260">
        <f>IFERROR(_xlfn.XLOOKUP(Table6[[#This Row],[Affected WTG]],'Basic Data'!$A:$A,'Basic Data'!$E:$E),"")</f>
        <v>3.846153846153845E-2</v>
      </c>
      <c r="K824" s="102">
        <v>3555</v>
      </c>
      <c r="L824" s="35" t="str">
        <f>IFERROR(_xlfn.XLOOKUP(Table6[[#This Row],[Error Code]],'Basic Data'!$AA:$AA,'Basic Data'!$AB:$AB),"Incorrect Error Code")</f>
        <v>Current asymmetry</v>
      </c>
      <c r="M824" s="35" t="s">
        <v>278</v>
      </c>
      <c r="N824" s="264"/>
      <c r="O824" s="265">
        <v>0.39166666666666666</v>
      </c>
      <c r="P824" s="265">
        <v>0.39166666666666666</v>
      </c>
      <c r="Q824" s="266">
        <v>0.39930555555555558</v>
      </c>
      <c r="R824" s="261">
        <f>IF(Table6[[#This Row],[Work Start TimeStamp]]="","",(Table6[[#This Row],[Work Start TimeStamp]]-Table6[[#This Row],[Fault Start TimeStamp]])*24)</f>
        <v>0</v>
      </c>
      <c r="S824" s="261">
        <f>(Table6[[#This Row],[Fault Clearance time]]-Table6[[#This Row],[Work Start TimeStamp]])*24</f>
        <v>0.18333333333333401</v>
      </c>
      <c r="T824" s="261">
        <f>(Table6[[#This Row],[Fault Clearance time]]-Table6[[#This Row],[Fault Start TimeStamp]])*24</f>
        <v>0.18333333333333401</v>
      </c>
      <c r="U824" s="35" t="s">
        <v>293</v>
      </c>
      <c r="V824" s="102" t="s">
        <v>268</v>
      </c>
      <c r="W824" s="267">
        <f>IFERROR(Table6[[#This Row],[Breakdown Time]]*Table6[[#This Row],[Plant Equivalent Weightage]],"")</f>
        <v>7.0512820512820757E-3</v>
      </c>
      <c r="X824" s="262" t="s">
        <v>269</v>
      </c>
      <c r="Y824" s="263" t="s">
        <v>140</v>
      </c>
      <c r="Z824" s="102">
        <v>12236</v>
      </c>
      <c r="AA824" s="257">
        <f>(Table6[[#This Row],[Paired WTG Generation for loss calculation]]/24)*Table6[[#This Row],[Breakdown Time]]</f>
        <v>93.46944444444479</v>
      </c>
      <c r="AB824" s="102"/>
      <c r="AC824" s="35"/>
      <c r="AD824" s="35"/>
    </row>
    <row r="825" spans="1:30">
      <c r="A825" s="102">
        <f t="shared" si="13"/>
        <v>824</v>
      </c>
      <c r="B825" s="257">
        <f>YEAR(Table6[[#This Row],[Date]])+IF(MONTH(Table6[[#This Row],[Date]])&gt;=4,1,0)</f>
        <v>2026</v>
      </c>
      <c r="C825" s="102">
        <f>YEAR(Table6[[#This Row],[Date]])</f>
        <v>2025</v>
      </c>
      <c r="D825" s="102" t="s">
        <v>265</v>
      </c>
      <c r="E825" s="258">
        <f>Table6[[#This Row],[Date]]-DAY(Table6[[#This Row],[Date]])+1</f>
        <v>45778</v>
      </c>
      <c r="F825" s="259">
        <v>45800</v>
      </c>
      <c r="G825" s="35" t="s">
        <v>122</v>
      </c>
      <c r="H825" s="35" t="str">
        <f>IFERROR(_xlfn.XLOOKUP(Table6[[#This Row],[Affected WTG]],'Basic Data'!$A:$A,'Basic Data'!$B:$B),"")</f>
        <v>TQGXIIPL</v>
      </c>
      <c r="I825" s="35" t="str">
        <f>IFERROR(_xlfn.XLOOKUP(Table6[[#This Row],[Affected WTG]],'Basic Data'!$A:$A,'Basic Data'!$C:$C),"")</f>
        <v>GEDA</v>
      </c>
      <c r="J825" s="260">
        <f>IFERROR(_xlfn.XLOOKUP(Table6[[#This Row],[Affected WTG]],'Basic Data'!$A:$A,'Basic Data'!$E:$E),"")</f>
        <v>3.846153846153845E-2</v>
      </c>
      <c r="K825" s="102">
        <v>55</v>
      </c>
      <c r="L825" s="35" t="str">
        <f>IFERROR(_xlfn.XLOOKUP(Table6[[#This Row],[Error Code]],'Basic Data'!$AA:$AA,'Basic Data'!$AB:$AB),"Incorrect Error Code")</f>
        <v>WTG shut down</v>
      </c>
      <c r="M825" s="35" t="s">
        <v>300</v>
      </c>
      <c r="N825" s="264"/>
      <c r="O825" s="265">
        <v>0.73611111111111116</v>
      </c>
      <c r="P825" s="265">
        <v>0.73611111111111116</v>
      </c>
      <c r="Q825" s="266">
        <v>0.74791666666666667</v>
      </c>
      <c r="R825" s="261">
        <f>IF(Table6[[#This Row],[Work Start TimeStamp]]="","",(Table6[[#This Row],[Work Start TimeStamp]]-Table6[[#This Row],[Fault Start TimeStamp]])*24)</f>
        <v>0</v>
      </c>
      <c r="S825" s="261">
        <f>(Table6[[#This Row],[Fault Clearance time]]-Table6[[#This Row],[Work Start TimeStamp]])*24</f>
        <v>0.28333333333333233</v>
      </c>
      <c r="T825" s="261">
        <f>(Table6[[#This Row],[Fault Clearance time]]-Table6[[#This Row],[Fault Start TimeStamp]])*24</f>
        <v>0.28333333333333233</v>
      </c>
      <c r="U825" s="35" t="s">
        <v>385</v>
      </c>
      <c r="V825" s="102" t="s">
        <v>268</v>
      </c>
      <c r="W825" s="267">
        <f>IFERROR(Table6[[#This Row],[Breakdown Time]]*Table6[[#This Row],[Plant Equivalent Weightage]],"")</f>
        <v>1.0897435897435855E-2</v>
      </c>
      <c r="X825" s="262" t="s">
        <v>269</v>
      </c>
      <c r="Y825" s="263" t="s">
        <v>140</v>
      </c>
      <c r="Z825" s="102">
        <v>12236</v>
      </c>
      <c r="AA825" s="257">
        <f>(Table6[[#This Row],[Paired WTG Generation for loss calculation]]/24)*Table6[[#This Row],[Breakdown Time]]</f>
        <v>144.45277777777727</v>
      </c>
      <c r="AB825" s="102"/>
      <c r="AC825" s="35"/>
      <c r="AD825" s="35"/>
    </row>
    <row r="826" spans="1:30">
      <c r="A826" s="102">
        <f t="shared" si="13"/>
        <v>825</v>
      </c>
      <c r="B826" s="257">
        <f>YEAR(Table6[[#This Row],[Date]])+IF(MONTH(Table6[[#This Row],[Date]])&gt;=4,1,0)</f>
        <v>2026</v>
      </c>
      <c r="C826" s="102">
        <f>YEAR(Table6[[#This Row],[Date]])</f>
        <v>2025</v>
      </c>
      <c r="D826" s="102" t="s">
        <v>265</v>
      </c>
      <c r="E826" s="258">
        <f>Table6[[#This Row],[Date]]-DAY(Table6[[#This Row],[Date]])+1</f>
        <v>45778</v>
      </c>
      <c r="F826" s="259">
        <v>45800</v>
      </c>
      <c r="G826" s="35" t="s">
        <v>122</v>
      </c>
      <c r="H826" s="35" t="str">
        <f>IFERROR(_xlfn.XLOOKUP(Table6[[#This Row],[Affected WTG]],'Basic Data'!$A:$A,'Basic Data'!$B:$B),"")</f>
        <v>TQGXIIPL</v>
      </c>
      <c r="I826" s="35" t="str">
        <f>IFERROR(_xlfn.XLOOKUP(Table6[[#This Row],[Affected WTG]],'Basic Data'!$A:$A,'Basic Data'!$C:$C),"")</f>
        <v>GEDA</v>
      </c>
      <c r="J826" s="260">
        <f>IFERROR(_xlfn.XLOOKUP(Table6[[#This Row],[Affected WTG]],'Basic Data'!$A:$A,'Basic Data'!$E:$E),"")</f>
        <v>3.846153846153845E-2</v>
      </c>
      <c r="K826" s="102">
        <v>55</v>
      </c>
      <c r="L826" s="35" t="str">
        <f>IFERROR(_xlfn.XLOOKUP(Table6[[#This Row],[Error Code]],'Basic Data'!$AA:$AA,'Basic Data'!$AB:$AB),"Incorrect Error Code")</f>
        <v>WTG shut down</v>
      </c>
      <c r="M826" s="35" t="s">
        <v>300</v>
      </c>
      <c r="N826" s="264"/>
      <c r="O826" s="265">
        <v>0.80694444444444446</v>
      </c>
      <c r="P826" s="265">
        <v>0.80694444444444446</v>
      </c>
      <c r="Q826" s="266">
        <v>0.82152777777777775</v>
      </c>
      <c r="R826" s="261">
        <f>IF(Table6[[#This Row],[Work Start TimeStamp]]="","",(Table6[[#This Row],[Work Start TimeStamp]]-Table6[[#This Row],[Fault Start TimeStamp]])*24)</f>
        <v>0</v>
      </c>
      <c r="S826" s="261">
        <f>(Table6[[#This Row],[Fault Clearance time]]-Table6[[#This Row],[Work Start TimeStamp]])*24</f>
        <v>0.34999999999999876</v>
      </c>
      <c r="T826" s="261">
        <f>(Table6[[#This Row],[Fault Clearance time]]-Table6[[#This Row],[Fault Start TimeStamp]])*24</f>
        <v>0.34999999999999876</v>
      </c>
      <c r="U826" s="35" t="s">
        <v>385</v>
      </c>
      <c r="V826" s="102" t="s">
        <v>268</v>
      </c>
      <c r="W826" s="267">
        <f>IFERROR(Table6[[#This Row],[Breakdown Time]]*Table6[[#This Row],[Plant Equivalent Weightage]],"")</f>
        <v>1.346153846153841E-2</v>
      </c>
      <c r="X826" s="262" t="s">
        <v>269</v>
      </c>
      <c r="Y826" s="263" t="s">
        <v>140</v>
      </c>
      <c r="Z826" s="102">
        <v>12236</v>
      </c>
      <c r="AA826" s="257">
        <f>(Table6[[#This Row],[Paired WTG Generation for loss calculation]]/24)*Table6[[#This Row],[Breakdown Time]]</f>
        <v>178.44166666666604</v>
      </c>
      <c r="AB826" s="102"/>
      <c r="AC826" s="35"/>
      <c r="AD826" s="35"/>
    </row>
    <row r="827" spans="1:30">
      <c r="A827" s="102">
        <f t="shared" si="13"/>
        <v>826</v>
      </c>
      <c r="B827" s="257">
        <f>YEAR(Table6[[#This Row],[Date]])+IF(MONTH(Table6[[#This Row],[Date]])&gt;=4,1,0)</f>
        <v>2026</v>
      </c>
      <c r="C827" s="102">
        <f>YEAR(Table6[[#This Row],[Date]])</f>
        <v>2025</v>
      </c>
      <c r="D827" s="102" t="s">
        <v>265</v>
      </c>
      <c r="E827" s="258">
        <f>Table6[[#This Row],[Date]]-DAY(Table6[[#This Row],[Date]])+1</f>
        <v>45778</v>
      </c>
      <c r="F827" s="259">
        <v>45800</v>
      </c>
      <c r="G827" s="35" t="s">
        <v>124</v>
      </c>
      <c r="H827" s="35" t="str">
        <f>IFERROR(_xlfn.XLOOKUP(Table6[[#This Row],[Affected WTG]],'Basic Data'!$A:$A,'Basic Data'!$B:$B),"")</f>
        <v>TQGXIIPL</v>
      </c>
      <c r="I827" s="35" t="str">
        <f>IFERROR(_xlfn.XLOOKUP(Table6[[#This Row],[Affected WTG]],'Basic Data'!$A:$A,'Basic Data'!$C:$C),"")</f>
        <v>GEDA</v>
      </c>
      <c r="J827" s="260">
        <f>IFERROR(_xlfn.XLOOKUP(Table6[[#This Row],[Affected WTG]],'Basic Data'!$A:$A,'Basic Data'!$E:$E),"")</f>
        <v>3.846153846153845E-2</v>
      </c>
      <c r="K827" s="102">
        <v>1070</v>
      </c>
      <c r="L827" s="35" t="str">
        <f>IFERROR(_xlfn.XLOOKUP(Table6[[#This Row],[Error Code]],'Basic Data'!$AA:$AA,'Basic Data'!$AB:$AB),"Incorrect Error Code")</f>
        <v>Drive train monitor level 2</v>
      </c>
      <c r="M827" s="35" t="s">
        <v>278</v>
      </c>
      <c r="N827" s="264"/>
      <c r="O827" s="265">
        <v>0.72430555555555554</v>
      </c>
      <c r="P827" s="265">
        <v>0.72430555555555554</v>
      </c>
      <c r="Q827" s="266">
        <v>0.72499999999999998</v>
      </c>
      <c r="R827" s="261">
        <f>IF(Table6[[#This Row],[Work Start TimeStamp]]="","",(Table6[[#This Row],[Work Start TimeStamp]]-Table6[[#This Row],[Fault Start TimeStamp]])*24)</f>
        <v>0</v>
      </c>
      <c r="S827" s="261">
        <f>(Table6[[#This Row],[Fault Clearance time]]-Table6[[#This Row],[Work Start TimeStamp]])*24</f>
        <v>1.6666666666666607E-2</v>
      </c>
      <c r="T827" s="261">
        <f>(Table6[[#This Row],[Fault Clearance time]]-Table6[[#This Row],[Fault Start TimeStamp]])*24</f>
        <v>1.6666666666666607E-2</v>
      </c>
      <c r="U827" s="35" t="s">
        <v>293</v>
      </c>
      <c r="V827" s="102" t="s">
        <v>268</v>
      </c>
      <c r="W827" s="267">
        <f>IFERROR(Table6[[#This Row],[Breakdown Time]]*Table6[[#This Row],[Plant Equivalent Weightage]],"")</f>
        <v>6.4102564102563853E-4</v>
      </c>
      <c r="X827" s="262" t="s">
        <v>269</v>
      </c>
      <c r="Y827" s="263" t="s">
        <v>129</v>
      </c>
      <c r="Z827" s="102">
        <v>13871</v>
      </c>
      <c r="AA827" s="257">
        <f>(Table6[[#This Row],[Paired WTG Generation for loss calculation]]/24)*Table6[[#This Row],[Breakdown Time]]</f>
        <v>9.6326388888888559</v>
      </c>
      <c r="AB827" s="102"/>
      <c r="AC827" s="35"/>
      <c r="AD827" s="35"/>
    </row>
    <row r="828" spans="1:30">
      <c r="A828" s="102">
        <f t="shared" si="13"/>
        <v>827</v>
      </c>
      <c r="B828" s="257">
        <f>YEAR(Table6[[#This Row],[Date]])+IF(MONTH(Table6[[#This Row],[Date]])&gt;=4,1,0)</f>
        <v>2026</v>
      </c>
      <c r="C828" s="102">
        <f>YEAR(Table6[[#This Row],[Date]])</f>
        <v>2025</v>
      </c>
      <c r="D828" s="102" t="s">
        <v>265</v>
      </c>
      <c r="E828" s="258">
        <f>Table6[[#This Row],[Date]]-DAY(Table6[[#This Row],[Date]])+1</f>
        <v>45778</v>
      </c>
      <c r="F828" s="259">
        <v>45800</v>
      </c>
      <c r="G828" s="35" t="s">
        <v>127</v>
      </c>
      <c r="H828" s="35" t="str">
        <f>IFERROR(_xlfn.XLOOKUP(Table6[[#This Row],[Affected WTG]],'Basic Data'!$A:$A,'Basic Data'!$B:$B),"")</f>
        <v>TQGXIIPL</v>
      </c>
      <c r="I828" s="35" t="str">
        <f>IFERROR(_xlfn.XLOOKUP(Table6[[#This Row],[Affected WTG]],'Basic Data'!$A:$A,'Basic Data'!$C:$C),"")</f>
        <v>GEDA</v>
      </c>
      <c r="J828" s="260">
        <f>IFERROR(_xlfn.XLOOKUP(Table6[[#This Row],[Affected WTG]],'Basic Data'!$A:$A,'Basic Data'!$E:$E),"")</f>
        <v>3.846153846153845E-2</v>
      </c>
      <c r="K828" s="102">
        <v>6130</v>
      </c>
      <c r="L828" s="35" t="str">
        <f>IFERROR(_xlfn.XLOOKUP(Table6[[#This Row],[Error Code]],'Basic Data'!$AA:$AA,'Basic Data'!$AB:$AB),"Incorrect Error Code")</f>
        <v>Yaw speed high</v>
      </c>
      <c r="M828" s="35" t="s">
        <v>278</v>
      </c>
      <c r="N828" s="264"/>
      <c r="O828" s="265">
        <v>0.82638888888888884</v>
      </c>
      <c r="P828" s="265">
        <v>0.82638888888888884</v>
      </c>
      <c r="Q828" s="266">
        <v>0.82777777777777772</v>
      </c>
      <c r="R828" s="261">
        <f>IF(Table6[[#This Row],[Work Start TimeStamp]]="","",(Table6[[#This Row],[Work Start TimeStamp]]-Table6[[#This Row],[Fault Start TimeStamp]])*24)</f>
        <v>0</v>
      </c>
      <c r="S828" s="261">
        <f>(Table6[[#This Row],[Fault Clearance time]]-Table6[[#This Row],[Work Start TimeStamp]])*24</f>
        <v>3.3333333333333215E-2</v>
      </c>
      <c r="T828" s="261">
        <f>(Table6[[#This Row],[Fault Clearance time]]-Table6[[#This Row],[Fault Start TimeStamp]])*24</f>
        <v>3.3333333333333215E-2</v>
      </c>
      <c r="U828" s="35" t="s">
        <v>293</v>
      </c>
      <c r="V828" s="102" t="s">
        <v>268</v>
      </c>
      <c r="W828" s="267">
        <f>IFERROR(Table6[[#This Row],[Breakdown Time]]*Table6[[#This Row],[Plant Equivalent Weightage]],"")</f>
        <v>1.2820512820512771E-3</v>
      </c>
      <c r="X828" s="262" t="s">
        <v>269</v>
      </c>
      <c r="Y828" s="263" t="s">
        <v>125</v>
      </c>
      <c r="Z828" s="102">
        <v>15506</v>
      </c>
      <c r="AA828" s="257">
        <f>(Table6[[#This Row],[Paired WTG Generation for loss calculation]]/24)*Table6[[#This Row],[Breakdown Time]]</f>
        <v>21.536111111111037</v>
      </c>
      <c r="AB828" s="102"/>
      <c r="AC828" s="35"/>
      <c r="AD828" s="35"/>
    </row>
    <row r="829" spans="1:30">
      <c r="A829" s="102">
        <f t="shared" si="13"/>
        <v>828</v>
      </c>
      <c r="B829" s="257">
        <f>YEAR(Table6[[#This Row],[Date]])+IF(MONTH(Table6[[#This Row],[Date]])&gt;=4,1,0)</f>
        <v>2026</v>
      </c>
      <c r="C829" s="102">
        <f>YEAR(Table6[[#This Row],[Date]])</f>
        <v>2025</v>
      </c>
      <c r="D829" s="102" t="s">
        <v>265</v>
      </c>
      <c r="E829" s="258">
        <f>Table6[[#This Row],[Date]]-DAY(Table6[[#This Row],[Date]])+1</f>
        <v>45778</v>
      </c>
      <c r="F829" s="259">
        <v>45800</v>
      </c>
      <c r="G829" s="35" t="s">
        <v>129</v>
      </c>
      <c r="H829" s="35" t="str">
        <f>IFERROR(_xlfn.XLOOKUP(Table6[[#This Row],[Affected WTG]],'Basic Data'!$A:$A,'Basic Data'!$B:$B),"")</f>
        <v>TQGXIIPL</v>
      </c>
      <c r="I829" s="35" t="str">
        <f>IFERROR(_xlfn.XLOOKUP(Table6[[#This Row],[Affected WTG]],'Basic Data'!$A:$A,'Basic Data'!$C:$C),"")</f>
        <v>GEDA</v>
      </c>
      <c r="J829" s="260">
        <f>IFERROR(_xlfn.XLOOKUP(Table6[[#This Row],[Affected WTG]],'Basic Data'!$A:$A,'Basic Data'!$E:$E),"")</f>
        <v>3.846153846153845E-2</v>
      </c>
      <c r="K829" s="102">
        <v>3532</v>
      </c>
      <c r="L829" s="35" t="str">
        <f>IFERROR(_xlfn.XLOOKUP(Table6[[#This Row],[Error Code]],'Basic Data'!$AA:$AA,'Basic Data'!$AB:$AB),"Incorrect Error Code")</f>
        <v>Min. voltage cut in</v>
      </c>
      <c r="M829" s="35" t="s">
        <v>278</v>
      </c>
      <c r="N829" s="264"/>
      <c r="O829" s="265">
        <v>0.29930555555555555</v>
      </c>
      <c r="P829" s="265">
        <v>0.29930555555555555</v>
      </c>
      <c r="Q829" s="266">
        <v>0.3</v>
      </c>
      <c r="R829" s="261">
        <f>IF(Table6[[#This Row],[Work Start TimeStamp]]="","",(Table6[[#This Row],[Work Start TimeStamp]]-Table6[[#This Row],[Fault Start TimeStamp]])*24)</f>
        <v>0</v>
      </c>
      <c r="S829" s="261">
        <f>(Table6[[#This Row],[Fault Clearance time]]-Table6[[#This Row],[Work Start TimeStamp]])*24</f>
        <v>1.6666666666666607E-2</v>
      </c>
      <c r="T829" s="261">
        <f>(Table6[[#This Row],[Fault Clearance time]]-Table6[[#This Row],[Fault Start TimeStamp]])*24</f>
        <v>1.6666666666666607E-2</v>
      </c>
      <c r="U829" s="35" t="s">
        <v>293</v>
      </c>
      <c r="V829" s="102" t="s">
        <v>268</v>
      </c>
      <c r="W829" s="267">
        <f>IFERROR(Table6[[#This Row],[Breakdown Time]]*Table6[[#This Row],[Plant Equivalent Weightage]],"")</f>
        <v>6.4102564102563853E-4</v>
      </c>
      <c r="X829" s="262" t="s">
        <v>269</v>
      </c>
      <c r="Y829" s="263" t="s">
        <v>124</v>
      </c>
      <c r="Z829" s="102">
        <v>12638</v>
      </c>
      <c r="AA829" s="257">
        <f>(Table6[[#This Row],[Paired WTG Generation for loss calculation]]/24)*Table6[[#This Row],[Breakdown Time]]</f>
        <v>8.7763888888888584</v>
      </c>
      <c r="AB829" s="102"/>
      <c r="AC829" s="35"/>
      <c r="AD829" s="35"/>
    </row>
    <row r="830" spans="1:30">
      <c r="A830" s="102">
        <f t="shared" si="13"/>
        <v>829</v>
      </c>
      <c r="B830" s="257">
        <f>YEAR(Table6[[#This Row],[Date]])+IF(MONTH(Table6[[#This Row],[Date]])&gt;=4,1,0)</f>
        <v>2026</v>
      </c>
      <c r="C830" s="102">
        <f>YEAR(Table6[[#This Row],[Date]])</f>
        <v>2025</v>
      </c>
      <c r="D830" s="102" t="s">
        <v>265</v>
      </c>
      <c r="E830" s="258">
        <f>Table6[[#This Row],[Date]]-DAY(Table6[[#This Row],[Date]])+1</f>
        <v>45778</v>
      </c>
      <c r="F830" s="259">
        <v>45800</v>
      </c>
      <c r="G830" s="35" t="s">
        <v>130</v>
      </c>
      <c r="H830" s="35" t="str">
        <f>IFERROR(_xlfn.XLOOKUP(Table6[[#This Row],[Affected WTG]],'Basic Data'!$A:$A,'Basic Data'!$B:$B),"")</f>
        <v>TQGXIIPL</v>
      </c>
      <c r="I830" s="35" t="str">
        <f>IFERROR(_xlfn.XLOOKUP(Table6[[#This Row],[Affected WTG]],'Basic Data'!$A:$A,'Basic Data'!$C:$C),"")</f>
        <v>GEDA</v>
      </c>
      <c r="J830" s="260">
        <f>IFERROR(_xlfn.XLOOKUP(Table6[[#This Row],[Affected WTG]],'Basic Data'!$A:$A,'Basic Data'!$E:$E),"")</f>
        <v>3.846153846153845E-2</v>
      </c>
      <c r="K830" s="102">
        <v>4960</v>
      </c>
      <c r="L830" s="35" t="str">
        <f>IFERROR(_xlfn.XLOOKUP(Table6[[#This Row],[Error Code]],'Basic Data'!$AA:$AA,'Basic Data'!$AB:$AB),"Incorrect Error Code")</f>
        <v>Tower oscillation YF</v>
      </c>
      <c r="M830" s="35" t="s">
        <v>266</v>
      </c>
      <c r="N830" s="264"/>
      <c r="O830" s="265">
        <v>0.8208333333333333</v>
      </c>
      <c r="P830" s="265">
        <v>0.8208333333333333</v>
      </c>
      <c r="Q830" s="266">
        <v>0.82361111111111107</v>
      </c>
      <c r="R830" s="261">
        <f>IF(Table6[[#This Row],[Work Start TimeStamp]]="","",(Table6[[#This Row],[Work Start TimeStamp]]-Table6[[#This Row],[Fault Start TimeStamp]])*24)</f>
        <v>0</v>
      </c>
      <c r="S830" s="261">
        <f>(Table6[[#This Row],[Fault Clearance time]]-Table6[[#This Row],[Work Start TimeStamp]])*24</f>
        <v>6.666666666666643E-2</v>
      </c>
      <c r="T830" s="261">
        <f>(Table6[[#This Row],[Fault Clearance time]]-Table6[[#This Row],[Fault Start TimeStamp]])*24</f>
        <v>6.666666666666643E-2</v>
      </c>
      <c r="U830" s="35" t="s">
        <v>447</v>
      </c>
      <c r="V830" s="102" t="s">
        <v>268</v>
      </c>
      <c r="W830" s="267">
        <f>IFERROR(Table6[[#This Row],[Breakdown Time]]*Table6[[#This Row],[Plant Equivalent Weightage]],"")</f>
        <v>2.5641025641025541E-3</v>
      </c>
      <c r="X830" s="262" t="s">
        <v>269</v>
      </c>
      <c r="Y830" s="263" t="s">
        <v>135</v>
      </c>
      <c r="Z830" s="102">
        <v>12398</v>
      </c>
      <c r="AA830" s="257">
        <f>(Table6[[#This Row],[Paired WTG Generation for loss calculation]]/24)*Table6[[#This Row],[Breakdown Time]]</f>
        <v>34.438888888888769</v>
      </c>
      <c r="AB830" s="102"/>
      <c r="AC830" s="35"/>
      <c r="AD830" s="35"/>
    </row>
    <row r="831" spans="1:30">
      <c r="A831" s="102">
        <f t="shared" si="13"/>
        <v>830</v>
      </c>
      <c r="B831" s="257">
        <f>YEAR(Table6[[#This Row],[Date]])+IF(MONTH(Table6[[#This Row],[Date]])&gt;=4,1,0)</f>
        <v>2026</v>
      </c>
      <c r="C831" s="102">
        <f>YEAR(Table6[[#This Row],[Date]])</f>
        <v>2025</v>
      </c>
      <c r="D831" s="102" t="s">
        <v>265</v>
      </c>
      <c r="E831" s="258">
        <f>Table6[[#This Row],[Date]]-DAY(Table6[[#This Row],[Date]])+1</f>
        <v>45778</v>
      </c>
      <c r="F831" s="259">
        <v>45800</v>
      </c>
      <c r="G831" s="35" t="s">
        <v>131</v>
      </c>
      <c r="H831" s="35" t="str">
        <f>IFERROR(_xlfn.XLOOKUP(Table6[[#This Row],[Affected WTG]],'Basic Data'!$A:$A,'Basic Data'!$B:$B),"")</f>
        <v>TQGXIIPL</v>
      </c>
      <c r="I831" s="35" t="str">
        <f>IFERROR(_xlfn.XLOOKUP(Table6[[#This Row],[Affected WTG]],'Basic Data'!$A:$A,'Basic Data'!$C:$C),"")</f>
        <v>GEDA</v>
      </c>
      <c r="J831" s="260">
        <f>IFERROR(_xlfn.XLOOKUP(Table6[[#This Row],[Affected WTG]],'Basic Data'!$A:$A,'Basic Data'!$E:$E),"")</f>
        <v>3.846153846153845E-2</v>
      </c>
      <c r="K831" s="102">
        <v>3110</v>
      </c>
      <c r="L831" s="35" t="str">
        <f>IFERROR(_xlfn.XLOOKUP(Table6[[#This Row],[Error Code]],'Basic Data'!$AA:$AA,'Basic Data'!$AB:$AB),"Incorrect Error Code")</f>
        <v>Frequency converter error</v>
      </c>
      <c r="M831" s="35" t="s">
        <v>266</v>
      </c>
      <c r="N831" s="264"/>
      <c r="O831" s="265">
        <v>0.84652777777777777</v>
      </c>
      <c r="P831" s="265">
        <v>0.84652777777777777</v>
      </c>
      <c r="Q831" s="266">
        <v>0.84791666666666665</v>
      </c>
      <c r="R831" s="261">
        <f>IF(Table6[[#This Row],[Work Start TimeStamp]]="","",(Table6[[#This Row],[Work Start TimeStamp]]-Table6[[#This Row],[Fault Start TimeStamp]])*24)</f>
        <v>0</v>
      </c>
      <c r="S831" s="261">
        <f>(Table6[[#This Row],[Fault Clearance time]]-Table6[[#This Row],[Work Start TimeStamp]])*24</f>
        <v>3.3333333333333215E-2</v>
      </c>
      <c r="T831" s="261">
        <f>(Table6[[#This Row],[Fault Clearance time]]-Table6[[#This Row],[Fault Start TimeStamp]])*24</f>
        <v>3.3333333333333215E-2</v>
      </c>
      <c r="U831" s="35" t="s">
        <v>447</v>
      </c>
      <c r="V831" s="102" t="s">
        <v>268</v>
      </c>
      <c r="W831" s="267">
        <f>IFERROR(Table6[[#This Row],[Breakdown Time]]*Table6[[#This Row],[Plant Equivalent Weightage]],"")</f>
        <v>1.2820512820512771E-3</v>
      </c>
      <c r="X831" s="262" t="s">
        <v>269</v>
      </c>
      <c r="Y831" s="263" t="s">
        <v>136</v>
      </c>
      <c r="Z831" s="102">
        <v>14801</v>
      </c>
      <c r="AA831" s="257">
        <f>(Table6[[#This Row],[Paired WTG Generation for loss calculation]]/24)*Table6[[#This Row],[Breakdown Time]]</f>
        <v>20.556944444444373</v>
      </c>
      <c r="AB831" s="102"/>
      <c r="AC831" s="35"/>
      <c r="AD831" s="35"/>
    </row>
    <row r="832" spans="1:30">
      <c r="A832" s="102">
        <f t="shared" si="13"/>
        <v>831</v>
      </c>
      <c r="B832" s="257">
        <f>YEAR(Table6[[#This Row],[Date]])+IF(MONTH(Table6[[#This Row],[Date]])&gt;=4,1,0)</f>
        <v>2026</v>
      </c>
      <c r="C832" s="102">
        <f>YEAR(Table6[[#This Row],[Date]])</f>
        <v>2025</v>
      </c>
      <c r="D832" s="102" t="s">
        <v>265</v>
      </c>
      <c r="E832" s="258">
        <f>Table6[[#This Row],[Date]]-DAY(Table6[[#This Row],[Date]])+1</f>
        <v>45778</v>
      </c>
      <c r="F832" s="259">
        <v>45800</v>
      </c>
      <c r="G832" s="35" t="s">
        <v>132</v>
      </c>
      <c r="H832" s="35" t="str">
        <f>IFERROR(_xlfn.XLOOKUP(Table6[[#This Row],[Affected WTG]],'Basic Data'!$A:$A,'Basic Data'!$B:$B),"")</f>
        <v>TQGXIIPL</v>
      </c>
      <c r="I832" s="35" t="str">
        <f>IFERROR(_xlfn.XLOOKUP(Table6[[#This Row],[Affected WTG]],'Basic Data'!$A:$A,'Basic Data'!$C:$C),"")</f>
        <v>GEDA</v>
      </c>
      <c r="J832" s="260">
        <f>IFERROR(_xlfn.XLOOKUP(Table6[[#This Row],[Affected WTG]],'Basic Data'!$A:$A,'Basic Data'!$E:$E),"")</f>
        <v>3.846153846153845E-2</v>
      </c>
      <c r="K832" s="102">
        <v>58</v>
      </c>
      <c r="L832" s="35" t="str">
        <f>IFERROR(_xlfn.XLOOKUP(Table6[[#This Row],[Error Code]],'Basic Data'!$AA:$AA,'Basic Data'!$AB:$AB),"Incorrect Error Code")</f>
        <v>Wind dir.dev. level 2</v>
      </c>
      <c r="M832" s="35" t="s">
        <v>278</v>
      </c>
      <c r="N832" s="264"/>
      <c r="O832" s="265">
        <v>0.71388888888888891</v>
      </c>
      <c r="P832" s="265">
        <v>0.71388888888888891</v>
      </c>
      <c r="Q832" s="266">
        <v>0.71527777777777779</v>
      </c>
      <c r="R832" s="261">
        <f>IF(Table6[[#This Row],[Work Start TimeStamp]]="","",(Table6[[#This Row],[Work Start TimeStamp]]-Table6[[#This Row],[Fault Start TimeStamp]])*24)</f>
        <v>0</v>
      </c>
      <c r="S832" s="261">
        <f>(Table6[[#This Row],[Fault Clearance time]]-Table6[[#This Row],[Work Start TimeStamp]])*24</f>
        <v>3.3333333333333215E-2</v>
      </c>
      <c r="T832" s="261">
        <f>(Table6[[#This Row],[Fault Clearance time]]-Table6[[#This Row],[Fault Start TimeStamp]])*24</f>
        <v>3.3333333333333215E-2</v>
      </c>
      <c r="U832" s="35" t="s">
        <v>293</v>
      </c>
      <c r="V832" s="102" t="s">
        <v>268</v>
      </c>
      <c r="W832" s="267">
        <f>IFERROR(Table6[[#This Row],[Breakdown Time]]*Table6[[#This Row],[Plant Equivalent Weightage]],"")</f>
        <v>1.2820512820512771E-3</v>
      </c>
      <c r="X832" s="262" t="s">
        <v>269</v>
      </c>
      <c r="Y832" s="263" t="s">
        <v>120</v>
      </c>
      <c r="Z832" s="102">
        <v>14664</v>
      </c>
      <c r="AA832" s="257">
        <f>(Table6[[#This Row],[Paired WTG Generation for loss calculation]]/24)*Table6[[#This Row],[Breakdown Time]]</f>
        <v>20.366666666666596</v>
      </c>
      <c r="AB832" s="102"/>
      <c r="AC832" s="35"/>
      <c r="AD832" s="35"/>
    </row>
    <row r="833" spans="1:30">
      <c r="A833" s="102">
        <f t="shared" si="13"/>
        <v>832</v>
      </c>
      <c r="B833" s="257">
        <f>YEAR(Table6[[#This Row],[Date]])+IF(MONTH(Table6[[#This Row],[Date]])&gt;=4,1,0)</f>
        <v>2026</v>
      </c>
      <c r="C833" s="102">
        <f>YEAR(Table6[[#This Row],[Date]])</f>
        <v>2025</v>
      </c>
      <c r="D833" s="102" t="s">
        <v>265</v>
      </c>
      <c r="E833" s="258">
        <f>Table6[[#This Row],[Date]]-DAY(Table6[[#This Row],[Date]])+1</f>
        <v>45778</v>
      </c>
      <c r="F833" s="259">
        <v>45800</v>
      </c>
      <c r="G833" s="35" t="s">
        <v>133</v>
      </c>
      <c r="H833" s="35" t="str">
        <f>IFERROR(_xlfn.XLOOKUP(Table6[[#This Row],[Affected WTG]],'Basic Data'!$A:$A,'Basic Data'!$B:$B),"")</f>
        <v>TQGXIIPL</v>
      </c>
      <c r="I833" s="35" t="str">
        <f>IFERROR(_xlfn.XLOOKUP(Table6[[#This Row],[Affected WTG]],'Basic Data'!$A:$A,'Basic Data'!$C:$C),"")</f>
        <v>GEDA</v>
      </c>
      <c r="J833" s="260">
        <f>IFERROR(_xlfn.XLOOKUP(Table6[[#This Row],[Affected WTG]],'Basic Data'!$A:$A,'Basic Data'!$E:$E),"")</f>
        <v>3.846153846153845E-2</v>
      </c>
      <c r="K833" s="102">
        <v>4960</v>
      </c>
      <c r="L833" s="35" t="str">
        <f>IFERROR(_xlfn.XLOOKUP(Table6[[#This Row],[Error Code]],'Basic Data'!$AA:$AA,'Basic Data'!$AB:$AB),"Incorrect Error Code")</f>
        <v>Tower oscillation YF</v>
      </c>
      <c r="M833" s="35" t="s">
        <v>278</v>
      </c>
      <c r="N833" s="264"/>
      <c r="O833" s="265">
        <v>0.82430555555555551</v>
      </c>
      <c r="P833" s="265">
        <v>0.82430555555555551</v>
      </c>
      <c r="Q833" s="266">
        <v>0.82638888888888884</v>
      </c>
      <c r="R833" s="261">
        <f>IF(Table6[[#This Row],[Work Start TimeStamp]]="","",(Table6[[#This Row],[Work Start TimeStamp]]-Table6[[#This Row],[Fault Start TimeStamp]])*24)</f>
        <v>0</v>
      </c>
      <c r="S833" s="261">
        <f>(Table6[[#This Row],[Fault Clearance time]]-Table6[[#This Row],[Work Start TimeStamp]])*24</f>
        <v>4.9999999999999822E-2</v>
      </c>
      <c r="T833" s="261">
        <f>(Table6[[#This Row],[Fault Clearance time]]-Table6[[#This Row],[Fault Start TimeStamp]])*24</f>
        <v>4.9999999999999822E-2</v>
      </c>
      <c r="U833" s="35" t="s">
        <v>293</v>
      </c>
      <c r="V833" s="102" t="s">
        <v>268</v>
      </c>
      <c r="W833" s="267">
        <f>IFERROR(Table6[[#This Row],[Breakdown Time]]*Table6[[#This Row],[Plant Equivalent Weightage]],"")</f>
        <v>1.9230769230769156E-3</v>
      </c>
      <c r="X833" s="262" t="s">
        <v>269</v>
      </c>
      <c r="Y833" s="263" t="s">
        <v>121</v>
      </c>
      <c r="Z833" s="102">
        <v>12284</v>
      </c>
      <c r="AA833" s="257">
        <f>(Table6[[#This Row],[Paired WTG Generation for loss calculation]]/24)*Table6[[#This Row],[Breakdown Time]]</f>
        <v>25.591666666666576</v>
      </c>
      <c r="AB833" s="102"/>
      <c r="AC833" s="35"/>
      <c r="AD833" s="35"/>
    </row>
    <row r="834" spans="1:30">
      <c r="A834" s="102">
        <f t="shared" si="13"/>
        <v>833</v>
      </c>
      <c r="B834" s="257">
        <f>YEAR(Table6[[#This Row],[Date]])+IF(MONTH(Table6[[#This Row],[Date]])&gt;=4,1,0)</f>
        <v>2026</v>
      </c>
      <c r="C834" s="102">
        <f>YEAR(Table6[[#This Row],[Date]])</f>
        <v>2025</v>
      </c>
      <c r="D834" s="102" t="s">
        <v>265</v>
      </c>
      <c r="E834" s="258">
        <f>Table6[[#This Row],[Date]]-DAY(Table6[[#This Row],[Date]])+1</f>
        <v>45778</v>
      </c>
      <c r="F834" s="259">
        <v>45800</v>
      </c>
      <c r="G834" s="35" t="s">
        <v>136</v>
      </c>
      <c r="H834" s="35" t="str">
        <f>IFERROR(_xlfn.XLOOKUP(Table6[[#This Row],[Affected WTG]],'Basic Data'!$A:$A,'Basic Data'!$B:$B),"")</f>
        <v>TQGXIIPL</v>
      </c>
      <c r="I834" s="35" t="str">
        <f>IFERROR(_xlfn.XLOOKUP(Table6[[#This Row],[Affected WTG]],'Basic Data'!$A:$A,'Basic Data'!$C:$C),"")</f>
        <v>GEDA</v>
      </c>
      <c r="J834" s="260">
        <f>IFERROR(_xlfn.XLOOKUP(Table6[[#This Row],[Affected WTG]],'Basic Data'!$A:$A,'Basic Data'!$E:$E),"")</f>
        <v>3.846153846153845E-2</v>
      </c>
      <c r="K834" s="102">
        <v>3110</v>
      </c>
      <c r="L834" s="35" t="str">
        <f>IFERROR(_xlfn.XLOOKUP(Table6[[#This Row],[Error Code]],'Basic Data'!$AA:$AA,'Basic Data'!$AB:$AB),"Incorrect Error Code")</f>
        <v>Frequency converter error</v>
      </c>
      <c r="M834" s="35" t="s">
        <v>266</v>
      </c>
      <c r="N834" s="264"/>
      <c r="O834" s="265">
        <v>0.73055555555555551</v>
      </c>
      <c r="P834" s="265">
        <v>0.73055555555555551</v>
      </c>
      <c r="Q834" s="266">
        <v>0.7319444444444444</v>
      </c>
      <c r="R834" s="261">
        <f>IF(Table6[[#This Row],[Work Start TimeStamp]]="","",(Table6[[#This Row],[Work Start TimeStamp]]-Table6[[#This Row],[Fault Start TimeStamp]])*24)</f>
        <v>0</v>
      </c>
      <c r="S834" s="261">
        <f>(Table6[[#This Row],[Fault Clearance time]]-Table6[[#This Row],[Work Start TimeStamp]])*24</f>
        <v>3.3333333333333215E-2</v>
      </c>
      <c r="T834" s="261">
        <f>(Table6[[#This Row],[Fault Clearance time]]-Table6[[#This Row],[Fault Start TimeStamp]])*24</f>
        <v>3.3333333333333215E-2</v>
      </c>
      <c r="U834" s="35" t="s">
        <v>447</v>
      </c>
      <c r="V834" s="102" t="s">
        <v>268</v>
      </c>
      <c r="W834" s="267">
        <f>IFERROR(Table6[[#This Row],[Breakdown Time]]*Table6[[#This Row],[Plant Equivalent Weightage]],"")</f>
        <v>1.2820512820512771E-3</v>
      </c>
      <c r="X834" s="262" t="s">
        <v>269</v>
      </c>
      <c r="Y834" s="263" t="s">
        <v>120</v>
      </c>
      <c r="Z834" s="102">
        <v>14664</v>
      </c>
      <c r="AA834" s="257">
        <f>(Table6[[#This Row],[Paired WTG Generation for loss calculation]]/24)*Table6[[#This Row],[Breakdown Time]]</f>
        <v>20.366666666666596</v>
      </c>
      <c r="AB834" s="102"/>
      <c r="AC834" s="35"/>
      <c r="AD834" s="35"/>
    </row>
    <row r="835" spans="1:30">
      <c r="A835" s="102">
        <f t="shared" si="13"/>
        <v>834</v>
      </c>
      <c r="B835" s="257">
        <f>YEAR(Table6[[#This Row],[Date]])+IF(MONTH(Table6[[#This Row],[Date]])&gt;=4,1,0)</f>
        <v>2026</v>
      </c>
      <c r="C835" s="102">
        <f>YEAR(Table6[[#This Row],[Date]])</f>
        <v>2025</v>
      </c>
      <c r="D835" s="102" t="s">
        <v>265</v>
      </c>
      <c r="E835" s="258">
        <f>Table6[[#This Row],[Date]]-DAY(Table6[[#This Row],[Date]])+1</f>
        <v>45778</v>
      </c>
      <c r="F835" s="259">
        <v>45800</v>
      </c>
      <c r="G835" s="35" t="s">
        <v>139</v>
      </c>
      <c r="H835" s="35" t="str">
        <f>IFERROR(_xlfn.XLOOKUP(Table6[[#This Row],[Affected WTG]],'Basic Data'!$A:$A,'Basic Data'!$B:$B),"")</f>
        <v>TQGXIIPL</v>
      </c>
      <c r="I835" s="35" t="str">
        <f>IFERROR(_xlfn.XLOOKUP(Table6[[#This Row],[Affected WTG]],'Basic Data'!$A:$A,'Basic Data'!$C:$C),"")</f>
        <v>GEDA</v>
      </c>
      <c r="J835" s="260">
        <f>IFERROR(_xlfn.XLOOKUP(Table6[[#This Row],[Affected WTG]],'Basic Data'!$A:$A,'Basic Data'!$E:$E),"")</f>
        <v>3.846153846153845E-2</v>
      </c>
      <c r="K835" s="102">
        <v>55</v>
      </c>
      <c r="L835" s="35" t="str">
        <f>IFERROR(_xlfn.XLOOKUP(Table6[[#This Row],[Error Code]],'Basic Data'!$AA:$AA,'Basic Data'!$AB:$AB),"Incorrect Error Code")</f>
        <v>WTG shut down</v>
      </c>
      <c r="M835" s="35" t="s">
        <v>300</v>
      </c>
      <c r="N835" s="264"/>
      <c r="O835" s="265">
        <v>0.73541666666666672</v>
      </c>
      <c r="P835" s="265">
        <v>0.73541666666666672</v>
      </c>
      <c r="Q835" s="266">
        <v>0.74791666666666667</v>
      </c>
      <c r="R835" s="261">
        <f>IF(Table6[[#This Row],[Work Start TimeStamp]]="","",(Table6[[#This Row],[Work Start TimeStamp]]-Table6[[#This Row],[Fault Start TimeStamp]])*24)</f>
        <v>0</v>
      </c>
      <c r="S835" s="261">
        <f>(Table6[[#This Row],[Fault Clearance time]]-Table6[[#This Row],[Work Start TimeStamp]])*24</f>
        <v>0.29999999999999893</v>
      </c>
      <c r="T835" s="261">
        <f>(Table6[[#This Row],[Fault Clearance time]]-Table6[[#This Row],[Fault Start TimeStamp]])*24</f>
        <v>0.29999999999999893</v>
      </c>
      <c r="U835" s="35" t="s">
        <v>385</v>
      </c>
      <c r="V835" s="102" t="s">
        <v>268</v>
      </c>
      <c r="W835" s="267">
        <f>IFERROR(Table6[[#This Row],[Breakdown Time]]*Table6[[#This Row],[Plant Equivalent Weightage]],"")</f>
        <v>1.1538461538461494E-2</v>
      </c>
      <c r="X835" s="262" t="s">
        <v>269</v>
      </c>
      <c r="Y835" s="263" t="s">
        <v>115</v>
      </c>
      <c r="Z835" s="102">
        <v>13668</v>
      </c>
      <c r="AA835" s="257">
        <f>(Table6[[#This Row],[Paired WTG Generation for loss calculation]]/24)*Table6[[#This Row],[Breakdown Time]]</f>
        <v>170.8499999999994</v>
      </c>
      <c r="AB835" s="102"/>
      <c r="AC835" s="35"/>
      <c r="AD835" s="35"/>
    </row>
    <row r="836" spans="1:30">
      <c r="A836" s="102">
        <f t="shared" si="13"/>
        <v>835</v>
      </c>
      <c r="B836" s="257">
        <f>YEAR(Table6[[#This Row],[Date]])+IF(MONTH(Table6[[#This Row],[Date]])&gt;=4,1,0)</f>
        <v>2026</v>
      </c>
      <c r="C836" s="102">
        <f>YEAR(Table6[[#This Row],[Date]])</f>
        <v>2025</v>
      </c>
      <c r="D836" s="102" t="s">
        <v>265</v>
      </c>
      <c r="E836" s="258">
        <f>Table6[[#This Row],[Date]]-DAY(Table6[[#This Row],[Date]])+1</f>
        <v>45778</v>
      </c>
      <c r="F836" s="259">
        <v>45800</v>
      </c>
      <c r="G836" s="35" t="s">
        <v>139</v>
      </c>
      <c r="H836" s="35" t="str">
        <f>IFERROR(_xlfn.XLOOKUP(Table6[[#This Row],[Affected WTG]],'Basic Data'!$A:$A,'Basic Data'!$B:$B),"")</f>
        <v>TQGXIIPL</v>
      </c>
      <c r="I836" s="35" t="str">
        <f>IFERROR(_xlfn.XLOOKUP(Table6[[#This Row],[Affected WTG]],'Basic Data'!$A:$A,'Basic Data'!$C:$C),"")</f>
        <v>GEDA</v>
      </c>
      <c r="J836" s="260">
        <f>IFERROR(_xlfn.XLOOKUP(Table6[[#This Row],[Affected WTG]],'Basic Data'!$A:$A,'Basic Data'!$E:$E),"")</f>
        <v>3.846153846153845E-2</v>
      </c>
      <c r="K836" s="102">
        <v>55</v>
      </c>
      <c r="L836" s="35" t="str">
        <f>IFERROR(_xlfn.XLOOKUP(Table6[[#This Row],[Error Code]],'Basic Data'!$AA:$AA,'Basic Data'!$AB:$AB),"Incorrect Error Code")</f>
        <v>WTG shut down</v>
      </c>
      <c r="M836" s="35" t="s">
        <v>300</v>
      </c>
      <c r="N836" s="264"/>
      <c r="O836" s="265">
        <v>0.80555555555555558</v>
      </c>
      <c r="P836" s="265">
        <v>0.80555555555555558</v>
      </c>
      <c r="Q836" s="266">
        <v>0.82222222222222219</v>
      </c>
      <c r="R836" s="261">
        <f>IF(Table6[[#This Row],[Work Start TimeStamp]]="","",(Table6[[#This Row],[Work Start TimeStamp]]-Table6[[#This Row],[Fault Start TimeStamp]])*24)</f>
        <v>0</v>
      </c>
      <c r="S836" s="261">
        <f>(Table6[[#This Row],[Fault Clearance time]]-Table6[[#This Row],[Work Start TimeStamp]])*24</f>
        <v>0.39999999999999858</v>
      </c>
      <c r="T836" s="261">
        <f>(Table6[[#This Row],[Fault Clearance time]]-Table6[[#This Row],[Fault Start TimeStamp]])*24</f>
        <v>0.39999999999999858</v>
      </c>
      <c r="U836" s="35" t="s">
        <v>385</v>
      </c>
      <c r="V836" s="102" t="s">
        <v>268</v>
      </c>
      <c r="W836" s="267">
        <f>IFERROR(Table6[[#This Row],[Breakdown Time]]*Table6[[#This Row],[Plant Equivalent Weightage]],"")</f>
        <v>1.5384615384615325E-2</v>
      </c>
      <c r="X836" s="262" t="s">
        <v>269</v>
      </c>
      <c r="Y836" s="263" t="s">
        <v>115</v>
      </c>
      <c r="Z836" s="102">
        <v>13668</v>
      </c>
      <c r="AA836" s="257">
        <f>(Table6[[#This Row],[Paired WTG Generation for loss calculation]]/24)*Table6[[#This Row],[Breakdown Time]]</f>
        <v>227.79999999999919</v>
      </c>
      <c r="AB836" s="102"/>
      <c r="AC836" s="35"/>
      <c r="AD836" s="35"/>
    </row>
    <row r="837" spans="1:30">
      <c r="A837" s="102">
        <f t="shared" si="13"/>
        <v>836</v>
      </c>
      <c r="B837" s="257">
        <f>YEAR(Table6[[#This Row],[Date]])+IF(MONTH(Table6[[#This Row],[Date]])&gt;=4,1,0)</f>
        <v>2026</v>
      </c>
      <c r="C837" s="102">
        <f>YEAR(Table6[[#This Row],[Date]])</f>
        <v>2025</v>
      </c>
      <c r="D837" s="102" t="s">
        <v>265</v>
      </c>
      <c r="E837" s="258">
        <f>Table6[[#This Row],[Date]]-DAY(Table6[[#This Row],[Date]])+1</f>
        <v>45778</v>
      </c>
      <c r="F837" s="259">
        <v>45801</v>
      </c>
      <c r="G837" s="35" t="s">
        <v>116</v>
      </c>
      <c r="H837" s="35" t="str">
        <f>IFERROR(_xlfn.XLOOKUP(Table6[[#This Row],[Affected WTG]],'Basic Data'!$A:$A,'Basic Data'!$B:$B),"")</f>
        <v>TQGXIIPL</v>
      </c>
      <c r="I837" s="35" t="str">
        <f>IFERROR(_xlfn.XLOOKUP(Table6[[#This Row],[Affected WTG]],'Basic Data'!$A:$A,'Basic Data'!$C:$C),"")</f>
        <v>GEDA</v>
      </c>
      <c r="J837" s="260">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266</v>
      </c>
      <c r="N837" s="264"/>
      <c r="O837" s="265">
        <v>0.76944444444444449</v>
      </c>
      <c r="P837" s="265">
        <v>0.76944444444444449</v>
      </c>
      <c r="Q837" s="266">
        <v>0.79722222222222228</v>
      </c>
      <c r="R837" s="261">
        <f>IF(Table6[[#This Row],[Work Start TimeStamp]]="","",(Table6[[#This Row],[Work Start TimeStamp]]-Table6[[#This Row],[Fault Start TimeStamp]])*24)</f>
        <v>0</v>
      </c>
      <c r="S837" s="261">
        <f>(Table6[[#This Row],[Fault Clearance time]]-Table6[[#This Row],[Work Start TimeStamp]])*24</f>
        <v>0.66666666666666696</v>
      </c>
      <c r="T837" s="261">
        <f>(Table6[[#This Row],[Fault Clearance time]]-Table6[[#This Row],[Fault Start TimeStamp]])*24</f>
        <v>0.66666666666666696</v>
      </c>
      <c r="U837" s="35" t="s">
        <v>465</v>
      </c>
      <c r="V837" s="102" t="s">
        <v>268</v>
      </c>
      <c r="W837" s="267">
        <f>IFERROR(Table6[[#This Row],[Breakdown Time]]*Table6[[#This Row],[Plant Equivalent Weightage]],"")</f>
        <v>2.5641025641025644E-2</v>
      </c>
      <c r="X837" s="262" t="s">
        <v>269</v>
      </c>
      <c r="Y837" s="263" t="s">
        <v>119</v>
      </c>
      <c r="Z837" s="102">
        <v>32935</v>
      </c>
      <c r="AA837" s="257">
        <f>(Table6[[#This Row],[Paired WTG Generation for loss calculation]]/24)*Table6[[#This Row],[Breakdown Time]]</f>
        <v>914.86111111111154</v>
      </c>
      <c r="AB837" s="102"/>
      <c r="AC837" s="35"/>
      <c r="AD837" s="35"/>
    </row>
    <row r="838" spans="1:30">
      <c r="A838" s="102">
        <f t="shared" si="13"/>
        <v>837</v>
      </c>
      <c r="B838" s="257">
        <f>YEAR(Table6[[#This Row],[Date]])+IF(MONTH(Table6[[#This Row],[Date]])&gt;=4,1,0)</f>
        <v>2026</v>
      </c>
      <c r="C838" s="102">
        <f>YEAR(Table6[[#This Row],[Date]])</f>
        <v>2025</v>
      </c>
      <c r="D838" s="102" t="s">
        <v>265</v>
      </c>
      <c r="E838" s="258">
        <f>Table6[[#This Row],[Date]]-DAY(Table6[[#This Row],[Date]])+1</f>
        <v>45778</v>
      </c>
      <c r="F838" s="259">
        <v>45801</v>
      </c>
      <c r="G838" s="35" t="s">
        <v>117</v>
      </c>
      <c r="H838" s="35" t="str">
        <f>IFERROR(_xlfn.XLOOKUP(Table6[[#This Row],[Affected WTG]],'Basic Data'!$A:$A,'Basic Data'!$B:$B),"")</f>
        <v>TQGXIIPL</v>
      </c>
      <c r="I838" s="35" t="str">
        <f>IFERROR(_xlfn.XLOOKUP(Table6[[#This Row],[Affected WTG]],'Basic Data'!$A:$A,'Basic Data'!$C:$C),"")</f>
        <v>GEDA</v>
      </c>
      <c r="J838" s="260">
        <f>IFERROR(_xlfn.XLOOKUP(Table6[[#This Row],[Affected WTG]],'Basic Data'!$A:$A,'Basic Data'!$E:$E),"")</f>
        <v>3.846153846153845E-2</v>
      </c>
      <c r="K838" s="102">
        <v>550</v>
      </c>
      <c r="L838" s="35" t="str">
        <f>IFERROR(_xlfn.XLOOKUP(Table6[[#This Row],[Error Code]],'Basic Data'!$AA:$AA,'Basic Data'!$AB:$AB),"Incorrect Error Code")</f>
        <v>Pitch current asymmetry</v>
      </c>
      <c r="M838" s="35" t="s">
        <v>266</v>
      </c>
      <c r="N838" s="264"/>
      <c r="O838" s="265">
        <v>0.44097222222222221</v>
      </c>
      <c r="P838" s="265">
        <v>0.44097222222222221</v>
      </c>
      <c r="Q838" s="266">
        <v>0.45277777777777778</v>
      </c>
      <c r="R838" s="261">
        <f>IF(Table6[[#This Row],[Work Start TimeStamp]]="","",(Table6[[#This Row],[Work Start TimeStamp]]-Table6[[#This Row],[Fault Start TimeStamp]])*24)</f>
        <v>0</v>
      </c>
      <c r="S838" s="261">
        <f>(Table6[[#This Row],[Fault Clearance time]]-Table6[[#This Row],[Work Start TimeStamp]])*24</f>
        <v>0.28333333333333366</v>
      </c>
      <c r="T838" s="261">
        <f>(Table6[[#This Row],[Fault Clearance time]]-Table6[[#This Row],[Fault Start TimeStamp]])*24</f>
        <v>0.28333333333333366</v>
      </c>
      <c r="U838" s="35" t="s">
        <v>464</v>
      </c>
      <c r="V838" s="102" t="s">
        <v>268</v>
      </c>
      <c r="W838" s="267">
        <f>IFERROR(Table6[[#This Row],[Breakdown Time]]*Table6[[#This Row],[Plant Equivalent Weightage]],"")</f>
        <v>1.0897435897435907E-2</v>
      </c>
      <c r="X838" s="262" t="s">
        <v>269</v>
      </c>
      <c r="Y838" s="263" t="s">
        <v>123</v>
      </c>
      <c r="Z838" s="102">
        <v>27378</v>
      </c>
      <c r="AA838" s="257">
        <f>(Table6[[#This Row],[Paired WTG Generation for loss calculation]]/24)*Table6[[#This Row],[Breakdown Time]]</f>
        <v>323.21250000000038</v>
      </c>
      <c r="AB838" s="102"/>
      <c r="AC838" s="35"/>
      <c r="AD838" s="35"/>
    </row>
    <row r="839" spans="1:30">
      <c r="A839" s="102">
        <f t="shared" si="13"/>
        <v>838</v>
      </c>
      <c r="B839" s="257">
        <f>YEAR(Table6[[#This Row],[Date]])+IF(MONTH(Table6[[#This Row],[Date]])&gt;=4,1,0)</f>
        <v>2026</v>
      </c>
      <c r="C839" s="102">
        <f>YEAR(Table6[[#This Row],[Date]])</f>
        <v>2025</v>
      </c>
      <c r="D839" s="102" t="s">
        <v>265</v>
      </c>
      <c r="E839" s="258">
        <f>Table6[[#This Row],[Date]]-DAY(Table6[[#This Row],[Date]])+1</f>
        <v>45778</v>
      </c>
      <c r="F839" s="259">
        <v>45801</v>
      </c>
      <c r="G839" s="35" t="s">
        <v>122</v>
      </c>
      <c r="H839" s="35" t="str">
        <f>IFERROR(_xlfn.XLOOKUP(Table6[[#This Row],[Affected WTG]],'Basic Data'!$A:$A,'Basic Data'!$B:$B),"")</f>
        <v>TQGXIIPL</v>
      </c>
      <c r="I839" s="35" t="str">
        <f>IFERROR(_xlfn.XLOOKUP(Table6[[#This Row],[Affected WTG]],'Basic Data'!$A:$A,'Basic Data'!$C:$C),"")</f>
        <v>GEDA</v>
      </c>
      <c r="J839" s="260">
        <f>IFERROR(_xlfn.XLOOKUP(Table6[[#This Row],[Affected WTG]],'Basic Data'!$A:$A,'Basic Data'!$E:$E),"")</f>
        <v>3.846153846153845E-2</v>
      </c>
      <c r="K839" s="102">
        <v>55</v>
      </c>
      <c r="L839" s="35" t="str">
        <f>IFERROR(_xlfn.XLOOKUP(Table6[[#This Row],[Error Code]],'Basic Data'!$AA:$AA,'Basic Data'!$AB:$AB),"Incorrect Error Code")</f>
        <v>WTG shut down</v>
      </c>
      <c r="M839" s="35" t="s">
        <v>300</v>
      </c>
      <c r="N839" s="264"/>
      <c r="O839" s="265">
        <v>0.80138888888888893</v>
      </c>
      <c r="P839" s="265">
        <v>0.80138888888888893</v>
      </c>
      <c r="Q839" s="266">
        <v>0.99998842592592596</v>
      </c>
      <c r="R839" s="261">
        <f>IF(Table6[[#This Row],[Work Start TimeStamp]]="","",(Table6[[#This Row],[Work Start TimeStamp]]-Table6[[#This Row],[Fault Start TimeStamp]])*24)</f>
        <v>0</v>
      </c>
      <c r="S839" s="261">
        <f>(Table6[[#This Row],[Fault Clearance time]]-Table6[[#This Row],[Work Start TimeStamp]])*24</f>
        <v>4.7663888888888888</v>
      </c>
      <c r="T839" s="261">
        <f>(Table6[[#This Row],[Fault Clearance time]]-Table6[[#This Row],[Fault Start TimeStamp]])*24</f>
        <v>4.7663888888888888</v>
      </c>
      <c r="U839" s="35" t="s">
        <v>385</v>
      </c>
      <c r="V839" s="102" t="s">
        <v>289</v>
      </c>
      <c r="W839" s="267">
        <f>IFERROR(Table6[[#This Row],[Breakdown Time]]*Table6[[#This Row],[Plant Equivalent Weightage]],"")</f>
        <v>0.18332264957264952</v>
      </c>
      <c r="X839" s="262" t="s">
        <v>269</v>
      </c>
      <c r="Y839" s="263" t="s">
        <v>140</v>
      </c>
      <c r="Z839" s="102">
        <v>25631</v>
      </c>
      <c r="AA839" s="257">
        <f>(Table6[[#This Row],[Paired WTG Generation for loss calculation]]/24)*Table6[[#This Row],[Breakdown Time]]</f>
        <v>5090.3047337962962</v>
      </c>
      <c r="AB839" s="102"/>
      <c r="AC839" s="35"/>
      <c r="AD839" s="35"/>
    </row>
    <row r="840" spans="1:30">
      <c r="A840" s="102">
        <f t="shared" si="13"/>
        <v>839</v>
      </c>
      <c r="B840" s="257">
        <f>YEAR(Table6[[#This Row],[Date]])+IF(MONTH(Table6[[#This Row],[Date]])&gt;=4,1,0)</f>
        <v>2026</v>
      </c>
      <c r="C840" s="102">
        <f>YEAR(Table6[[#This Row],[Date]])</f>
        <v>2025</v>
      </c>
      <c r="D840" s="102" t="s">
        <v>265</v>
      </c>
      <c r="E840" s="258">
        <f>Table6[[#This Row],[Date]]-DAY(Table6[[#This Row],[Date]])+1</f>
        <v>45778</v>
      </c>
      <c r="F840" s="259">
        <v>45801</v>
      </c>
      <c r="G840" s="35" t="s">
        <v>125</v>
      </c>
      <c r="H840" s="35" t="str">
        <f>IFERROR(_xlfn.XLOOKUP(Table6[[#This Row],[Affected WTG]],'Basic Data'!$A:$A,'Basic Data'!$B:$B),"")</f>
        <v>TQGXIIPL</v>
      </c>
      <c r="I840" s="35" t="str">
        <f>IFERROR(_xlfn.XLOOKUP(Table6[[#This Row],[Affected WTG]],'Basic Data'!$A:$A,'Basic Data'!$C:$C),"")</f>
        <v>GEDA</v>
      </c>
      <c r="J840" s="260">
        <f>IFERROR(_xlfn.XLOOKUP(Table6[[#This Row],[Affected WTG]],'Basic Data'!$A:$A,'Basic Data'!$E:$E),"")</f>
        <v>3.846153846153845E-2</v>
      </c>
      <c r="K840" s="102">
        <v>6130</v>
      </c>
      <c r="L840" s="35" t="str">
        <f>IFERROR(_xlfn.XLOOKUP(Table6[[#This Row],[Error Code]],'Basic Data'!$AA:$AA,'Basic Data'!$AB:$AB),"Incorrect Error Code")</f>
        <v>Yaw speed high</v>
      </c>
      <c r="M840" s="35" t="s">
        <v>278</v>
      </c>
      <c r="N840" s="264"/>
      <c r="O840" s="265">
        <v>0.62222222222222223</v>
      </c>
      <c r="P840" s="265">
        <v>0.62222222222222223</v>
      </c>
      <c r="Q840" s="266">
        <v>0.62569444444444444</v>
      </c>
      <c r="R840" s="261">
        <f>IF(Table6[[#This Row],[Work Start TimeStamp]]="","",(Table6[[#This Row],[Work Start TimeStamp]]-Table6[[#This Row],[Fault Start TimeStamp]])*24)</f>
        <v>0</v>
      </c>
      <c r="S840" s="261">
        <f>(Table6[[#This Row],[Fault Clearance time]]-Table6[[#This Row],[Work Start TimeStamp]])*24</f>
        <v>8.3333333333333037E-2</v>
      </c>
      <c r="T840" s="261">
        <f>(Table6[[#This Row],[Fault Clearance time]]-Table6[[#This Row],[Fault Start TimeStamp]])*24</f>
        <v>8.3333333333333037E-2</v>
      </c>
      <c r="U840" s="35" t="s">
        <v>293</v>
      </c>
      <c r="V840" s="102" t="s">
        <v>268</v>
      </c>
      <c r="W840" s="267">
        <f>IFERROR(Table6[[#This Row],[Breakdown Time]]*Table6[[#This Row],[Plant Equivalent Weightage]],"")</f>
        <v>3.2051282051281929E-3</v>
      </c>
      <c r="X840" s="262" t="s">
        <v>269</v>
      </c>
      <c r="Y840" s="263" t="s">
        <v>126</v>
      </c>
      <c r="Z840" s="102">
        <v>14646</v>
      </c>
      <c r="AA840" s="257">
        <f>(Table6[[#This Row],[Paired WTG Generation for loss calculation]]/24)*Table6[[#This Row],[Breakdown Time]]</f>
        <v>50.854166666666487</v>
      </c>
      <c r="AB840" s="102"/>
      <c r="AC840" s="35"/>
      <c r="AD840" s="35"/>
    </row>
    <row r="841" spans="1:30">
      <c r="A841" s="102">
        <f t="shared" si="13"/>
        <v>840</v>
      </c>
      <c r="B841" s="257">
        <f>YEAR(Table6[[#This Row],[Date]])+IF(MONTH(Table6[[#This Row],[Date]])&gt;=4,1,0)</f>
        <v>2026</v>
      </c>
      <c r="C841" s="102">
        <f>YEAR(Table6[[#This Row],[Date]])</f>
        <v>2025</v>
      </c>
      <c r="D841" s="102" t="s">
        <v>265</v>
      </c>
      <c r="E841" s="258">
        <f>Table6[[#This Row],[Date]]-DAY(Table6[[#This Row],[Date]])+1</f>
        <v>45778</v>
      </c>
      <c r="F841" s="259">
        <v>45801</v>
      </c>
      <c r="G841" s="35" t="s">
        <v>126</v>
      </c>
      <c r="H841" s="35" t="str">
        <f>IFERROR(_xlfn.XLOOKUP(Table6[[#This Row],[Affected WTG]],'Basic Data'!$A:$A,'Basic Data'!$B:$B),"")</f>
        <v>TQGXIIPL</v>
      </c>
      <c r="I841" s="35" t="str">
        <f>IFERROR(_xlfn.XLOOKUP(Table6[[#This Row],[Affected WTG]],'Basic Data'!$A:$A,'Basic Data'!$C:$C),"")</f>
        <v>GEDA</v>
      </c>
      <c r="J841" s="260">
        <f>IFERROR(_xlfn.XLOOKUP(Table6[[#This Row],[Affected WTG]],'Basic Data'!$A:$A,'Basic Data'!$E:$E),"")</f>
        <v>3.846153846153845E-2</v>
      </c>
      <c r="K841" s="102">
        <v>3110</v>
      </c>
      <c r="L841" s="35" t="str">
        <f>IFERROR(_xlfn.XLOOKUP(Table6[[#This Row],[Error Code]],'Basic Data'!$AA:$AA,'Basic Data'!$AB:$AB),"Incorrect Error Code")</f>
        <v>Frequency converter error</v>
      </c>
      <c r="M841" s="35" t="s">
        <v>266</v>
      </c>
      <c r="N841" s="264"/>
      <c r="O841" s="265">
        <v>0.78194444444444444</v>
      </c>
      <c r="P841" s="265">
        <v>0.78194444444444444</v>
      </c>
      <c r="Q841" s="266">
        <v>0.8041666666666667</v>
      </c>
      <c r="R841" s="261">
        <f>IF(Table6[[#This Row],[Work Start TimeStamp]]="","",(Table6[[#This Row],[Work Start TimeStamp]]-Table6[[#This Row],[Fault Start TimeStamp]])*24)</f>
        <v>0</v>
      </c>
      <c r="S841" s="261">
        <f>(Table6[[#This Row],[Fault Clearance time]]-Table6[[#This Row],[Work Start TimeStamp]])*24</f>
        <v>0.5333333333333341</v>
      </c>
      <c r="T841" s="261">
        <f>(Table6[[#This Row],[Fault Clearance time]]-Table6[[#This Row],[Fault Start TimeStamp]])*24</f>
        <v>0.5333333333333341</v>
      </c>
      <c r="U841" s="35" t="s">
        <v>467</v>
      </c>
      <c r="V841" s="102" t="s">
        <v>268</v>
      </c>
      <c r="W841" s="267">
        <f>IFERROR(Table6[[#This Row],[Breakdown Time]]*Table6[[#This Row],[Plant Equivalent Weightage]],"")</f>
        <v>2.0512820512820537E-2</v>
      </c>
      <c r="X841" s="262" t="s">
        <v>296</v>
      </c>
      <c r="Y841" s="263" t="s">
        <v>128</v>
      </c>
      <c r="Z841" s="102">
        <v>28337</v>
      </c>
      <c r="AA841" s="257">
        <f>(Table6[[#This Row],[Paired WTG Generation for loss calculation]]/24)*Table6[[#This Row],[Breakdown Time]]</f>
        <v>629.71111111111202</v>
      </c>
      <c r="AB841" s="102"/>
      <c r="AC841" s="35"/>
      <c r="AD841" s="35"/>
    </row>
    <row r="842" spans="1:30">
      <c r="A842" s="102">
        <f t="shared" si="13"/>
        <v>841</v>
      </c>
      <c r="B842" s="257">
        <f>YEAR(Table6[[#This Row],[Date]])+IF(MONTH(Table6[[#This Row],[Date]])&gt;=4,1,0)</f>
        <v>2026</v>
      </c>
      <c r="C842" s="102">
        <f>YEAR(Table6[[#This Row],[Date]])</f>
        <v>2025</v>
      </c>
      <c r="D842" s="102" t="s">
        <v>265</v>
      </c>
      <c r="E842" s="258">
        <f>Table6[[#This Row],[Date]]-DAY(Table6[[#This Row],[Date]])+1</f>
        <v>45778</v>
      </c>
      <c r="F842" s="259">
        <v>45801</v>
      </c>
      <c r="G842" s="35" t="s">
        <v>126</v>
      </c>
      <c r="H842" s="35" t="str">
        <f>IFERROR(_xlfn.XLOOKUP(Table6[[#This Row],[Affected WTG]],'Basic Data'!$A:$A,'Basic Data'!$B:$B),"")</f>
        <v>TQGXIIPL</v>
      </c>
      <c r="I842" s="35" t="str">
        <f>IFERROR(_xlfn.XLOOKUP(Table6[[#This Row],[Affected WTG]],'Basic Data'!$A:$A,'Basic Data'!$C:$C),"")</f>
        <v>GEDA</v>
      </c>
      <c r="J842" s="260">
        <f>IFERROR(_xlfn.XLOOKUP(Table6[[#This Row],[Affected WTG]],'Basic Data'!$A:$A,'Basic Data'!$E:$E),"")</f>
        <v>3.846153846153845E-2</v>
      </c>
      <c r="K842" s="102">
        <v>55</v>
      </c>
      <c r="L842" s="35" t="str">
        <f>IFERROR(_xlfn.XLOOKUP(Table6[[#This Row],[Error Code]],'Basic Data'!$AA:$AA,'Basic Data'!$AB:$AB),"Incorrect Error Code")</f>
        <v>WTG shut down</v>
      </c>
      <c r="M842" s="35" t="s">
        <v>300</v>
      </c>
      <c r="N842" s="264"/>
      <c r="O842" s="265">
        <v>0.80763888888888891</v>
      </c>
      <c r="P842" s="265">
        <v>0.80763888888888891</v>
      </c>
      <c r="Q842" s="266">
        <v>0.93541666666666667</v>
      </c>
      <c r="R842" s="261">
        <f>IF(Table6[[#This Row],[Work Start TimeStamp]]="","",(Table6[[#This Row],[Work Start TimeStamp]]-Table6[[#This Row],[Fault Start TimeStamp]])*24)</f>
        <v>0</v>
      </c>
      <c r="S842" s="261">
        <f>(Table6[[#This Row],[Fault Clearance time]]-Table6[[#This Row],[Work Start TimeStamp]])*24</f>
        <v>3.0666666666666664</v>
      </c>
      <c r="T842" s="261">
        <f>(Table6[[#This Row],[Fault Clearance time]]-Table6[[#This Row],[Fault Start TimeStamp]])*24</f>
        <v>3.0666666666666664</v>
      </c>
      <c r="U842" s="35" t="s">
        <v>385</v>
      </c>
      <c r="V842" s="102" t="s">
        <v>268</v>
      </c>
      <c r="W842" s="267">
        <f>IFERROR(Table6[[#This Row],[Breakdown Time]]*Table6[[#This Row],[Plant Equivalent Weightage]],"")</f>
        <v>0.1179487179487179</v>
      </c>
      <c r="X842" s="262" t="s">
        <v>269</v>
      </c>
      <c r="Y842" s="263" t="s">
        <v>128</v>
      </c>
      <c r="Z842" s="102">
        <v>28337</v>
      </c>
      <c r="AA842" s="257">
        <f>(Table6[[#This Row],[Paired WTG Generation for loss calculation]]/24)*Table6[[#This Row],[Breakdown Time]]</f>
        <v>3620.8388888888885</v>
      </c>
      <c r="AB842" s="102"/>
      <c r="AC842" s="35"/>
      <c r="AD842" s="35"/>
    </row>
    <row r="843" spans="1:30">
      <c r="A843" s="102">
        <f t="shared" si="13"/>
        <v>842</v>
      </c>
      <c r="B843" s="257">
        <f>YEAR(Table6[[#This Row],[Date]])+IF(MONTH(Table6[[#This Row],[Date]])&gt;=4,1,0)</f>
        <v>2026</v>
      </c>
      <c r="C843" s="102">
        <f>YEAR(Table6[[#This Row],[Date]])</f>
        <v>2025</v>
      </c>
      <c r="D843" s="102" t="s">
        <v>265</v>
      </c>
      <c r="E843" s="258">
        <f>Table6[[#This Row],[Date]]-DAY(Table6[[#This Row],[Date]])+1</f>
        <v>45778</v>
      </c>
      <c r="F843" s="259">
        <v>45801</v>
      </c>
      <c r="G843" s="35" t="s">
        <v>126</v>
      </c>
      <c r="H843" s="35" t="str">
        <f>IFERROR(_xlfn.XLOOKUP(Table6[[#This Row],[Affected WTG]],'Basic Data'!$A:$A,'Basic Data'!$B:$B),"")</f>
        <v>TQGXIIPL</v>
      </c>
      <c r="I843" s="35" t="str">
        <f>IFERROR(_xlfn.XLOOKUP(Table6[[#This Row],[Affected WTG]],'Basic Data'!$A:$A,'Basic Data'!$C:$C),"")</f>
        <v>GEDA</v>
      </c>
      <c r="J843" s="260">
        <f>IFERROR(_xlfn.XLOOKUP(Table6[[#This Row],[Affected WTG]],'Basic Data'!$A:$A,'Basic Data'!$E:$E),"")</f>
        <v>3.846153846153845E-2</v>
      </c>
      <c r="K843" s="102">
        <v>55</v>
      </c>
      <c r="L843" s="35" t="str">
        <f>IFERROR(_xlfn.XLOOKUP(Table6[[#This Row],[Error Code]],'Basic Data'!$AA:$AA,'Basic Data'!$AB:$AB),"Incorrect Error Code")</f>
        <v>WTG shut down</v>
      </c>
      <c r="M843" s="35" t="s">
        <v>300</v>
      </c>
      <c r="N843" s="264"/>
      <c r="O843" s="265">
        <v>0.95</v>
      </c>
      <c r="P843" s="265">
        <v>0.95</v>
      </c>
      <c r="Q843" s="266">
        <v>0.99998842592592596</v>
      </c>
      <c r="R843" s="261">
        <f>IF(Table6[[#This Row],[Work Start TimeStamp]]="","",(Table6[[#This Row],[Work Start TimeStamp]]-Table6[[#This Row],[Fault Start TimeStamp]])*24)</f>
        <v>0</v>
      </c>
      <c r="S843" s="261">
        <f>(Table6[[#This Row],[Fault Clearance time]]-Table6[[#This Row],[Work Start TimeStamp]])*24</f>
        <v>1.1997222222222241</v>
      </c>
      <c r="T843" s="261">
        <f>(Table6[[#This Row],[Fault Clearance time]]-Table6[[#This Row],[Fault Start TimeStamp]])*24</f>
        <v>1.1997222222222241</v>
      </c>
      <c r="U843" s="35" t="s">
        <v>385</v>
      </c>
      <c r="V843" s="102" t="s">
        <v>289</v>
      </c>
      <c r="W843" s="267">
        <f>IFERROR(Table6[[#This Row],[Breakdown Time]]*Table6[[#This Row],[Plant Equivalent Weightage]],"")</f>
        <v>4.6143162393162455E-2</v>
      </c>
      <c r="X843" s="262" t="s">
        <v>269</v>
      </c>
      <c r="Y843" s="263" t="s">
        <v>128</v>
      </c>
      <c r="Z843" s="102">
        <v>28337</v>
      </c>
      <c r="AA843" s="257">
        <f>(Table6[[#This Row],[Paired WTG Generation for loss calculation]]/24)*Table6[[#This Row],[Breakdown Time]]</f>
        <v>1416.5220254629651</v>
      </c>
      <c r="AB843" s="102"/>
      <c r="AC843" s="35"/>
      <c r="AD843" s="35"/>
    </row>
    <row r="844" spans="1:30">
      <c r="A844" s="102">
        <f t="shared" si="13"/>
        <v>843</v>
      </c>
      <c r="B844" s="257">
        <f>YEAR(Table6[[#This Row],[Date]])+IF(MONTH(Table6[[#This Row],[Date]])&gt;=4,1,0)</f>
        <v>2026</v>
      </c>
      <c r="C844" s="102">
        <f>YEAR(Table6[[#This Row],[Date]])</f>
        <v>2025</v>
      </c>
      <c r="D844" s="102" t="s">
        <v>265</v>
      </c>
      <c r="E844" s="258">
        <f>Table6[[#This Row],[Date]]-DAY(Table6[[#This Row],[Date]])+1</f>
        <v>45778</v>
      </c>
      <c r="F844" s="259">
        <v>45801</v>
      </c>
      <c r="G844" s="35" t="s">
        <v>128</v>
      </c>
      <c r="H844" s="35" t="str">
        <f>IFERROR(_xlfn.XLOOKUP(Table6[[#This Row],[Affected WTG]],'Basic Data'!$A:$A,'Basic Data'!$B:$B),"")</f>
        <v>TQGXIIPL</v>
      </c>
      <c r="I844" s="35" t="str">
        <f>IFERROR(_xlfn.XLOOKUP(Table6[[#This Row],[Affected WTG]],'Basic Data'!$A:$A,'Basic Data'!$C:$C),"")</f>
        <v>GEDA</v>
      </c>
      <c r="J844" s="260">
        <f>IFERROR(_xlfn.XLOOKUP(Table6[[#This Row],[Affected WTG]],'Basic Data'!$A:$A,'Basic Data'!$E:$E),"")</f>
        <v>3.846153846153845E-2</v>
      </c>
      <c r="K844" s="102">
        <v>6130</v>
      </c>
      <c r="L844" s="35" t="str">
        <f>IFERROR(_xlfn.XLOOKUP(Table6[[#This Row],[Error Code]],'Basic Data'!$AA:$AA,'Basic Data'!$AB:$AB),"Incorrect Error Code")</f>
        <v>Yaw speed high</v>
      </c>
      <c r="M844" s="35" t="s">
        <v>278</v>
      </c>
      <c r="N844" s="264"/>
      <c r="O844" s="265">
        <v>0.68541666666666667</v>
      </c>
      <c r="P844" s="265">
        <v>0.68541666666666667</v>
      </c>
      <c r="Q844" s="266">
        <v>0.68958333333333333</v>
      </c>
      <c r="R844" s="261">
        <f>IF(Table6[[#This Row],[Work Start TimeStamp]]="","",(Table6[[#This Row],[Work Start TimeStamp]]-Table6[[#This Row],[Fault Start TimeStamp]])*24)</f>
        <v>0</v>
      </c>
      <c r="S844" s="261">
        <f>(Table6[[#This Row],[Fault Clearance time]]-Table6[[#This Row],[Work Start TimeStamp]])*24</f>
        <v>9.9999999999999645E-2</v>
      </c>
      <c r="T844" s="261">
        <f>(Table6[[#This Row],[Fault Clearance time]]-Table6[[#This Row],[Fault Start TimeStamp]])*24</f>
        <v>9.9999999999999645E-2</v>
      </c>
      <c r="U844" s="35" t="s">
        <v>293</v>
      </c>
      <c r="V844" s="102" t="s">
        <v>268</v>
      </c>
      <c r="W844" s="267">
        <f>IFERROR(Table6[[#This Row],[Breakdown Time]]*Table6[[#This Row],[Plant Equivalent Weightage]],"")</f>
        <v>3.8461538461538312E-3</v>
      </c>
      <c r="X844" s="262" t="s">
        <v>269</v>
      </c>
      <c r="Y844" s="263" t="s">
        <v>126</v>
      </c>
      <c r="Z844" s="102">
        <v>14646</v>
      </c>
      <c r="AA844" s="257">
        <f>(Table6[[#This Row],[Paired WTG Generation for loss calculation]]/24)*Table6[[#This Row],[Breakdown Time]]</f>
        <v>61.024999999999785</v>
      </c>
      <c r="AB844" s="102"/>
      <c r="AC844" s="35"/>
      <c r="AD844" s="35"/>
    </row>
    <row r="845" spans="1:30">
      <c r="A845" s="102">
        <f t="shared" si="13"/>
        <v>844</v>
      </c>
      <c r="B845" s="257">
        <f>YEAR(Table6[[#This Row],[Date]])+IF(MONTH(Table6[[#This Row],[Date]])&gt;=4,1,0)</f>
        <v>2026</v>
      </c>
      <c r="C845" s="102">
        <f>YEAR(Table6[[#This Row],[Date]])</f>
        <v>2025</v>
      </c>
      <c r="D845" s="102" t="s">
        <v>265</v>
      </c>
      <c r="E845" s="258">
        <f>Table6[[#This Row],[Date]]-DAY(Table6[[#This Row],[Date]])+1</f>
        <v>45778</v>
      </c>
      <c r="F845" s="259">
        <v>45801</v>
      </c>
      <c r="G845" s="35" t="s">
        <v>129</v>
      </c>
      <c r="H845" s="35" t="str">
        <f>IFERROR(_xlfn.XLOOKUP(Table6[[#This Row],[Affected WTG]],'Basic Data'!$A:$A,'Basic Data'!$B:$B),"")</f>
        <v>TQGXIIPL</v>
      </c>
      <c r="I845" s="35" t="str">
        <f>IFERROR(_xlfn.XLOOKUP(Table6[[#This Row],[Affected WTG]],'Basic Data'!$A:$A,'Basic Data'!$C:$C),"")</f>
        <v>GEDA</v>
      </c>
      <c r="J845" s="260">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266</v>
      </c>
      <c r="N845" s="264"/>
      <c r="O845" s="265">
        <v>0.76944444444444449</v>
      </c>
      <c r="P845" s="265">
        <v>0.76944444444444449</v>
      </c>
      <c r="Q845" s="266">
        <v>0.78402777777777777</v>
      </c>
      <c r="R845" s="261">
        <f>IF(Table6[[#This Row],[Work Start TimeStamp]]="","",(Table6[[#This Row],[Work Start TimeStamp]]-Table6[[#This Row],[Fault Start TimeStamp]])*24)</f>
        <v>0</v>
      </c>
      <c r="S845" s="261">
        <f>(Table6[[#This Row],[Fault Clearance time]]-Table6[[#This Row],[Work Start TimeStamp]])*24</f>
        <v>0.34999999999999876</v>
      </c>
      <c r="T845" s="261">
        <f>(Table6[[#This Row],[Fault Clearance time]]-Table6[[#This Row],[Fault Start TimeStamp]])*24</f>
        <v>0.34999999999999876</v>
      </c>
      <c r="U845" s="35" t="s">
        <v>470</v>
      </c>
      <c r="V845" s="102" t="s">
        <v>268</v>
      </c>
      <c r="W845" s="267">
        <f>IFERROR(Table6[[#This Row],[Breakdown Time]]*Table6[[#This Row],[Plant Equivalent Weightage]],"")</f>
        <v>1.346153846153841E-2</v>
      </c>
      <c r="X845" s="262" t="s">
        <v>269</v>
      </c>
      <c r="Y845" s="263" t="s">
        <v>124</v>
      </c>
      <c r="Z845" s="102">
        <v>28918</v>
      </c>
      <c r="AA845" s="257">
        <f>(Table6[[#This Row],[Paired WTG Generation for loss calculation]]/24)*Table6[[#This Row],[Breakdown Time]]</f>
        <v>421.72083333333188</v>
      </c>
      <c r="AB845" s="102"/>
      <c r="AC845" s="35"/>
      <c r="AD845" s="35"/>
    </row>
    <row r="846" spans="1:30">
      <c r="A846" s="102">
        <f t="shared" ref="A846:A909" si="14">A845+1</f>
        <v>845</v>
      </c>
      <c r="B846" s="257">
        <f>YEAR(Table6[[#This Row],[Date]])+IF(MONTH(Table6[[#This Row],[Date]])&gt;=4,1,0)</f>
        <v>2026</v>
      </c>
      <c r="C846" s="102">
        <f>YEAR(Table6[[#This Row],[Date]])</f>
        <v>2025</v>
      </c>
      <c r="D846" s="102" t="s">
        <v>265</v>
      </c>
      <c r="E846" s="258">
        <f>Table6[[#This Row],[Date]]-DAY(Table6[[#This Row],[Date]])+1</f>
        <v>45778</v>
      </c>
      <c r="F846" s="259">
        <v>45801</v>
      </c>
      <c r="G846" s="35" t="s">
        <v>137</v>
      </c>
      <c r="H846" s="35" t="str">
        <f>IFERROR(_xlfn.XLOOKUP(Table6[[#This Row],[Affected WTG]],'Basic Data'!$A:$A,'Basic Data'!$B:$B),"")</f>
        <v>TQGXIIPL</v>
      </c>
      <c r="I846" s="35" t="str">
        <f>IFERROR(_xlfn.XLOOKUP(Table6[[#This Row],[Affected WTG]],'Basic Data'!$A:$A,'Basic Data'!$C:$C),"")</f>
        <v>GEDA</v>
      </c>
      <c r="J846" s="260">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266</v>
      </c>
      <c r="N846" s="264"/>
      <c r="O846" s="265">
        <v>0.47499999999999998</v>
      </c>
      <c r="P846" s="265">
        <v>0.47499999999999998</v>
      </c>
      <c r="Q846" s="266">
        <v>0.48680555555555555</v>
      </c>
      <c r="R846" s="261">
        <f>IF(Table6[[#This Row],[Work Start TimeStamp]]="","",(Table6[[#This Row],[Work Start TimeStamp]]-Table6[[#This Row],[Fault Start TimeStamp]])*24)</f>
        <v>0</v>
      </c>
      <c r="S846" s="261">
        <f>(Table6[[#This Row],[Fault Clearance time]]-Table6[[#This Row],[Work Start TimeStamp]])*24</f>
        <v>0.28333333333333366</v>
      </c>
      <c r="T846" s="261">
        <f>(Table6[[#This Row],[Fault Clearance time]]-Table6[[#This Row],[Fault Start TimeStamp]])*24</f>
        <v>0.28333333333333366</v>
      </c>
      <c r="U846" s="35" t="s">
        <v>471</v>
      </c>
      <c r="V846" s="102" t="s">
        <v>268</v>
      </c>
      <c r="W846" s="267">
        <f>IFERROR(Table6[[#This Row],[Breakdown Time]]*Table6[[#This Row],[Plant Equivalent Weightage]],"")</f>
        <v>1.0897435897435907E-2</v>
      </c>
      <c r="X846" s="262" t="s">
        <v>269</v>
      </c>
      <c r="Y846" s="263" t="s">
        <v>125</v>
      </c>
      <c r="Z846" s="102">
        <v>28336</v>
      </c>
      <c r="AA846" s="257">
        <f>(Table6[[#This Row],[Paired WTG Generation for loss calculation]]/24)*Table6[[#This Row],[Breakdown Time]]</f>
        <v>334.52222222222264</v>
      </c>
      <c r="AB846" s="102"/>
      <c r="AC846" s="35"/>
      <c r="AD846" s="35"/>
    </row>
    <row r="847" spans="1:30">
      <c r="A847" s="102">
        <f t="shared" si="14"/>
        <v>846</v>
      </c>
      <c r="B847" s="257">
        <f>YEAR(Table6[[#This Row],[Date]])+IF(MONTH(Table6[[#This Row],[Date]])&gt;=4,1,0)</f>
        <v>2026</v>
      </c>
      <c r="C847" s="102">
        <f>YEAR(Table6[[#This Row],[Date]])</f>
        <v>2025</v>
      </c>
      <c r="D847" s="102" t="s">
        <v>265</v>
      </c>
      <c r="E847" s="258">
        <f>Table6[[#This Row],[Date]]-DAY(Table6[[#This Row],[Date]])+1</f>
        <v>45778</v>
      </c>
      <c r="F847" s="259">
        <v>45801</v>
      </c>
      <c r="G847" s="35" t="s">
        <v>139</v>
      </c>
      <c r="H847" s="35" t="str">
        <f>IFERROR(_xlfn.XLOOKUP(Table6[[#This Row],[Affected WTG]],'Basic Data'!$A:$A,'Basic Data'!$B:$B),"")</f>
        <v>TQGXIIPL</v>
      </c>
      <c r="I847" s="35" t="str">
        <f>IFERROR(_xlfn.XLOOKUP(Table6[[#This Row],[Affected WTG]],'Basic Data'!$A:$A,'Basic Data'!$C:$C),"")</f>
        <v>GEDA</v>
      </c>
      <c r="J847" s="260">
        <f>IFERROR(_xlfn.XLOOKUP(Table6[[#This Row],[Affected WTG]],'Basic Data'!$A:$A,'Basic Data'!$E:$E),"")</f>
        <v>3.846153846153845E-2</v>
      </c>
      <c r="K847" s="102">
        <v>55</v>
      </c>
      <c r="L847" s="35" t="str">
        <f>IFERROR(_xlfn.XLOOKUP(Table6[[#This Row],[Error Code]],'Basic Data'!$AA:$AA,'Basic Data'!$AB:$AB),"Incorrect Error Code")</f>
        <v>WTG shut down</v>
      </c>
      <c r="M847" s="35" t="s">
        <v>300</v>
      </c>
      <c r="N847" s="264"/>
      <c r="O847" s="265">
        <v>0.31527777777777777</v>
      </c>
      <c r="P847" s="265">
        <v>0.31527777777777777</v>
      </c>
      <c r="Q847" s="266">
        <v>0.33194444444444443</v>
      </c>
      <c r="R847" s="261">
        <f>IF(Table6[[#This Row],[Work Start TimeStamp]]="","",(Table6[[#This Row],[Work Start TimeStamp]]-Table6[[#This Row],[Fault Start TimeStamp]])*24)</f>
        <v>0</v>
      </c>
      <c r="S847" s="261">
        <f>(Table6[[#This Row],[Fault Clearance time]]-Table6[[#This Row],[Work Start TimeStamp]])*24</f>
        <v>0.39999999999999991</v>
      </c>
      <c r="T847" s="261">
        <f>(Table6[[#This Row],[Fault Clearance time]]-Table6[[#This Row],[Fault Start TimeStamp]])*24</f>
        <v>0.39999999999999991</v>
      </c>
      <c r="U847" s="35" t="s">
        <v>385</v>
      </c>
      <c r="V847" s="102" t="s">
        <v>268</v>
      </c>
      <c r="W847" s="267">
        <f>IFERROR(Table6[[#This Row],[Breakdown Time]]*Table6[[#This Row],[Plant Equivalent Weightage]],"")</f>
        <v>1.5384615384615377E-2</v>
      </c>
      <c r="X847" s="262" t="s">
        <v>269</v>
      </c>
      <c r="Y847" s="263" t="s">
        <v>115</v>
      </c>
      <c r="Z847" s="102">
        <v>27867</v>
      </c>
      <c r="AA847" s="257">
        <f>(Table6[[#This Row],[Paired WTG Generation for loss calculation]]/24)*Table6[[#This Row],[Breakdown Time]]</f>
        <v>464.44999999999987</v>
      </c>
      <c r="AB847" s="102"/>
      <c r="AC847" s="35"/>
      <c r="AD847" s="35"/>
    </row>
    <row r="848" spans="1:30">
      <c r="A848" s="102">
        <f t="shared" si="14"/>
        <v>847</v>
      </c>
      <c r="B848" s="257">
        <f>YEAR(Table6[[#This Row],[Date]])+IF(MONTH(Table6[[#This Row],[Date]])&gt;=4,1,0)</f>
        <v>2026</v>
      </c>
      <c r="C848" s="102">
        <f>YEAR(Table6[[#This Row],[Date]])</f>
        <v>2025</v>
      </c>
      <c r="D848" s="102" t="s">
        <v>265</v>
      </c>
      <c r="E848" s="258">
        <f>Table6[[#This Row],[Date]]-DAY(Table6[[#This Row],[Date]])+1</f>
        <v>45778</v>
      </c>
      <c r="F848" s="259">
        <v>45801</v>
      </c>
      <c r="G848" s="35" t="s">
        <v>140</v>
      </c>
      <c r="H848" s="35" t="str">
        <f>IFERROR(_xlfn.XLOOKUP(Table6[[#This Row],[Affected WTG]],'Basic Data'!$A:$A,'Basic Data'!$B:$B),"")</f>
        <v>TQGXIIPL</v>
      </c>
      <c r="I848" s="35" t="str">
        <f>IFERROR(_xlfn.XLOOKUP(Table6[[#This Row],[Affected WTG]],'Basic Data'!$A:$A,'Basic Data'!$C:$C),"")</f>
        <v>GEDA</v>
      </c>
      <c r="J848" s="260">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266</v>
      </c>
      <c r="N848" s="264"/>
      <c r="O848" s="265">
        <v>0.76944444444444449</v>
      </c>
      <c r="P848" s="265">
        <v>0.76944444444444449</v>
      </c>
      <c r="Q848" s="266">
        <v>0.79722222222222228</v>
      </c>
      <c r="R848" s="261">
        <f>IF(Table6[[#This Row],[Work Start TimeStamp]]="","",(Table6[[#This Row],[Work Start TimeStamp]]-Table6[[#This Row],[Fault Start TimeStamp]])*24)</f>
        <v>0</v>
      </c>
      <c r="S848" s="261">
        <f>(Table6[[#This Row],[Fault Clearance time]]-Table6[[#This Row],[Work Start TimeStamp]])*24</f>
        <v>0.66666666666666696</v>
      </c>
      <c r="T848" s="261">
        <f>(Table6[[#This Row],[Fault Clearance time]]-Table6[[#This Row],[Fault Start TimeStamp]])*24</f>
        <v>0.66666666666666696</v>
      </c>
      <c r="U848" s="35" t="s">
        <v>465</v>
      </c>
      <c r="V848" s="102" t="s">
        <v>268</v>
      </c>
      <c r="W848" s="267">
        <f>IFERROR(Table6[[#This Row],[Breakdown Time]]*Table6[[#This Row],[Plant Equivalent Weightage]],"")</f>
        <v>2.5641025641025644E-2</v>
      </c>
      <c r="X848" s="262" t="s">
        <v>269</v>
      </c>
      <c r="Y848" s="263" t="s">
        <v>115</v>
      </c>
      <c r="Z848" s="102">
        <v>27867</v>
      </c>
      <c r="AA848" s="257">
        <f>(Table6[[#This Row],[Paired WTG Generation for loss calculation]]/24)*Table6[[#This Row],[Breakdown Time]]</f>
        <v>774.08333333333371</v>
      </c>
      <c r="AB848" s="102"/>
      <c r="AC848" s="35"/>
      <c r="AD848" s="35"/>
    </row>
    <row r="849" spans="1:30">
      <c r="A849" s="102">
        <f t="shared" si="14"/>
        <v>848</v>
      </c>
      <c r="B849" s="257">
        <f>YEAR(Table6[[#This Row],[Date]])+IF(MONTH(Table6[[#This Row],[Date]])&gt;=4,1,0)</f>
        <v>2026</v>
      </c>
      <c r="C849" s="102">
        <f>YEAR(Table6[[#This Row],[Date]])</f>
        <v>2025</v>
      </c>
      <c r="D849" s="102" t="s">
        <v>265</v>
      </c>
      <c r="E849" s="258">
        <f>Table6[[#This Row],[Date]]-DAY(Table6[[#This Row],[Date]])+1</f>
        <v>45778</v>
      </c>
      <c r="F849" s="259">
        <v>45802</v>
      </c>
      <c r="G849" s="35" t="s">
        <v>115</v>
      </c>
      <c r="H849" s="35" t="str">
        <f>IFERROR(_xlfn.XLOOKUP(Table6[[#This Row],[Affected WTG]],'Basic Data'!$A:$A,'Basic Data'!$B:$B),"")</f>
        <v>TQGXIIPL</v>
      </c>
      <c r="I849" s="35" t="str">
        <f>IFERROR(_xlfn.XLOOKUP(Table6[[#This Row],[Affected WTG]],'Basic Data'!$A:$A,'Basic Data'!$C:$C),"")</f>
        <v>GEDA</v>
      </c>
      <c r="J849" s="260">
        <f>IFERROR(_xlfn.XLOOKUP(Table6[[#This Row],[Affected WTG]],'Basic Data'!$A:$A,'Basic Data'!$E:$E),"")</f>
        <v>3.846153846153845E-2</v>
      </c>
      <c r="K849" s="102">
        <v>6130</v>
      </c>
      <c r="L849" s="35" t="str">
        <f>IFERROR(_xlfn.XLOOKUP(Table6[[#This Row],[Error Code]],'Basic Data'!$AA:$AA,'Basic Data'!$AB:$AB),"Incorrect Error Code")</f>
        <v>Yaw speed high</v>
      </c>
      <c r="M849" s="35" t="s">
        <v>278</v>
      </c>
      <c r="N849" s="264"/>
      <c r="O849" s="265">
        <v>0.34861111111111109</v>
      </c>
      <c r="P849" s="265">
        <v>0.34930555555555554</v>
      </c>
      <c r="Q849" s="266">
        <v>0.34930555555555554</v>
      </c>
      <c r="R849" s="261">
        <f>IF(Table6[[#This Row],[Work Start TimeStamp]]="","",(Table6[[#This Row],[Work Start TimeStamp]]-Table6[[#This Row],[Fault Start TimeStamp]])*24)</f>
        <v>1.6666666666666607E-2</v>
      </c>
      <c r="S849" s="261">
        <f>(Table6[[#This Row],[Fault Clearance time]]-Table6[[#This Row],[Work Start TimeStamp]])*24</f>
        <v>0</v>
      </c>
      <c r="T849" s="261">
        <f>(Table6[[#This Row],[Fault Clearance time]]-Table6[[#This Row],[Fault Start TimeStamp]])*24</f>
        <v>1.6666666666666607E-2</v>
      </c>
      <c r="U849" s="35" t="s">
        <v>293</v>
      </c>
      <c r="V849" s="102" t="s">
        <v>268</v>
      </c>
      <c r="W849" s="267">
        <f>IFERROR(Table6[[#This Row],[Breakdown Time]]*Table6[[#This Row],[Plant Equivalent Weightage]],"")</f>
        <v>6.4102564102563853E-4</v>
      </c>
      <c r="X849" s="262" t="s">
        <v>269</v>
      </c>
      <c r="Y849" s="263" t="s">
        <v>140</v>
      </c>
      <c r="Z849" s="102">
        <v>33380</v>
      </c>
      <c r="AA849" s="257">
        <f>(Table6[[#This Row],[Paired WTG Generation for loss calculation]]/24)*Table6[[#This Row],[Breakdown Time]]</f>
        <v>23.180555555555472</v>
      </c>
      <c r="AB849" s="102"/>
      <c r="AC849" s="35"/>
      <c r="AD849" s="35"/>
    </row>
    <row r="850" spans="1:30">
      <c r="A850" s="102">
        <f t="shared" si="14"/>
        <v>849</v>
      </c>
      <c r="B850" s="257">
        <f>YEAR(Table6[[#This Row],[Date]])+IF(MONTH(Table6[[#This Row],[Date]])&gt;=4,1,0)</f>
        <v>2026</v>
      </c>
      <c r="C850" s="102">
        <f>YEAR(Table6[[#This Row],[Date]])</f>
        <v>2025</v>
      </c>
      <c r="D850" s="102" t="s">
        <v>265</v>
      </c>
      <c r="E850" s="258">
        <f>Table6[[#This Row],[Date]]-DAY(Table6[[#This Row],[Date]])+1</f>
        <v>45778</v>
      </c>
      <c r="F850" s="259">
        <v>45802</v>
      </c>
      <c r="G850" s="35" t="s">
        <v>116</v>
      </c>
      <c r="H850" s="35" t="str">
        <f>IFERROR(_xlfn.XLOOKUP(Table6[[#This Row],[Affected WTG]],'Basic Data'!$A:$A,'Basic Data'!$B:$B),"")</f>
        <v>TQGXIIPL</v>
      </c>
      <c r="I850" s="35" t="str">
        <f>IFERROR(_xlfn.XLOOKUP(Table6[[#This Row],[Affected WTG]],'Basic Data'!$A:$A,'Basic Data'!$C:$C),"")</f>
        <v>GEDA</v>
      </c>
      <c r="J850" s="260">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266</v>
      </c>
      <c r="N850" s="264"/>
      <c r="O850" s="265">
        <v>0.70625000000000004</v>
      </c>
      <c r="P850" s="265">
        <v>0.73611111111111116</v>
      </c>
      <c r="Q850" s="266">
        <v>0.73611111111111116</v>
      </c>
      <c r="R850" s="261">
        <f>IF(Table6[[#This Row],[Work Start TimeStamp]]="","",(Table6[[#This Row],[Work Start TimeStamp]]-Table6[[#This Row],[Fault Start TimeStamp]])*24)</f>
        <v>0.71666666666666679</v>
      </c>
      <c r="S850" s="261">
        <f>(Table6[[#This Row],[Fault Clearance time]]-Table6[[#This Row],[Work Start TimeStamp]])*24</f>
        <v>0</v>
      </c>
      <c r="T850" s="261">
        <f>(Table6[[#This Row],[Fault Clearance time]]-Table6[[#This Row],[Fault Start TimeStamp]])*24</f>
        <v>0.71666666666666679</v>
      </c>
      <c r="U850" s="35" t="s">
        <v>465</v>
      </c>
      <c r="V850" s="102" t="s">
        <v>268</v>
      </c>
      <c r="W850" s="267">
        <f>IFERROR(Table6[[#This Row],[Breakdown Time]]*Table6[[#This Row],[Plant Equivalent Weightage]],"")</f>
        <v>2.756410256410256E-2</v>
      </c>
      <c r="X850" s="262" t="s">
        <v>296</v>
      </c>
      <c r="Y850" s="263" t="s">
        <v>119</v>
      </c>
      <c r="Z850" s="102">
        <v>30576</v>
      </c>
      <c r="AA850" s="257">
        <f>(Table6[[#This Row],[Paired WTG Generation for loss calculation]]/24)*Table6[[#This Row],[Breakdown Time]]</f>
        <v>913.03333333333353</v>
      </c>
      <c r="AB850" s="102"/>
      <c r="AC850" s="35"/>
      <c r="AD850" s="35"/>
    </row>
    <row r="851" spans="1:30">
      <c r="A851" s="102">
        <f t="shared" si="14"/>
        <v>850</v>
      </c>
      <c r="B851" s="257">
        <f>YEAR(Table6[[#This Row],[Date]])+IF(MONTH(Table6[[#This Row],[Date]])&gt;=4,1,0)</f>
        <v>2026</v>
      </c>
      <c r="C851" s="102">
        <f>YEAR(Table6[[#This Row],[Date]])</f>
        <v>2025</v>
      </c>
      <c r="D851" s="102" t="s">
        <v>265</v>
      </c>
      <c r="E851" s="258">
        <f>Table6[[#This Row],[Date]]-DAY(Table6[[#This Row],[Date]])+1</f>
        <v>45778</v>
      </c>
      <c r="F851" s="259">
        <v>45802</v>
      </c>
      <c r="G851" s="35" t="s">
        <v>120</v>
      </c>
      <c r="H851" s="35" t="str">
        <f>IFERROR(_xlfn.XLOOKUP(Table6[[#This Row],[Affected WTG]],'Basic Data'!$A:$A,'Basic Data'!$B:$B),"")</f>
        <v>TQGXIIPL</v>
      </c>
      <c r="I851" s="35" t="str">
        <f>IFERROR(_xlfn.XLOOKUP(Table6[[#This Row],[Affected WTG]],'Basic Data'!$A:$A,'Basic Data'!$C:$C),"")</f>
        <v>GEDA</v>
      </c>
      <c r="J851" s="260">
        <f>IFERROR(_xlfn.XLOOKUP(Table6[[#This Row],[Affected WTG]],'Basic Data'!$A:$A,'Basic Data'!$E:$E),"")</f>
        <v>3.846153846153845E-2</v>
      </c>
      <c r="K851" s="102">
        <v>55</v>
      </c>
      <c r="L851" s="35" t="str">
        <f>IFERROR(_xlfn.XLOOKUP(Table6[[#This Row],[Error Code]],'Basic Data'!$AA:$AA,'Basic Data'!$AB:$AB),"Incorrect Error Code")</f>
        <v>WTG shut down</v>
      </c>
      <c r="M851" s="35" t="s">
        <v>266</v>
      </c>
      <c r="N851" s="264"/>
      <c r="O851" s="265">
        <v>0.65069444444444446</v>
      </c>
      <c r="P851" s="265">
        <v>0.66249999999999998</v>
      </c>
      <c r="Q851" s="266">
        <v>0.66249999999999998</v>
      </c>
      <c r="R851" s="261">
        <f>IF(Table6[[#This Row],[Work Start TimeStamp]]="","",(Table6[[#This Row],[Work Start TimeStamp]]-Table6[[#This Row],[Fault Start TimeStamp]])*24)</f>
        <v>0.28333333333333233</v>
      </c>
      <c r="S851" s="261">
        <f>(Table6[[#This Row],[Fault Clearance time]]-Table6[[#This Row],[Work Start TimeStamp]])*24</f>
        <v>0</v>
      </c>
      <c r="T851" s="261">
        <f>(Table6[[#This Row],[Fault Clearance time]]-Table6[[#This Row],[Fault Start TimeStamp]])*24</f>
        <v>0.28333333333333233</v>
      </c>
      <c r="U851" s="35" t="s">
        <v>422</v>
      </c>
      <c r="V851" s="102" t="s">
        <v>268</v>
      </c>
      <c r="W851" s="267">
        <f>IFERROR(Table6[[#This Row],[Breakdown Time]]*Table6[[#This Row],[Plant Equivalent Weightage]],"")</f>
        <v>1.0897435897435855E-2</v>
      </c>
      <c r="X851" s="262" t="s">
        <v>269</v>
      </c>
      <c r="Y851" s="263" t="s">
        <v>135</v>
      </c>
      <c r="Z851" s="102">
        <v>19043</v>
      </c>
      <c r="AA851" s="257">
        <f>(Table6[[#This Row],[Paired WTG Generation for loss calculation]]/24)*Table6[[#This Row],[Breakdown Time]]</f>
        <v>224.81319444444367</v>
      </c>
      <c r="AB851" s="102"/>
      <c r="AC851" s="35"/>
      <c r="AD851" s="35"/>
    </row>
    <row r="852" spans="1:30">
      <c r="A852" s="102">
        <f t="shared" si="14"/>
        <v>851</v>
      </c>
      <c r="B852" s="257">
        <f>YEAR(Table6[[#This Row],[Date]])+IF(MONTH(Table6[[#This Row],[Date]])&gt;=4,1,0)</f>
        <v>2026</v>
      </c>
      <c r="C852" s="102">
        <f>YEAR(Table6[[#This Row],[Date]])</f>
        <v>2025</v>
      </c>
      <c r="D852" s="102" t="s">
        <v>265</v>
      </c>
      <c r="E852" s="258">
        <f>Table6[[#This Row],[Date]]-DAY(Table6[[#This Row],[Date]])+1</f>
        <v>45778</v>
      </c>
      <c r="F852" s="259">
        <v>45802</v>
      </c>
      <c r="G852" s="35" t="s">
        <v>122</v>
      </c>
      <c r="H852" s="35" t="str">
        <f>IFERROR(_xlfn.XLOOKUP(Table6[[#This Row],[Affected WTG]],'Basic Data'!$A:$A,'Basic Data'!$B:$B),"")</f>
        <v>TQGXIIPL</v>
      </c>
      <c r="I852" s="35" t="str">
        <f>IFERROR(_xlfn.XLOOKUP(Table6[[#This Row],[Affected WTG]],'Basic Data'!$A:$A,'Basic Data'!$C:$C),"")</f>
        <v>GEDA</v>
      </c>
      <c r="J852" s="260">
        <f>IFERROR(_xlfn.XLOOKUP(Table6[[#This Row],[Affected WTG]],'Basic Data'!$A:$A,'Basic Data'!$E:$E),"")</f>
        <v>3.846153846153845E-2</v>
      </c>
      <c r="K852" s="102">
        <v>55</v>
      </c>
      <c r="L852" s="35" t="str">
        <f>IFERROR(_xlfn.XLOOKUP(Table6[[#This Row],[Error Code]],'Basic Data'!$AA:$AA,'Basic Data'!$AB:$AB),"Incorrect Error Code")</f>
        <v>WTG shut down</v>
      </c>
      <c r="M852" s="35" t="s">
        <v>300</v>
      </c>
      <c r="N852" s="264"/>
      <c r="O852" s="265">
        <v>0</v>
      </c>
      <c r="P852" s="265">
        <v>0.14444444444444443</v>
      </c>
      <c r="Q852" s="266">
        <v>0.14444444444444443</v>
      </c>
      <c r="R852" s="261">
        <f>IF(Table6[[#This Row],[Work Start TimeStamp]]="","",(Table6[[#This Row],[Work Start TimeStamp]]-Table6[[#This Row],[Fault Start TimeStamp]])*24)</f>
        <v>3.4666666666666663</v>
      </c>
      <c r="S852" s="261">
        <f>(Table6[[#This Row],[Fault Clearance time]]-Table6[[#This Row],[Work Start TimeStamp]])*24</f>
        <v>0</v>
      </c>
      <c r="T852" s="261">
        <f>(Table6[[#This Row],[Fault Clearance time]]-Table6[[#This Row],[Fault Start TimeStamp]])*24</f>
        <v>3.4666666666666663</v>
      </c>
      <c r="U852" s="35" t="s">
        <v>385</v>
      </c>
      <c r="V852" s="102" t="s">
        <v>268</v>
      </c>
      <c r="W852" s="267">
        <f>IFERROR(Table6[[#This Row],[Breakdown Time]]*Table6[[#This Row],[Plant Equivalent Weightage]],"")</f>
        <v>0.13333333333333328</v>
      </c>
      <c r="X852" s="262" t="s">
        <v>269</v>
      </c>
      <c r="Y852" s="263" t="s">
        <v>140</v>
      </c>
      <c r="Z852" s="102">
        <v>33380</v>
      </c>
      <c r="AA852" s="257">
        <f>(Table6[[#This Row],[Paired WTG Generation for loss calculation]]/24)*Table6[[#This Row],[Breakdown Time]]</f>
        <v>4821.5555555555547</v>
      </c>
      <c r="AB852" s="102"/>
      <c r="AC852" s="35"/>
      <c r="AD852" s="35"/>
    </row>
    <row r="853" spans="1:30">
      <c r="A853" s="102">
        <f t="shared" si="14"/>
        <v>852</v>
      </c>
      <c r="B853" s="257">
        <f>YEAR(Table6[[#This Row],[Date]])+IF(MONTH(Table6[[#This Row],[Date]])&gt;=4,1,0)</f>
        <v>2026</v>
      </c>
      <c r="C853" s="102">
        <f>YEAR(Table6[[#This Row],[Date]])</f>
        <v>2025</v>
      </c>
      <c r="D853" s="102" t="s">
        <v>265</v>
      </c>
      <c r="E853" s="258">
        <f>Table6[[#This Row],[Date]]-DAY(Table6[[#This Row],[Date]])+1</f>
        <v>45778</v>
      </c>
      <c r="F853" s="259">
        <v>45802</v>
      </c>
      <c r="G853" s="35" t="s">
        <v>122</v>
      </c>
      <c r="H853" s="35" t="str">
        <f>IFERROR(_xlfn.XLOOKUP(Table6[[#This Row],[Affected WTG]],'Basic Data'!$A:$A,'Basic Data'!$B:$B),"")</f>
        <v>TQGXIIPL</v>
      </c>
      <c r="I853" s="35" t="str">
        <f>IFERROR(_xlfn.XLOOKUP(Table6[[#This Row],[Affected WTG]],'Basic Data'!$A:$A,'Basic Data'!$C:$C),"")</f>
        <v>GEDA</v>
      </c>
      <c r="J853" s="260">
        <f>IFERROR(_xlfn.XLOOKUP(Table6[[#This Row],[Affected WTG]],'Basic Data'!$A:$A,'Basic Data'!$E:$E),"")</f>
        <v>3.846153846153845E-2</v>
      </c>
      <c r="K853" s="102">
        <v>55</v>
      </c>
      <c r="L853" s="35" t="str">
        <f>IFERROR(_xlfn.XLOOKUP(Table6[[#This Row],[Error Code]],'Basic Data'!$AA:$AA,'Basic Data'!$AB:$AB),"Incorrect Error Code")</f>
        <v>WTG shut down</v>
      </c>
      <c r="M853" s="35" t="s">
        <v>300</v>
      </c>
      <c r="N853" s="264"/>
      <c r="O853" s="265">
        <v>0.31458333333333333</v>
      </c>
      <c r="P853" s="265">
        <v>0.3611111111111111</v>
      </c>
      <c r="Q853" s="266">
        <v>0.3611111111111111</v>
      </c>
      <c r="R853" s="261">
        <f>IF(Table6[[#This Row],[Work Start TimeStamp]]="","",(Table6[[#This Row],[Work Start TimeStamp]]-Table6[[#This Row],[Fault Start TimeStamp]])*24)</f>
        <v>1.1166666666666667</v>
      </c>
      <c r="S853" s="261">
        <f>(Table6[[#This Row],[Fault Clearance time]]-Table6[[#This Row],[Work Start TimeStamp]])*24</f>
        <v>0</v>
      </c>
      <c r="T853" s="261">
        <f>(Table6[[#This Row],[Fault Clearance time]]-Table6[[#This Row],[Fault Start TimeStamp]])*24</f>
        <v>1.1166666666666667</v>
      </c>
      <c r="U853" s="35" t="s">
        <v>385</v>
      </c>
      <c r="V853" s="102" t="s">
        <v>268</v>
      </c>
      <c r="W853" s="267">
        <f>IFERROR(Table6[[#This Row],[Breakdown Time]]*Table6[[#This Row],[Plant Equivalent Weightage]],"")</f>
        <v>4.2948717948717935E-2</v>
      </c>
      <c r="X853" s="262" t="s">
        <v>269</v>
      </c>
      <c r="Y853" s="263" t="s">
        <v>140</v>
      </c>
      <c r="Z853" s="102">
        <v>33380</v>
      </c>
      <c r="AA853" s="257">
        <f>(Table6[[#This Row],[Paired WTG Generation for loss calculation]]/24)*Table6[[#This Row],[Breakdown Time]]</f>
        <v>1553.0972222222222</v>
      </c>
      <c r="AB853" s="102"/>
      <c r="AC853" s="35"/>
      <c r="AD853" s="35"/>
    </row>
    <row r="854" spans="1:30">
      <c r="A854" s="102">
        <f t="shared" si="14"/>
        <v>853</v>
      </c>
      <c r="B854" s="257">
        <f>YEAR(Table6[[#This Row],[Date]])+IF(MONTH(Table6[[#This Row],[Date]])&gt;=4,1,0)</f>
        <v>2026</v>
      </c>
      <c r="C854" s="102">
        <f>YEAR(Table6[[#This Row],[Date]])</f>
        <v>2025</v>
      </c>
      <c r="D854" s="102" t="s">
        <v>265</v>
      </c>
      <c r="E854" s="258">
        <f>Table6[[#This Row],[Date]]-DAY(Table6[[#This Row],[Date]])+1</f>
        <v>45778</v>
      </c>
      <c r="F854" s="259">
        <v>45802</v>
      </c>
      <c r="G854" s="35" t="s">
        <v>122</v>
      </c>
      <c r="H854" s="35" t="str">
        <f>IFERROR(_xlfn.XLOOKUP(Table6[[#This Row],[Affected WTG]],'Basic Data'!$A:$A,'Basic Data'!$B:$B),"")</f>
        <v>TQGXIIPL</v>
      </c>
      <c r="I854" s="35" t="str">
        <f>IFERROR(_xlfn.XLOOKUP(Table6[[#This Row],[Affected WTG]],'Basic Data'!$A:$A,'Basic Data'!$C:$C),"")</f>
        <v>GEDA</v>
      </c>
      <c r="J854" s="260">
        <f>IFERROR(_xlfn.XLOOKUP(Table6[[#This Row],[Affected WTG]],'Basic Data'!$A:$A,'Basic Data'!$E:$E),"")</f>
        <v>3.846153846153845E-2</v>
      </c>
      <c r="K854" s="102">
        <v>6130</v>
      </c>
      <c r="L854" s="35" t="str">
        <f>IFERROR(_xlfn.XLOOKUP(Table6[[#This Row],[Error Code]],'Basic Data'!$AA:$AA,'Basic Data'!$AB:$AB),"Incorrect Error Code")</f>
        <v>Yaw speed high</v>
      </c>
      <c r="M854" s="35" t="s">
        <v>278</v>
      </c>
      <c r="N854" s="264"/>
      <c r="O854" s="265">
        <v>0.17847222222222223</v>
      </c>
      <c r="P854" s="265">
        <v>0.18263888888888888</v>
      </c>
      <c r="Q854" s="266">
        <v>0.18263888888888888</v>
      </c>
      <c r="R854" s="261">
        <f>IF(Table6[[#This Row],[Work Start TimeStamp]]="","",(Table6[[#This Row],[Work Start TimeStamp]]-Table6[[#This Row],[Fault Start TimeStamp]])*24)</f>
        <v>9.9999999999999645E-2</v>
      </c>
      <c r="S854" s="261">
        <f>(Table6[[#This Row],[Fault Clearance time]]-Table6[[#This Row],[Work Start TimeStamp]])*24</f>
        <v>0</v>
      </c>
      <c r="T854" s="261">
        <f>(Table6[[#This Row],[Fault Clearance time]]-Table6[[#This Row],[Fault Start TimeStamp]])*24</f>
        <v>9.9999999999999645E-2</v>
      </c>
      <c r="U854" s="35" t="s">
        <v>277</v>
      </c>
      <c r="V854" s="102" t="s">
        <v>268</v>
      </c>
      <c r="W854" s="267">
        <f>IFERROR(Table6[[#This Row],[Breakdown Time]]*Table6[[#This Row],[Plant Equivalent Weightage]],"")</f>
        <v>3.8461538461538312E-3</v>
      </c>
      <c r="X854" s="262" t="s">
        <v>269</v>
      </c>
      <c r="Y854" s="263" t="s">
        <v>140</v>
      </c>
      <c r="Z854" s="102">
        <v>33380</v>
      </c>
      <c r="AA854" s="257">
        <f>(Table6[[#This Row],[Paired WTG Generation for loss calculation]]/24)*Table6[[#This Row],[Breakdown Time]]</f>
        <v>139.08333333333283</v>
      </c>
      <c r="AB854" s="102"/>
      <c r="AC854" s="35"/>
      <c r="AD854" s="35"/>
    </row>
    <row r="855" spans="1:30">
      <c r="A855" s="102">
        <f t="shared" si="14"/>
        <v>854</v>
      </c>
      <c r="B855" s="257">
        <f>YEAR(Table6[[#This Row],[Date]])+IF(MONTH(Table6[[#This Row],[Date]])&gt;=4,1,0)</f>
        <v>2026</v>
      </c>
      <c r="C855" s="102">
        <f>YEAR(Table6[[#This Row],[Date]])</f>
        <v>2025</v>
      </c>
      <c r="D855" s="102" t="s">
        <v>265</v>
      </c>
      <c r="E855" s="258">
        <f>Table6[[#This Row],[Date]]-DAY(Table6[[#This Row],[Date]])+1</f>
        <v>45778</v>
      </c>
      <c r="F855" s="259">
        <v>45802</v>
      </c>
      <c r="G855" s="35" t="s">
        <v>122</v>
      </c>
      <c r="H855" s="35" t="str">
        <f>IFERROR(_xlfn.XLOOKUP(Table6[[#This Row],[Affected WTG]],'Basic Data'!$A:$A,'Basic Data'!$B:$B),"")</f>
        <v>TQGXIIPL</v>
      </c>
      <c r="I855" s="35" t="str">
        <f>IFERROR(_xlfn.XLOOKUP(Table6[[#This Row],[Affected WTG]],'Basic Data'!$A:$A,'Basic Data'!$C:$C),"")</f>
        <v>GEDA</v>
      </c>
      <c r="J855" s="260">
        <f>IFERROR(_xlfn.XLOOKUP(Table6[[#This Row],[Affected WTG]],'Basic Data'!$A:$A,'Basic Data'!$E:$E),"")</f>
        <v>3.846153846153845E-2</v>
      </c>
      <c r="K855" s="102">
        <v>55</v>
      </c>
      <c r="L855" s="35" t="str">
        <f>IFERROR(_xlfn.XLOOKUP(Table6[[#This Row],[Error Code]],'Basic Data'!$AA:$AA,'Basic Data'!$AB:$AB),"Incorrect Error Code")</f>
        <v>WTG shut down</v>
      </c>
      <c r="M855" s="35" t="s">
        <v>300</v>
      </c>
      <c r="N855" s="264"/>
      <c r="O855" s="265">
        <v>0.81736111111111109</v>
      </c>
      <c r="P855" s="265">
        <v>0.96388888888888891</v>
      </c>
      <c r="Q855" s="266">
        <v>0.96388888888888891</v>
      </c>
      <c r="R855" s="261">
        <f>IF(Table6[[#This Row],[Work Start TimeStamp]]="","",(Table6[[#This Row],[Work Start TimeStamp]]-Table6[[#This Row],[Fault Start TimeStamp]])*24)</f>
        <v>3.5166666666666675</v>
      </c>
      <c r="S855" s="261">
        <f>(Table6[[#This Row],[Fault Clearance time]]-Table6[[#This Row],[Work Start TimeStamp]])*24</f>
        <v>0</v>
      </c>
      <c r="T855" s="261">
        <f>(Table6[[#This Row],[Fault Clearance time]]-Table6[[#This Row],[Fault Start TimeStamp]])*24</f>
        <v>3.5166666666666675</v>
      </c>
      <c r="U855" s="35" t="s">
        <v>385</v>
      </c>
      <c r="V855" s="102" t="s">
        <v>268</v>
      </c>
      <c r="W855" s="267">
        <f>IFERROR(Table6[[#This Row],[Breakdown Time]]*Table6[[#This Row],[Plant Equivalent Weightage]],"")</f>
        <v>0.13525641025641025</v>
      </c>
      <c r="X855" s="262" t="s">
        <v>269</v>
      </c>
      <c r="Y855" s="263" t="s">
        <v>140</v>
      </c>
      <c r="Z855" s="102">
        <v>33380</v>
      </c>
      <c r="AA855" s="257">
        <f>(Table6[[#This Row],[Paired WTG Generation for loss calculation]]/24)*Table6[[#This Row],[Breakdown Time]]</f>
        <v>4891.0972222222235</v>
      </c>
      <c r="AB855" s="102"/>
      <c r="AC855" s="35"/>
      <c r="AD855" s="35"/>
    </row>
    <row r="856" spans="1:30">
      <c r="A856" s="102">
        <f t="shared" si="14"/>
        <v>855</v>
      </c>
      <c r="B856" s="257">
        <f>YEAR(Table6[[#This Row],[Date]])+IF(MONTH(Table6[[#This Row],[Date]])&gt;=4,1,0)</f>
        <v>2026</v>
      </c>
      <c r="C856" s="102">
        <f>YEAR(Table6[[#This Row],[Date]])</f>
        <v>2025</v>
      </c>
      <c r="D856" s="102" t="s">
        <v>265</v>
      </c>
      <c r="E856" s="258">
        <f>Table6[[#This Row],[Date]]-DAY(Table6[[#This Row],[Date]])+1</f>
        <v>45778</v>
      </c>
      <c r="F856" s="259">
        <v>45802</v>
      </c>
      <c r="G856" s="35" t="s">
        <v>126</v>
      </c>
      <c r="H856" s="35" t="str">
        <f>IFERROR(_xlfn.XLOOKUP(Table6[[#This Row],[Affected WTG]],'Basic Data'!$A:$A,'Basic Data'!$B:$B),"")</f>
        <v>TQGXIIPL</v>
      </c>
      <c r="I856" s="35" t="str">
        <f>IFERROR(_xlfn.XLOOKUP(Table6[[#This Row],[Affected WTG]],'Basic Data'!$A:$A,'Basic Data'!$C:$C),"")</f>
        <v>GEDA</v>
      </c>
      <c r="J856" s="260">
        <f>IFERROR(_xlfn.XLOOKUP(Table6[[#This Row],[Affected WTG]],'Basic Data'!$A:$A,'Basic Data'!$E:$E),"")</f>
        <v>3.846153846153845E-2</v>
      </c>
      <c r="K856" s="102">
        <v>55</v>
      </c>
      <c r="L856" s="35" t="str">
        <f>IFERROR(_xlfn.XLOOKUP(Table6[[#This Row],[Error Code]],'Basic Data'!$AA:$AA,'Basic Data'!$AB:$AB),"Incorrect Error Code")</f>
        <v>WTG shut down</v>
      </c>
      <c r="M856" s="35" t="s">
        <v>300</v>
      </c>
      <c r="N856" s="264"/>
      <c r="O856" s="265">
        <v>0</v>
      </c>
      <c r="P856" s="265">
        <v>5.5555555555555552E-2</v>
      </c>
      <c r="Q856" s="266">
        <v>5.5555555555555552E-2</v>
      </c>
      <c r="R856" s="261">
        <f>IF(Table6[[#This Row],[Work Start TimeStamp]]="","",(Table6[[#This Row],[Work Start TimeStamp]]-Table6[[#This Row],[Fault Start TimeStamp]])*24)</f>
        <v>1.3333333333333333</v>
      </c>
      <c r="S856" s="261">
        <f>(Table6[[#This Row],[Fault Clearance time]]-Table6[[#This Row],[Work Start TimeStamp]])*24</f>
        <v>0</v>
      </c>
      <c r="T856" s="261">
        <f>(Table6[[#This Row],[Fault Clearance time]]-Table6[[#This Row],[Fault Start TimeStamp]])*24</f>
        <v>1.3333333333333333</v>
      </c>
      <c r="U856" s="35" t="s">
        <v>385</v>
      </c>
      <c r="V856" s="102" t="s">
        <v>268</v>
      </c>
      <c r="W856" s="267">
        <f>IFERROR(Table6[[#This Row],[Breakdown Time]]*Table6[[#This Row],[Plant Equivalent Weightage]],"")</f>
        <v>5.1282051282051266E-2</v>
      </c>
      <c r="X856" s="262" t="s">
        <v>269</v>
      </c>
      <c r="Y856" s="263" t="s">
        <v>128</v>
      </c>
      <c r="Z856" s="102">
        <v>34055</v>
      </c>
      <c r="AA856" s="257">
        <f>(Table6[[#This Row],[Paired WTG Generation for loss calculation]]/24)*Table6[[#This Row],[Breakdown Time]]</f>
        <v>1891.9444444444443</v>
      </c>
      <c r="AB856" s="102"/>
      <c r="AC856" s="35"/>
      <c r="AD856" s="35"/>
    </row>
    <row r="857" spans="1:30">
      <c r="A857" s="102">
        <f t="shared" si="14"/>
        <v>856</v>
      </c>
      <c r="B857" s="257">
        <f>YEAR(Table6[[#This Row],[Date]])+IF(MONTH(Table6[[#This Row],[Date]])&gt;=4,1,0)</f>
        <v>2026</v>
      </c>
      <c r="C857" s="102">
        <f>YEAR(Table6[[#This Row],[Date]])</f>
        <v>2025</v>
      </c>
      <c r="D857" s="102" t="s">
        <v>265</v>
      </c>
      <c r="E857" s="258">
        <f>Table6[[#This Row],[Date]]-DAY(Table6[[#This Row],[Date]])+1</f>
        <v>45778</v>
      </c>
      <c r="F857" s="259">
        <v>45802</v>
      </c>
      <c r="G857" s="35" t="s">
        <v>126</v>
      </c>
      <c r="H857" s="35" t="str">
        <f>IFERROR(_xlfn.XLOOKUP(Table6[[#This Row],[Affected WTG]],'Basic Data'!$A:$A,'Basic Data'!$B:$B),"")</f>
        <v>TQGXIIPL</v>
      </c>
      <c r="I857" s="35" t="str">
        <f>IFERROR(_xlfn.XLOOKUP(Table6[[#This Row],[Affected WTG]],'Basic Data'!$A:$A,'Basic Data'!$C:$C),"")</f>
        <v>GEDA</v>
      </c>
      <c r="J857" s="260">
        <f>IFERROR(_xlfn.XLOOKUP(Table6[[#This Row],[Affected WTG]],'Basic Data'!$A:$A,'Basic Data'!$E:$E),"")</f>
        <v>3.846153846153845E-2</v>
      </c>
      <c r="K857" s="102">
        <v>665</v>
      </c>
      <c r="L857" s="35" t="str">
        <f>IFERROR(_xlfn.XLOOKUP(Table6[[#This Row],[Error Code]],'Basic Data'!$AA:$AA,'Basic Data'!$AB:$AB),"Incorrect Error Code")</f>
        <v>Pitch error</v>
      </c>
      <c r="M857" s="35" t="s">
        <v>278</v>
      </c>
      <c r="N857" s="264"/>
      <c r="O857" s="265">
        <v>5.6250000000000001E-2</v>
      </c>
      <c r="P857" s="265">
        <v>5.9722222222222225E-2</v>
      </c>
      <c r="Q857" s="266">
        <v>5.9722222222222225E-2</v>
      </c>
      <c r="R857" s="261">
        <f>IF(Table6[[#This Row],[Work Start TimeStamp]]="","",(Table6[[#This Row],[Work Start TimeStamp]]-Table6[[#This Row],[Fault Start TimeStamp]])*24)</f>
        <v>8.333333333333337E-2</v>
      </c>
      <c r="S857" s="261">
        <f>(Table6[[#This Row],[Fault Clearance time]]-Table6[[#This Row],[Work Start TimeStamp]])*24</f>
        <v>0</v>
      </c>
      <c r="T857" s="261">
        <f>(Table6[[#This Row],[Fault Clearance time]]-Table6[[#This Row],[Fault Start TimeStamp]])*24</f>
        <v>8.333333333333337E-2</v>
      </c>
      <c r="U857" s="35" t="s">
        <v>293</v>
      </c>
      <c r="V857" s="102" t="s">
        <v>268</v>
      </c>
      <c r="W857" s="267">
        <f>IFERROR(Table6[[#This Row],[Breakdown Time]]*Table6[[#This Row],[Plant Equivalent Weightage]],"")</f>
        <v>3.2051282051282055E-3</v>
      </c>
      <c r="X857" s="262" t="s">
        <v>269</v>
      </c>
      <c r="Y857" s="263" t="s">
        <v>128</v>
      </c>
      <c r="Z857" s="102">
        <v>34055</v>
      </c>
      <c r="AA857" s="257">
        <f>(Table6[[#This Row],[Paired WTG Generation for loss calculation]]/24)*Table6[[#This Row],[Breakdown Time]]</f>
        <v>118.24652777777783</v>
      </c>
      <c r="AB857" s="102"/>
      <c r="AC857" s="35"/>
      <c r="AD857" s="35"/>
    </row>
    <row r="858" spans="1:30">
      <c r="A858" s="102">
        <f t="shared" si="14"/>
        <v>857</v>
      </c>
      <c r="B858" s="257">
        <f>YEAR(Table6[[#This Row],[Date]])+IF(MONTH(Table6[[#This Row],[Date]])&gt;=4,1,0)</f>
        <v>2026</v>
      </c>
      <c r="C858" s="102">
        <f>YEAR(Table6[[#This Row],[Date]])</f>
        <v>2025</v>
      </c>
      <c r="D858" s="102" t="s">
        <v>265</v>
      </c>
      <c r="E858" s="258">
        <f>Table6[[#This Row],[Date]]-DAY(Table6[[#This Row],[Date]])+1</f>
        <v>45778</v>
      </c>
      <c r="F858" s="259">
        <v>45802</v>
      </c>
      <c r="G858" s="35" t="s">
        <v>135</v>
      </c>
      <c r="H858" s="35" t="str">
        <f>IFERROR(_xlfn.XLOOKUP(Table6[[#This Row],[Affected WTG]],'Basic Data'!$A:$A,'Basic Data'!$B:$B),"")</f>
        <v>TQGXIIPL</v>
      </c>
      <c r="I858" s="35" t="str">
        <f>IFERROR(_xlfn.XLOOKUP(Table6[[#This Row],[Affected WTG]],'Basic Data'!$A:$A,'Basic Data'!$C:$C),"")</f>
        <v>GEDA</v>
      </c>
      <c r="J858" s="260">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291</v>
      </c>
      <c r="N858" s="264"/>
      <c r="O858" s="265">
        <v>0.59097222222222223</v>
      </c>
      <c r="P858" s="265">
        <v>0.65625</v>
      </c>
      <c r="Q858" s="266">
        <v>0.99722222222222223</v>
      </c>
      <c r="R858" s="261">
        <f>IF(Table6[[#This Row],[Work Start TimeStamp]]="","",(Table6[[#This Row],[Work Start TimeStamp]]-Table6[[#This Row],[Fault Start TimeStamp]])*24)</f>
        <v>1.5666666666666664</v>
      </c>
      <c r="S858" s="261">
        <f>(Table6[[#This Row],[Fault Clearance time]]-Table6[[#This Row],[Work Start TimeStamp]])*24</f>
        <v>8.1833333333333336</v>
      </c>
      <c r="T858" s="261">
        <f>(Table6[[#This Row],[Fault Clearance time]]-Table6[[#This Row],[Fault Start TimeStamp]])*24</f>
        <v>9.75</v>
      </c>
      <c r="U858" s="35" t="s">
        <v>472</v>
      </c>
      <c r="V858" s="102" t="s">
        <v>268</v>
      </c>
      <c r="W858" s="267">
        <f>IFERROR(Table6[[#This Row],[Breakdown Time]]*Table6[[#This Row],[Plant Equivalent Weightage]],"")</f>
        <v>0.37499999999999989</v>
      </c>
      <c r="X858" s="262" t="s">
        <v>296</v>
      </c>
      <c r="Y858" s="263" t="s">
        <v>120</v>
      </c>
      <c r="Z858" s="102">
        <v>37549</v>
      </c>
      <c r="AA858" s="257">
        <f>(Table6[[#This Row],[Paired WTG Generation for loss calculation]]/24)*Table6[[#This Row],[Breakdown Time]]</f>
        <v>15254.28125</v>
      </c>
      <c r="AB858" s="102"/>
      <c r="AC858" s="35"/>
      <c r="AD858" s="35"/>
    </row>
    <row r="859" spans="1:30">
      <c r="A859" s="102">
        <f t="shared" si="14"/>
        <v>858</v>
      </c>
      <c r="B859" s="257">
        <f>YEAR(Table6[[#This Row],[Date]])+IF(MONTH(Table6[[#This Row],[Date]])&gt;=4,1,0)</f>
        <v>2026</v>
      </c>
      <c r="C859" s="102">
        <f>YEAR(Table6[[#This Row],[Date]])</f>
        <v>2025</v>
      </c>
      <c r="D859" s="102" t="s">
        <v>265</v>
      </c>
      <c r="E859" s="258">
        <f>Table6[[#This Row],[Date]]-DAY(Table6[[#This Row],[Date]])+1</f>
        <v>45778</v>
      </c>
      <c r="F859" s="259">
        <v>45802</v>
      </c>
      <c r="G859" s="35" t="s">
        <v>139</v>
      </c>
      <c r="H859" s="35" t="str">
        <f>IFERROR(_xlfn.XLOOKUP(Table6[[#This Row],[Affected WTG]],'Basic Data'!$A:$A,'Basic Data'!$B:$B),"")</f>
        <v>TQGXIIPL</v>
      </c>
      <c r="I859" s="35" t="str">
        <f>IFERROR(_xlfn.XLOOKUP(Table6[[#This Row],[Affected WTG]],'Basic Data'!$A:$A,'Basic Data'!$C:$C),"")</f>
        <v>GEDA</v>
      </c>
      <c r="J859" s="260">
        <f>IFERROR(_xlfn.XLOOKUP(Table6[[#This Row],[Affected WTG]],'Basic Data'!$A:$A,'Basic Data'!$E:$E),"")</f>
        <v>3.846153846153845E-2</v>
      </c>
      <c r="K859" s="102">
        <v>55</v>
      </c>
      <c r="L859" s="35" t="str">
        <f>IFERROR(_xlfn.XLOOKUP(Table6[[#This Row],[Error Code]],'Basic Data'!$AA:$AA,'Basic Data'!$AB:$AB),"Incorrect Error Code")</f>
        <v>WTG shut down</v>
      </c>
      <c r="M859" s="35" t="s">
        <v>300</v>
      </c>
      <c r="N859" s="264"/>
      <c r="O859" s="265">
        <v>0.82708333333333328</v>
      </c>
      <c r="P859" s="265">
        <v>0.93333333333333335</v>
      </c>
      <c r="Q859" s="266">
        <v>0.93333333333333335</v>
      </c>
      <c r="R859" s="261">
        <f>IF(Table6[[#This Row],[Work Start TimeStamp]]="","",(Table6[[#This Row],[Work Start TimeStamp]]-Table6[[#This Row],[Fault Start TimeStamp]])*24)</f>
        <v>2.5500000000000016</v>
      </c>
      <c r="S859" s="261">
        <f>(Table6[[#This Row],[Fault Clearance time]]-Table6[[#This Row],[Work Start TimeStamp]])*24</f>
        <v>0</v>
      </c>
      <c r="T859" s="261">
        <f>(Table6[[#This Row],[Fault Clearance time]]-Table6[[#This Row],[Fault Start TimeStamp]])*24</f>
        <v>2.5500000000000016</v>
      </c>
      <c r="U859" s="35" t="s">
        <v>385</v>
      </c>
      <c r="V859" s="102" t="s">
        <v>268</v>
      </c>
      <c r="W859" s="267">
        <f>IFERROR(Table6[[#This Row],[Breakdown Time]]*Table6[[#This Row],[Plant Equivalent Weightage]],"")</f>
        <v>9.8076923076923103E-2</v>
      </c>
      <c r="X859" s="262" t="s">
        <v>269</v>
      </c>
      <c r="Y859" s="263" t="s">
        <v>115</v>
      </c>
      <c r="Z859" s="102">
        <v>31523</v>
      </c>
      <c r="AA859" s="257">
        <f>(Table6[[#This Row],[Paired WTG Generation for loss calculation]]/24)*Table6[[#This Row],[Breakdown Time]]</f>
        <v>3349.3187500000017</v>
      </c>
      <c r="AB859" s="102"/>
      <c r="AC859" s="35"/>
      <c r="AD859" s="35"/>
    </row>
    <row r="860" spans="1:30">
      <c r="A860" s="102">
        <f t="shared" si="14"/>
        <v>859</v>
      </c>
      <c r="B860" s="257">
        <f>YEAR(Table6[[#This Row],[Date]])+IF(MONTH(Table6[[#This Row],[Date]])&gt;=4,1,0)</f>
        <v>2026</v>
      </c>
      <c r="C860" s="102">
        <f>YEAR(Table6[[#This Row],[Date]])</f>
        <v>2025</v>
      </c>
      <c r="D860" s="102" t="s">
        <v>265</v>
      </c>
      <c r="E860" s="258">
        <f>Table6[[#This Row],[Date]]-DAY(Table6[[#This Row],[Date]])+1</f>
        <v>45778</v>
      </c>
      <c r="F860" s="259">
        <v>45803</v>
      </c>
      <c r="G860" s="35" t="s">
        <v>115</v>
      </c>
      <c r="H860" s="35" t="str">
        <f>IFERROR(_xlfn.XLOOKUP(Table6[[#This Row],[Affected WTG]],'Basic Data'!$A:$A,'Basic Data'!$B:$B),"")</f>
        <v>TQGXIIPL</v>
      </c>
      <c r="I860" s="35" t="str">
        <f>IFERROR(_xlfn.XLOOKUP(Table6[[#This Row],[Affected WTG]],'Basic Data'!$A:$A,'Basic Data'!$C:$C),"")</f>
        <v>GEDA</v>
      </c>
      <c r="J860" s="260">
        <f>IFERROR(_xlfn.XLOOKUP(Table6[[#This Row],[Affected WTG]],'Basic Data'!$A:$A,'Basic Data'!$E:$E),"")</f>
        <v>3.846153846153845E-2</v>
      </c>
      <c r="K860" s="102">
        <v>58</v>
      </c>
      <c r="L860" s="35" t="str">
        <f>IFERROR(_xlfn.XLOOKUP(Table6[[#This Row],[Error Code]],'Basic Data'!$AA:$AA,'Basic Data'!$AB:$AB),"Incorrect Error Code")</f>
        <v>Wind dir.dev. level 2</v>
      </c>
      <c r="M860" s="35" t="s">
        <v>278</v>
      </c>
      <c r="N860" s="264"/>
      <c r="O860" s="265">
        <v>6.2500000000000003E-3</v>
      </c>
      <c r="P860" s="265">
        <v>8.3333333333333332E-3</v>
      </c>
      <c r="Q860" s="266">
        <v>8.3333333333333332E-3</v>
      </c>
      <c r="R860" s="261">
        <f>IF(Table6[[#This Row],[Work Start TimeStamp]]="","",(Table6[[#This Row],[Work Start TimeStamp]]-Table6[[#This Row],[Fault Start TimeStamp]])*24)</f>
        <v>4.9999999999999989E-2</v>
      </c>
      <c r="S860" s="261">
        <f>(Table6[[#This Row],[Fault Clearance time]]-Table6[[#This Row],[Work Start TimeStamp]])*24</f>
        <v>0</v>
      </c>
      <c r="T860" s="261">
        <f>(Table6[[#This Row],[Fault Clearance time]]-Table6[[#This Row],[Fault Start TimeStamp]])*24</f>
        <v>4.9999999999999989E-2</v>
      </c>
      <c r="U860" s="35" t="s">
        <v>277</v>
      </c>
      <c r="V860" s="102" t="s">
        <v>268</v>
      </c>
      <c r="W860" s="267">
        <f>IFERROR(Table6[[#This Row],[Breakdown Time]]*Table6[[#This Row],[Plant Equivalent Weightage]],"")</f>
        <v>1.9230769230769221E-3</v>
      </c>
      <c r="X860" s="262" t="s">
        <v>269</v>
      </c>
      <c r="Y860" s="263" t="s">
        <v>140</v>
      </c>
      <c r="Z860" s="102">
        <v>29985</v>
      </c>
      <c r="AA860" s="257">
        <f>(Table6[[#This Row],[Paired WTG Generation for loss calculation]]/24)*Table6[[#This Row],[Breakdown Time]]</f>
        <v>62.468749999999986</v>
      </c>
      <c r="AB860" s="102"/>
      <c r="AC860" s="35"/>
      <c r="AD860" s="35"/>
    </row>
    <row r="861" spans="1:30">
      <c r="A861" s="102">
        <f t="shared" si="14"/>
        <v>860</v>
      </c>
      <c r="B861" s="257">
        <f>YEAR(Table6[[#This Row],[Date]])+IF(MONTH(Table6[[#This Row],[Date]])&gt;=4,1,0)</f>
        <v>2026</v>
      </c>
      <c r="C861" s="102">
        <f>YEAR(Table6[[#This Row],[Date]])</f>
        <v>2025</v>
      </c>
      <c r="D861" s="102" t="s">
        <v>265</v>
      </c>
      <c r="E861" s="258">
        <f>Table6[[#This Row],[Date]]-DAY(Table6[[#This Row],[Date]])+1</f>
        <v>45778</v>
      </c>
      <c r="F861" s="259">
        <v>45803</v>
      </c>
      <c r="G861" s="35" t="s">
        <v>116</v>
      </c>
      <c r="H861" s="35" t="str">
        <f>IFERROR(_xlfn.XLOOKUP(Table6[[#This Row],[Affected WTG]],'Basic Data'!$A:$A,'Basic Data'!$B:$B),"")</f>
        <v>TQGXIIPL</v>
      </c>
      <c r="I861" s="35" t="str">
        <f>IFERROR(_xlfn.XLOOKUP(Table6[[#This Row],[Affected WTG]],'Basic Data'!$A:$A,'Basic Data'!$C:$C),"")</f>
        <v>GEDA</v>
      </c>
      <c r="J861" s="260">
        <f>IFERROR(_xlfn.XLOOKUP(Table6[[#This Row],[Affected WTG]],'Basic Data'!$A:$A,'Basic Data'!$E:$E),"")</f>
        <v>3.846153846153845E-2</v>
      </c>
      <c r="K861" s="102">
        <v>565</v>
      </c>
      <c r="L861" s="35" t="str">
        <f>IFERROR(_xlfn.XLOOKUP(Table6[[#This Row],[Error Code]],'Basic Data'!$AA:$AA,'Basic Data'!$AB:$AB),"Incorrect Error Code")</f>
        <v>Max. windspeed bladeangle</v>
      </c>
      <c r="M861" s="35" t="s">
        <v>395</v>
      </c>
      <c r="N861" s="264"/>
      <c r="O861" s="265">
        <v>4.8611111111111112E-3</v>
      </c>
      <c r="P861" s="265">
        <v>6.2500000000000003E-3</v>
      </c>
      <c r="Q861" s="266">
        <v>6.2500000000000003E-3</v>
      </c>
      <c r="R861" s="261">
        <f>IF(Table6[[#This Row],[Work Start TimeStamp]]="","",(Table6[[#This Row],[Work Start TimeStamp]]-Table6[[#This Row],[Fault Start TimeStamp]])*24)</f>
        <v>3.333333333333334E-2</v>
      </c>
      <c r="S861" s="261">
        <f>(Table6[[#This Row],[Fault Clearance time]]-Table6[[#This Row],[Work Start TimeStamp]])*24</f>
        <v>0</v>
      </c>
      <c r="T861" s="261">
        <f>(Table6[[#This Row],[Fault Clearance time]]-Table6[[#This Row],[Fault Start TimeStamp]])*24</f>
        <v>3.333333333333334E-2</v>
      </c>
      <c r="U861" s="35" t="s">
        <v>277</v>
      </c>
      <c r="V861" s="102" t="s">
        <v>268</v>
      </c>
      <c r="W861" s="267">
        <f>IFERROR(Table6[[#This Row],[Breakdown Time]]*Table6[[#This Row],[Plant Equivalent Weightage]],"")</f>
        <v>1.2820512820512818E-3</v>
      </c>
      <c r="X861" s="262" t="s">
        <v>269</v>
      </c>
      <c r="Y861" s="263" t="s">
        <v>119</v>
      </c>
      <c r="Z861" s="102">
        <v>29206</v>
      </c>
      <c r="AA861" s="257">
        <f>(Table6[[#This Row],[Paired WTG Generation for loss calculation]]/24)*Table6[[#This Row],[Breakdown Time]]</f>
        <v>40.563888888888897</v>
      </c>
      <c r="AB861" s="102"/>
      <c r="AC861" s="35"/>
      <c r="AD861" s="35"/>
    </row>
    <row r="862" spans="1:30">
      <c r="A862" s="102">
        <f t="shared" si="14"/>
        <v>861</v>
      </c>
      <c r="B862" s="257">
        <f>YEAR(Table6[[#This Row],[Date]])+IF(MONTH(Table6[[#This Row],[Date]])&gt;=4,1,0)</f>
        <v>2026</v>
      </c>
      <c r="C862" s="102">
        <f>YEAR(Table6[[#This Row],[Date]])</f>
        <v>2025</v>
      </c>
      <c r="D862" s="102" t="s">
        <v>265</v>
      </c>
      <c r="E862" s="258">
        <f>Table6[[#This Row],[Date]]-DAY(Table6[[#This Row],[Date]])+1</f>
        <v>45778</v>
      </c>
      <c r="F862" s="259">
        <v>45803</v>
      </c>
      <c r="G862" s="35" t="s">
        <v>117</v>
      </c>
      <c r="H862" s="35" t="str">
        <f>IFERROR(_xlfn.XLOOKUP(Table6[[#This Row],[Affected WTG]],'Basic Data'!$A:$A,'Basic Data'!$B:$B),"")</f>
        <v>TQGXIIPL</v>
      </c>
      <c r="I862" s="35" t="str">
        <f>IFERROR(_xlfn.XLOOKUP(Table6[[#This Row],[Affected WTG]],'Basic Data'!$A:$A,'Basic Data'!$C:$C),"")</f>
        <v>GEDA</v>
      </c>
      <c r="J862" s="260">
        <f>IFERROR(_xlfn.XLOOKUP(Table6[[#This Row],[Affected WTG]],'Basic Data'!$A:$A,'Basic Data'!$E:$E),"")</f>
        <v>3.846153846153845E-2</v>
      </c>
      <c r="K862" s="102">
        <v>53</v>
      </c>
      <c r="L862" s="35" t="str">
        <f>IFERROR(_xlfn.XLOOKUP(Table6[[#This Row],[Error Code]],'Basic Data'!$AA:$AA,'Basic Data'!$AB:$AB),"Incorrect Error Code")</f>
        <v>Wind dir.dev. level 1</v>
      </c>
      <c r="M862" s="35" t="s">
        <v>278</v>
      </c>
      <c r="N862" s="264"/>
      <c r="O862" s="265">
        <v>9.7222222222222224E-3</v>
      </c>
      <c r="P862" s="265">
        <v>1.1805555555555555E-2</v>
      </c>
      <c r="Q862" s="266">
        <v>1.1805555555555555E-2</v>
      </c>
      <c r="R862" s="261">
        <f>IF(Table6[[#This Row],[Work Start TimeStamp]]="","",(Table6[[#This Row],[Work Start TimeStamp]]-Table6[[#This Row],[Fault Start TimeStamp]])*24)</f>
        <v>4.9999999999999989E-2</v>
      </c>
      <c r="S862" s="261">
        <f>(Table6[[#This Row],[Fault Clearance time]]-Table6[[#This Row],[Work Start TimeStamp]])*24</f>
        <v>0</v>
      </c>
      <c r="T862" s="261">
        <f>(Table6[[#This Row],[Fault Clearance time]]-Table6[[#This Row],[Fault Start TimeStamp]])*24</f>
        <v>4.9999999999999989E-2</v>
      </c>
      <c r="U862" s="35" t="s">
        <v>277</v>
      </c>
      <c r="V862" s="102" t="s">
        <v>268</v>
      </c>
      <c r="W862" s="267">
        <f>IFERROR(Table6[[#This Row],[Breakdown Time]]*Table6[[#This Row],[Plant Equivalent Weightage]],"")</f>
        <v>1.9230769230769221E-3</v>
      </c>
      <c r="X862" s="262" t="s">
        <v>269</v>
      </c>
      <c r="Y862" s="263" t="s">
        <v>123</v>
      </c>
      <c r="Z862" s="102">
        <v>30386</v>
      </c>
      <c r="AA862" s="257">
        <f>(Table6[[#This Row],[Paired WTG Generation for loss calculation]]/24)*Table6[[#This Row],[Breakdown Time]]</f>
        <v>63.304166666666646</v>
      </c>
      <c r="AB862" s="102"/>
      <c r="AC862" s="35"/>
      <c r="AD862" s="35"/>
    </row>
    <row r="863" spans="1:30">
      <c r="A863" s="102">
        <f t="shared" si="14"/>
        <v>862</v>
      </c>
      <c r="B863" s="257">
        <f>YEAR(Table6[[#This Row],[Date]])+IF(MONTH(Table6[[#This Row],[Date]])&gt;=4,1,0)</f>
        <v>2026</v>
      </c>
      <c r="C863" s="102">
        <f>YEAR(Table6[[#This Row],[Date]])</f>
        <v>2025</v>
      </c>
      <c r="D863" s="102" t="s">
        <v>265</v>
      </c>
      <c r="E863" s="258">
        <f>Table6[[#This Row],[Date]]-DAY(Table6[[#This Row],[Date]])+1</f>
        <v>45778</v>
      </c>
      <c r="F863" s="259">
        <v>45803</v>
      </c>
      <c r="G863" s="35" t="s">
        <v>117</v>
      </c>
      <c r="H863" s="35" t="str">
        <f>IFERROR(_xlfn.XLOOKUP(Table6[[#This Row],[Affected WTG]],'Basic Data'!$A:$A,'Basic Data'!$B:$B),"")</f>
        <v>TQGXIIPL</v>
      </c>
      <c r="I863" s="35" t="str">
        <f>IFERROR(_xlfn.XLOOKUP(Table6[[#This Row],[Affected WTG]],'Basic Data'!$A:$A,'Basic Data'!$C:$C),"")</f>
        <v>GEDA</v>
      </c>
      <c r="J863" s="260">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266</v>
      </c>
      <c r="N863" s="264"/>
      <c r="O863" s="265">
        <v>3.5416666666666666E-2</v>
      </c>
      <c r="P863" s="265">
        <v>4.2361111111111113E-2</v>
      </c>
      <c r="Q863" s="266">
        <v>4.2361111111111113E-2</v>
      </c>
      <c r="R863" s="261">
        <f>IF(Table6[[#This Row],[Work Start TimeStamp]]="","",(Table6[[#This Row],[Work Start TimeStamp]]-Table6[[#This Row],[Fault Start TimeStamp]])*24)</f>
        <v>0.16666666666666674</v>
      </c>
      <c r="S863" s="261">
        <f>(Table6[[#This Row],[Fault Clearance time]]-Table6[[#This Row],[Work Start TimeStamp]])*24</f>
        <v>0</v>
      </c>
      <c r="T863" s="261">
        <f>(Table6[[#This Row],[Fault Clearance time]]-Table6[[#This Row],[Fault Start TimeStamp]])*24</f>
        <v>0.16666666666666674</v>
      </c>
      <c r="U863" s="35" t="s">
        <v>464</v>
      </c>
      <c r="V863" s="102" t="s">
        <v>268</v>
      </c>
      <c r="W863" s="267">
        <f>IFERROR(Table6[[#This Row],[Breakdown Time]]*Table6[[#This Row],[Plant Equivalent Weightage]],"")</f>
        <v>6.4102564102564109E-3</v>
      </c>
      <c r="X863" s="262" t="s">
        <v>296</v>
      </c>
      <c r="Y863" s="263" t="s">
        <v>123</v>
      </c>
      <c r="Z863" s="102">
        <v>30386</v>
      </c>
      <c r="AA863" s="257">
        <f>(Table6[[#This Row],[Paired WTG Generation for loss calculation]]/24)*Table6[[#This Row],[Breakdown Time]]</f>
        <v>211.01388888888897</v>
      </c>
      <c r="AB863" s="102"/>
      <c r="AC863" s="35"/>
      <c r="AD863" s="35"/>
    </row>
    <row r="864" spans="1:30">
      <c r="A864" s="102">
        <f t="shared" si="14"/>
        <v>863</v>
      </c>
      <c r="B864" s="257">
        <f>YEAR(Table6[[#This Row],[Date]])+IF(MONTH(Table6[[#This Row],[Date]])&gt;=4,1,0)</f>
        <v>2026</v>
      </c>
      <c r="C864" s="102">
        <f>YEAR(Table6[[#This Row],[Date]])</f>
        <v>2025</v>
      </c>
      <c r="D864" s="102" t="s">
        <v>265</v>
      </c>
      <c r="E864" s="258">
        <f>Table6[[#This Row],[Date]]-DAY(Table6[[#This Row],[Date]])+1</f>
        <v>45778</v>
      </c>
      <c r="F864" s="259">
        <v>45803</v>
      </c>
      <c r="G864" s="35" t="s">
        <v>118</v>
      </c>
      <c r="H864" s="35" t="str">
        <f>IFERROR(_xlfn.XLOOKUP(Table6[[#This Row],[Affected WTG]],'Basic Data'!$A:$A,'Basic Data'!$B:$B),"")</f>
        <v>TQGXIIPL</v>
      </c>
      <c r="I864" s="35" t="str">
        <f>IFERROR(_xlfn.XLOOKUP(Table6[[#This Row],[Affected WTG]],'Basic Data'!$A:$A,'Basic Data'!$C:$C),"")</f>
        <v>GEDA</v>
      </c>
      <c r="J864" s="260">
        <f>IFERROR(_xlfn.XLOOKUP(Table6[[#This Row],[Affected WTG]],'Basic Data'!$A:$A,'Basic Data'!$E:$E),"")</f>
        <v>3.846153846153845E-2</v>
      </c>
      <c r="K864" s="102">
        <v>3420</v>
      </c>
      <c r="L864" s="35" t="str">
        <f>IFERROR(_xlfn.XLOOKUP(Table6[[#This Row],[Error Code]],'Basic Data'!$AA:$AA,'Basic Data'!$AB:$AB),"Incorrect Error Code")</f>
        <v>UPS buffer time too short</v>
      </c>
      <c r="M864" s="35" t="s">
        <v>266</v>
      </c>
      <c r="N864" s="264"/>
      <c r="O864" s="265">
        <v>3.6111111111111108E-2</v>
      </c>
      <c r="P864" s="265">
        <v>4.2361111111111113E-2</v>
      </c>
      <c r="Q864" s="266">
        <v>4.2361111111111113E-2</v>
      </c>
      <c r="R864" s="261">
        <f>IF(Table6[[#This Row],[Work Start TimeStamp]]="","",(Table6[[#This Row],[Work Start TimeStamp]]-Table6[[#This Row],[Fault Start TimeStamp]])*24)</f>
        <v>0.15000000000000013</v>
      </c>
      <c r="S864" s="261">
        <f>(Table6[[#This Row],[Fault Clearance time]]-Table6[[#This Row],[Work Start TimeStamp]])*24</f>
        <v>0</v>
      </c>
      <c r="T864" s="261">
        <f>(Table6[[#This Row],[Fault Clearance time]]-Table6[[#This Row],[Fault Start TimeStamp]])*24</f>
        <v>0.15000000000000013</v>
      </c>
      <c r="U864" s="35" t="s">
        <v>464</v>
      </c>
      <c r="V864" s="102" t="s">
        <v>268</v>
      </c>
      <c r="W864" s="267">
        <f>IFERROR(Table6[[#This Row],[Breakdown Time]]*Table6[[#This Row],[Plant Equivalent Weightage]],"")</f>
        <v>5.769230769230773E-3</v>
      </c>
      <c r="X864" s="262" t="s">
        <v>296</v>
      </c>
      <c r="Y864" s="263" t="s">
        <v>121</v>
      </c>
      <c r="Z864" s="102">
        <v>29635</v>
      </c>
      <c r="AA864" s="257">
        <f>(Table6[[#This Row],[Paired WTG Generation for loss calculation]]/24)*Table6[[#This Row],[Breakdown Time]]</f>
        <v>185.21875000000017</v>
      </c>
      <c r="AB864" s="102"/>
      <c r="AC864" s="35"/>
      <c r="AD864" s="35"/>
    </row>
    <row r="865" spans="1:30">
      <c r="A865" s="102">
        <f t="shared" si="14"/>
        <v>864</v>
      </c>
      <c r="B865" s="257">
        <f>YEAR(Table6[[#This Row],[Date]])+IF(MONTH(Table6[[#This Row],[Date]])&gt;=4,1,0)</f>
        <v>2026</v>
      </c>
      <c r="C865" s="102">
        <f>YEAR(Table6[[#This Row],[Date]])</f>
        <v>2025</v>
      </c>
      <c r="D865" s="102" t="s">
        <v>265</v>
      </c>
      <c r="E865" s="258">
        <f>Table6[[#This Row],[Date]]-DAY(Table6[[#This Row],[Date]])+1</f>
        <v>45778</v>
      </c>
      <c r="F865" s="259">
        <v>45803</v>
      </c>
      <c r="G865" s="35" t="s">
        <v>118</v>
      </c>
      <c r="H865" s="35" t="str">
        <f>IFERROR(_xlfn.XLOOKUP(Table6[[#This Row],[Affected WTG]],'Basic Data'!$A:$A,'Basic Data'!$B:$B),"")</f>
        <v>TQGXIIPL</v>
      </c>
      <c r="I865" s="35" t="str">
        <f>IFERROR(_xlfn.XLOOKUP(Table6[[#This Row],[Affected WTG]],'Basic Data'!$A:$A,'Basic Data'!$C:$C),"")</f>
        <v>GEDA</v>
      </c>
      <c r="J865" s="260">
        <f>IFERROR(_xlfn.XLOOKUP(Table6[[#This Row],[Affected WTG]],'Basic Data'!$A:$A,'Basic Data'!$E:$E),"")</f>
        <v>3.846153846153845E-2</v>
      </c>
      <c r="K865" s="102">
        <v>6130</v>
      </c>
      <c r="L865" s="35" t="str">
        <f>IFERROR(_xlfn.XLOOKUP(Table6[[#This Row],[Error Code]],'Basic Data'!$AA:$AA,'Basic Data'!$AB:$AB),"Incorrect Error Code")</f>
        <v>Yaw speed high</v>
      </c>
      <c r="M865" s="35" t="s">
        <v>278</v>
      </c>
      <c r="N865" s="264"/>
      <c r="O865" s="265">
        <v>0.19583333333333333</v>
      </c>
      <c r="P865" s="265">
        <v>0.2</v>
      </c>
      <c r="Q865" s="266">
        <v>0.2</v>
      </c>
      <c r="R865" s="261">
        <f>IF(Table6[[#This Row],[Work Start TimeStamp]]="","",(Table6[[#This Row],[Work Start TimeStamp]]-Table6[[#This Row],[Fault Start TimeStamp]])*24)</f>
        <v>0.10000000000000031</v>
      </c>
      <c r="S865" s="261">
        <f>(Table6[[#This Row],[Fault Clearance time]]-Table6[[#This Row],[Work Start TimeStamp]])*24</f>
        <v>0</v>
      </c>
      <c r="T865" s="261">
        <f>(Table6[[#This Row],[Fault Clearance time]]-Table6[[#This Row],[Fault Start TimeStamp]])*24</f>
        <v>0.10000000000000031</v>
      </c>
      <c r="U865" s="35" t="s">
        <v>277</v>
      </c>
      <c r="V865" s="102" t="s">
        <v>268</v>
      </c>
      <c r="W865" s="267">
        <f>IFERROR(Table6[[#This Row],[Breakdown Time]]*Table6[[#This Row],[Plant Equivalent Weightage]],"")</f>
        <v>3.8461538461538568E-3</v>
      </c>
      <c r="X865" s="262" t="s">
        <v>269</v>
      </c>
      <c r="Y865" s="263" t="s">
        <v>121</v>
      </c>
      <c r="Z865" s="102">
        <v>29635</v>
      </c>
      <c r="AA865" s="257">
        <f>(Table6[[#This Row],[Paired WTG Generation for loss calculation]]/24)*Table6[[#This Row],[Breakdown Time]]</f>
        <v>123.47916666666706</v>
      </c>
      <c r="AB865" s="102"/>
      <c r="AC865" s="35"/>
      <c r="AD865" s="35"/>
    </row>
    <row r="866" spans="1:30">
      <c r="A866" s="102">
        <f t="shared" si="14"/>
        <v>865</v>
      </c>
      <c r="B866" s="257">
        <f>YEAR(Table6[[#This Row],[Date]])+IF(MONTH(Table6[[#This Row],[Date]])&gt;=4,1,0)</f>
        <v>2026</v>
      </c>
      <c r="C866" s="102">
        <f>YEAR(Table6[[#This Row],[Date]])</f>
        <v>2025</v>
      </c>
      <c r="D866" s="102" t="s">
        <v>265</v>
      </c>
      <c r="E866" s="258">
        <f>Table6[[#This Row],[Date]]-DAY(Table6[[#This Row],[Date]])+1</f>
        <v>45778</v>
      </c>
      <c r="F866" s="259">
        <v>45803</v>
      </c>
      <c r="G866" s="35" t="s">
        <v>119</v>
      </c>
      <c r="H866" s="35" t="str">
        <f>IFERROR(_xlfn.XLOOKUP(Table6[[#This Row],[Affected WTG]],'Basic Data'!$A:$A,'Basic Data'!$B:$B),"")</f>
        <v>TQGXIIPL</v>
      </c>
      <c r="I866" s="35" t="str">
        <f>IFERROR(_xlfn.XLOOKUP(Table6[[#This Row],[Affected WTG]],'Basic Data'!$A:$A,'Basic Data'!$C:$C),"")</f>
        <v>GEDA</v>
      </c>
      <c r="J866" s="260">
        <f>IFERROR(_xlfn.XLOOKUP(Table6[[#This Row],[Affected WTG]],'Basic Data'!$A:$A,'Basic Data'!$E:$E),"")</f>
        <v>3.846153846153845E-2</v>
      </c>
      <c r="K866" s="102">
        <v>53</v>
      </c>
      <c r="L866" s="35" t="str">
        <f>IFERROR(_xlfn.XLOOKUP(Table6[[#This Row],[Error Code]],'Basic Data'!$AA:$AA,'Basic Data'!$AB:$AB),"Incorrect Error Code")</f>
        <v>Wind dir.dev. level 1</v>
      </c>
      <c r="M866" s="35" t="s">
        <v>278</v>
      </c>
      <c r="N866" s="264"/>
      <c r="O866" s="265">
        <v>1.5972222222222221E-2</v>
      </c>
      <c r="P866" s="265">
        <v>1.7361111111111112E-2</v>
      </c>
      <c r="Q866" s="266">
        <v>1.7361111111111112E-2</v>
      </c>
      <c r="R866" s="261">
        <f>IF(Table6[[#This Row],[Work Start TimeStamp]]="","",(Table6[[#This Row],[Work Start TimeStamp]]-Table6[[#This Row],[Fault Start TimeStamp]])*24)</f>
        <v>3.3333333333333381E-2</v>
      </c>
      <c r="S866" s="261">
        <f>(Table6[[#This Row],[Fault Clearance time]]-Table6[[#This Row],[Work Start TimeStamp]])*24</f>
        <v>0</v>
      </c>
      <c r="T866" s="261">
        <f>(Table6[[#This Row],[Fault Clearance time]]-Table6[[#This Row],[Fault Start TimeStamp]])*24</f>
        <v>3.3333333333333381E-2</v>
      </c>
      <c r="U866" s="35" t="s">
        <v>277</v>
      </c>
      <c r="V866" s="102" t="s">
        <v>268</v>
      </c>
      <c r="W866" s="267">
        <f>IFERROR(Table6[[#This Row],[Breakdown Time]]*Table6[[#This Row],[Plant Equivalent Weightage]],"")</f>
        <v>1.2820512820512836E-3</v>
      </c>
      <c r="X866" s="262" t="s">
        <v>269</v>
      </c>
      <c r="Y866" s="263" t="s">
        <v>116</v>
      </c>
      <c r="Z866" s="102">
        <v>31689</v>
      </c>
      <c r="AA866" s="257">
        <f>(Table6[[#This Row],[Paired WTG Generation for loss calculation]]/24)*Table6[[#This Row],[Breakdown Time]]</f>
        <v>44.012500000000067</v>
      </c>
      <c r="AB866" s="102"/>
      <c r="AC866" s="35"/>
      <c r="AD866" s="35"/>
    </row>
    <row r="867" spans="1:30">
      <c r="A867" s="102">
        <f t="shared" si="14"/>
        <v>866</v>
      </c>
      <c r="B867" s="257">
        <f>YEAR(Table6[[#This Row],[Date]])+IF(MONTH(Table6[[#This Row],[Date]])&gt;=4,1,0)</f>
        <v>2026</v>
      </c>
      <c r="C867" s="102">
        <f>YEAR(Table6[[#This Row],[Date]])</f>
        <v>2025</v>
      </c>
      <c r="D867" s="102" t="s">
        <v>265</v>
      </c>
      <c r="E867" s="258">
        <f>Table6[[#This Row],[Date]]-DAY(Table6[[#This Row],[Date]])+1</f>
        <v>45778</v>
      </c>
      <c r="F867" s="259">
        <v>45803</v>
      </c>
      <c r="G867" s="35" t="s">
        <v>119</v>
      </c>
      <c r="H867" s="35" t="str">
        <f>IFERROR(_xlfn.XLOOKUP(Table6[[#This Row],[Affected WTG]],'Basic Data'!$A:$A,'Basic Data'!$B:$B),"")</f>
        <v>TQGXIIPL</v>
      </c>
      <c r="I867" s="35" t="str">
        <f>IFERROR(_xlfn.XLOOKUP(Table6[[#This Row],[Affected WTG]],'Basic Data'!$A:$A,'Basic Data'!$C:$C),"")</f>
        <v>GEDA</v>
      </c>
      <c r="J867" s="260">
        <f>IFERROR(_xlfn.XLOOKUP(Table6[[#This Row],[Affected WTG]],'Basic Data'!$A:$A,'Basic Data'!$E:$E),"")</f>
        <v>3.846153846153845E-2</v>
      </c>
      <c r="K867" s="102">
        <v>3420</v>
      </c>
      <c r="L867" s="35" t="str">
        <f>IFERROR(_xlfn.XLOOKUP(Table6[[#This Row],[Error Code]],'Basic Data'!$AA:$AA,'Basic Data'!$AB:$AB),"Incorrect Error Code")</f>
        <v>UPS buffer time too short</v>
      </c>
      <c r="M867" s="35" t="s">
        <v>266</v>
      </c>
      <c r="N867" s="264"/>
      <c r="O867" s="265">
        <v>3.5416666666666666E-2</v>
      </c>
      <c r="P867" s="265">
        <v>5.6250000000000001E-2</v>
      </c>
      <c r="Q867" s="266">
        <v>5.6250000000000001E-2</v>
      </c>
      <c r="R867" s="261">
        <f>IF(Table6[[#This Row],[Work Start TimeStamp]]="","",(Table6[[#This Row],[Work Start TimeStamp]]-Table6[[#This Row],[Fault Start TimeStamp]])*24)</f>
        <v>0.5</v>
      </c>
      <c r="S867" s="261">
        <f>(Table6[[#This Row],[Fault Clearance time]]-Table6[[#This Row],[Work Start TimeStamp]])*24</f>
        <v>0</v>
      </c>
      <c r="T867" s="261">
        <f>(Table6[[#This Row],[Fault Clearance time]]-Table6[[#This Row],[Fault Start TimeStamp]])*24</f>
        <v>0.5</v>
      </c>
      <c r="U867" s="35" t="s">
        <v>464</v>
      </c>
      <c r="V867" s="102" t="s">
        <v>268</v>
      </c>
      <c r="W867" s="267">
        <f>IFERROR(Table6[[#This Row],[Breakdown Time]]*Table6[[#This Row],[Plant Equivalent Weightage]],"")</f>
        <v>1.9230769230769225E-2</v>
      </c>
      <c r="X867" s="262" t="s">
        <v>296</v>
      </c>
      <c r="Y867" s="263" t="s">
        <v>116</v>
      </c>
      <c r="Z867" s="102">
        <v>31689</v>
      </c>
      <c r="AA867" s="257">
        <f>(Table6[[#This Row],[Paired WTG Generation for loss calculation]]/24)*Table6[[#This Row],[Breakdown Time]]</f>
        <v>660.1875</v>
      </c>
      <c r="AB867" s="102"/>
      <c r="AC867" s="35"/>
      <c r="AD867" s="35"/>
    </row>
    <row r="868" spans="1:30">
      <c r="A868" s="102">
        <f t="shared" si="14"/>
        <v>867</v>
      </c>
      <c r="B868" s="257">
        <f>YEAR(Table6[[#This Row],[Date]])+IF(MONTH(Table6[[#This Row],[Date]])&gt;=4,1,0)</f>
        <v>2026</v>
      </c>
      <c r="C868" s="102">
        <f>YEAR(Table6[[#This Row],[Date]])</f>
        <v>2025</v>
      </c>
      <c r="D868" s="102" t="s">
        <v>265</v>
      </c>
      <c r="E868" s="258">
        <f>Table6[[#This Row],[Date]]-DAY(Table6[[#This Row],[Date]])+1</f>
        <v>45778</v>
      </c>
      <c r="F868" s="259">
        <v>45803</v>
      </c>
      <c r="G868" s="35" t="s">
        <v>119</v>
      </c>
      <c r="H868" s="35" t="str">
        <f>IFERROR(_xlfn.XLOOKUP(Table6[[#This Row],[Affected WTG]],'Basic Data'!$A:$A,'Basic Data'!$B:$B),"")</f>
        <v>TQGXIIPL</v>
      </c>
      <c r="I868" s="35" t="str">
        <f>IFERROR(_xlfn.XLOOKUP(Table6[[#This Row],[Affected WTG]],'Basic Data'!$A:$A,'Basic Data'!$C:$C),"")</f>
        <v>GEDA</v>
      </c>
      <c r="J868" s="260">
        <f>IFERROR(_xlfn.XLOOKUP(Table6[[#This Row],[Affected WTG]],'Basic Data'!$A:$A,'Basic Data'!$E:$E),"")</f>
        <v>3.846153846153845E-2</v>
      </c>
      <c r="K868" s="102">
        <v>3110</v>
      </c>
      <c r="L868" s="35" t="str">
        <f>IFERROR(_xlfn.XLOOKUP(Table6[[#This Row],[Error Code]],'Basic Data'!$AA:$AA,'Basic Data'!$AB:$AB),"Incorrect Error Code")</f>
        <v>Frequency converter error</v>
      </c>
      <c r="M868" s="35" t="s">
        <v>266</v>
      </c>
      <c r="N868" s="264"/>
      <c r="O868" s="265">
        <v>6.5972222222222224E-2</v>
      </c>
      <c r="P868" s="265">
        <v>0.1111111111111111</v>
      </c>
      <c r="Q868" s="266">
        <v>0.1111111111111111</v>
      </c>
      <c r="R868" s="261">
        <f>IF(Table6[[#This Row],[Work Start TimeStamp]]="","",(Table6[[#This Row],[Work Start TimeStamp]]-Table6[[#This Row],[Fault Start TimeStamp]])*24)</f>
        <v>1.083333333333333</v>
      </c>
      <c r="S868" s="261">
        <f>(Table6[[#This Row],[Fault Clearance time]]-Table6[[#This Row],[Work Start TimeStamp]])*24</f>
        <v>0</v>
      </c>
      <c r="T868" s="261">
        <f>(Table6[[#This Row],[Fault Clearance time]]-Table6[[#This Row],[Fault Start TimeStamp]])*24</f>
        <v>1.083333333333333</v>
      </c>
      <c r="U868" s="35" t="s">
        <v>464</v>
      </c>
      <c r="V868" s="102" t="s">
        <v>268</v>
      </c>
      <c r="W868" s="267">
        <f>IFERROR(Table6[[#This Row],[Breakdown Time]]*Table6[[#This Row],[Plant Equivalent Weightage]],"")</f>
        <v>4.1666666666666644E-2</v>
      </c>
      <c r="X868" s="262" t="s">
        <v>296</v>
      </c>
      <c r="Y868" s="263" t="s">
        <v>116</v>
      </c>
      <c r="Z868" s="102">
        <v>31689</v>
      </c>
      <c r="AA868" s="257">
        <f>(Table6[[#This Row],[Paired WTG Generation for loss calculation]]/24)*Table6[[#This Row],[Breakdown Time]]</f>
        <v>1430.4062499999995</v>
      </c>
      <c r="AB868" s="102"/>
      <c r="AC868" s="35"/>
      <c r="AD868" s="35"/>
    </row>
    <row r="869" spans="1:30">
      <c r="A869" s="102">
        <f t="shared" si="14"/>
        <v>868</v>
      </c>
      <c r="B869" s="257">
        <f>YEAR(Table6[[#This Row],[Date]])+IF(MONTH(Table6[[#This Row],[Date]])&gt;=4,1,0)</f>
        <v>2026</v>
      </c>
      <c r="C869" s="102">
        <f>YEAR(Table6[[#This Row],[Date]])</f>
        <v>2025</v>
      </c>
      <c r="D869" s="102" t="s">
        <v>265</v>
      </c>
      <c r="E869" s="258">
        <f>Table6[[#This Row],[Date]]-DAY(Table6[[#This Row],[Date]])+1</f>
        <v>45778</v>
      </c>
      <c r="F869" s="259">
        <v>45803</v>
      </c>
      <c r="G869" s="35" t="s">
        <v>119</v>
      </c>
      <c r="H869" s="35" t="str">
        <f>IFERROR(_xlfn.XLOOKUP(Table6[[#This Row],[Affected WTG]],'Basic Data'!$A:$A,'Basic Data'!$B:$B),"")</f>
        <v>TQGXIIPL</v>
      </c>
      <c r="I869" s="35" t="str">
        <f>IFERROR(_xlfn.XLOOKUP(Table6[[#This Row],[Affected WTG]],'Basic Data'!$A:$A,'Basic Data'!$C:$C),"")</f>
        <v>GEDA</v>
      </c>
      <c r="J869" s="260">
        <f>IFERROR(_xlfn.XLOOKUP(Table6[[#This Row],[Affected WTG]],'Basic Data'!$A:$A,'Basic Data'!$E:$E),"")</f>
        <v>3.846153846153845E-2</v>
      </c>
      <c r="K869" s="102">
        <v>2521</v>
      </c>
      <c r="L869" s="35" t="str">
        <f>IFERROR(_xlfn.XLOOKUP(Table6[[#This Row],[Error Code]],'Basic Data'!$AA:$AA,'Basic Data'!$AB:$AB),"Incorrect Error Code")</f>
        <v>Gen.sp.analog &lt;&lt;&gt;&gt; gearb.sp.</v>
      </c>
      <c r="M869" s="35" t="s">
        <v>266</v>
      </c>
      <c r="N869" s="264"/>
      <c r="O869" s="265">
        <v>0.59305555555555556</v>
      </c>
      <c r="P869" s="265">
        <v>0.59861111111111109</v>
      </c>
      <c r="Q869" s="266">
        <v>0.59861111111111109</v>
      </c>
      <c r="R869" s="261">
        <f>IF(Table6[[#This Row],[Work Start TimeStamp]]="","",(Table6[[#This Row],[Work Start TimeStamp]]-Table6[[#This Row],[Fault Start TimeStamp]])*24)</f>
        <v>0.13333333333333286</v>
      </c>
      <c r="S869" s="261">
        <f>(Table6[[#This Row],[Fault Clearance time]]-Table6[[#This Row],[Work Start TimeStamp]])*24</f>
        <v>0</v>
      </c>
      <c r="T869" s="261">
        <f>(Table6[[#This Row],[Fault Clearance time]]-Table6[[#This Row],[Fault Start TimeStamp]])*24</f>
        <v>0.13333333333333286</v>
      </c>
      <c r="U869" s="35" t="s">
        <v>447</v>
      </c>
      <c r="V869" s="102" t="s">
        <v>268</v>
      </c>
      <c r="W869" s="267">
        <f>IFERROR(Table6[[#This Row],[Breakdown Time]]*Table6[[#This Row],[Plant Equivalent Weightage]],"")</f>
        <v>5.1282051282051083E-3</v>
      </c>
      <c r="X869" s="262" t="s">
        <v>296</v>
      </c>
      <c r="Y869" s="263" t="s">
        <v>116</v>
      </c>
      <c r="Z869" s="102">
        <v>31689</v>
      </c>
      <c r="AA869" s="257">
        <f>(Table6[[#This Row],[Paired WTG Generation for loss calculation]]/24)*Table6[[#This Row],[Breakdown Time]]</f>
        <v>176.04999999999939</v>
      </c>
      <c r="AB869" s="102"/>
      <c r="AC869" s="35"/>
      <c r="AD869" s="35"/>
    </row>
    <row r="870" spans="1:30">
      <c r="A870" s="102">
        <f t="shared" si="14"/>
        <v>869</v>
      </c>
      <c r="B870" s="257">
        <f>YEAR(Table6[[#This Row],[Date]])+IF(MONTH(Table6[[#This Row],[Date]])&gt;=4,1,0)</f>
        <v>2026</v>
      </c>
      <c r="C870" s="102">
        <f>YEAR(Table6[[#This Row],[Date]])</f>
        <v>2025</v>
      </c>
      <c r="D870" s="102" t="s">
        <v>265</v>
      </c>
      <c r="E870" s="258">
        <f>Table6[[#This Row],[Date]]-DAY(Table6[[#This Row],[Date]])+1</f>
        <v>45778</v>
      </c>
      <c r="F870" s="259">
        <v>45803</v>
      </c>
      <c r="G870" s="35" t="s">
        <v>122</v>
      </c>
      <c r="H870" s="35" t="str">
        <f>IFERROR(_xlfn.XLOOKUP(Table6[[#This Row],[Affected WTG]],'Basic Data'!$A:$A,'Basic Data'!$B:$B),"")</f>
        <v>TQGXIIPL</v>
      </c>
      <c r="I870" s="35" t="str">
        <f>IFERROR(_xlfn.XLOOKUP(Table6[[#This Row],[Affected WTG]],'Basic Data'!$A:$A,'Basic Data'!$C:$C),"")</f>
        <v>GEDA</v>
      </c>
      <c r="J870" s="260">
        <f>IFERROR(_xlfn.XLOOKUP(Table6[[#This Row],[Affected WTG]],'Basic Data'!$A:$A,'Basic Data'!$E:$E),"")</f>
        <v>3.846153846153845E-2</v>
      </c>
      <c r="K870" s="102">
        <v>58</v>
      </c>
      <c r="L870" s="35" t="str">
        <f>IFERROR(_xlfn.XLOOKUP(Table6[[#This Row],[Error Code]],'Basic Data'!$AA:$AA,'Basic Data'!$AB:$AB),"Incorrect Error Code")</f>
        <v>Wind dir.dev. level 2</v>
      </c>
      <c r="M870" s="35" t="s">
        <v>278</v>
      </c>
      <c r="N870" s="264"/>
      <c r="O870" s="265">
        <v>6.2500000000000003E-3</v>
      </c>
      <c r="P870" s="265">
        <v>8.3333333333333332E-3</v>
      </c>
      <c r="Q870" s="266">
        <v>8.3333333333333332E-3</v>
      </c>
      <c r="R870" s="261">
        <f>IF(Table6[[#This Row],[Work Start TimeStamp]]="","",(Table6[[#This Row],[Work Start TimeStamp]]-Table6[[#This Row],[Fault Start TimeStamp]])*24)</f>
        <v>4.9999999999999989E-2</v>
      </c>
      <c r="S870" s="261">
        <f>(Table6[[#This Row],[Fault Clearance time]]-Table6[[#This Row],[Work Start TimeStamp]])*24</f>
        <v>0</v>
      </c>
      <c r="T870" s="261">
        <f>(Table6[[#This Row],[Fault Clearance time]]-Table6[[#This Row],[Fault Start TimeStamp]])*24</f>
        <v>4.9999999999999989E-2</v>
      </c>
      <c r="U870" s="35" t="s">
        <v>277</v>
      </c>
      <c r="V870" s="102" t="s">
        <v>268</v>
      </c>
      <c r="W870" s="267">
        <f>IFERROR(Table6[[#This Row],[Breakdown Time]]*Table6[[#This Row],[Plant Equivalent Weightage]],"")</f>
        <v>1.9230769230769221E-3</v>
      </c>
      <c r="X870" s="262" t="s">
        <v>269</v>
      </c>
      <c r="Y870" s="263" t="s">
        <v>140</v>
      </c>
      <c r="Z870" s="102">
        <v>29985</v>
      </c>
      <c r="AA870" s="257">
        <f>(Table6[[#This Row],[Paired WTG Generation for loss calculation]]/24)*Table6[[#This Row],[Breakdown Time]]</f>
        <v>62.468749999999986</v>
      </c>
      <c r="AB870" s="102"/>
      <c r="AC870" s="35"/>
      <c r="AD870" s="35"/>
    </row>
    <row r="871" spans="1:30">
      <c r="A871" s="102">
        <f t="shared" si="14"/>
        <v>870</v>
      </c>
      <c r="B871" s="257">
        <f>YEAR(Table6[[#This Row],[Date]])+IF(MONTH(Table6[[#This Row],[Date]])&gt;=4,1,0)</f>
        <v>2026</v>
      </c>
      <c r="C871" s="102">
        <f>YEAR(Table6[[#This Row],[Date]])</f>
        <v>2025</v>
      </c>
      <c r="D871" s="102" t="s">
        <v>265</v>
      </c>
      <c r="E871" s="258">
        <f>Table6[[#This Row],[Date]]-DAY(Table6[[#This Row],[Date]])+1</f>
        <v>45778</v>
      </c>
      <c r="F871" s="259">
        <v>45803</v>
      </c>
      <c r="G871" s="35" t="s">
        <v>122</v>
      </c>
      <c r="H871" s="35" t="str">
        <f>IFERROR(_xlfn.XLOOKUP(Table6[[#This Row],[Affected WTG]],'Basic Data'!$A:$A,'Basic Data'!$B:$B),"")</f>
        <v>TQGXIIPL</v>
      </c>
      <c r="I871" s="35" t="str">
        <f>IFERROR(_xlfn.XLOOKUP(Table6[[#This Row],[Affected WTG]],'Basic Data'!$A:$A,'Basic Data'!$C:$C),"")</f>
        <v>GEDA</v>
      </c>
      <c r="J871" s="260">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266</v>
      </c>
      <c r="N871" s="264"/>
      <c r="O871" s="265">
        <v>3.5416666666666666E-2</v>
      </c>
      <c r="P871" s="265">
        <v>4.5138888888888888E-2</v>
      </c>
      <c r="Q871" s="266">
        <v>4.5138888888888888E-2</v>
      </c>
      <c r="R871" s="261">
        <f>IF(Table6[[#This Row],[Work Start TimeStamp]]="","",(Table6[[#This Row],[Work Start TimeStamp]]-Table6[[#This Row],[Fault Start TimeStamp]])*24)</f>
        <v>0.23333333333333334</v>
      </c>
      <c r="S871" s="261">
        <f>(Table6[[#This Row],[Fault Clearance time]]-Table6[[#This Row],[Work Start TimeStamp]])*24</f>
        <v>0</v>
      </c>
      <c r="T871" s="261">
        <f>(Table6[[#This Row],[Fault Clearance time]]-Table6[[#This Row],[Fault Start TimeStamp]])*24</f>
        <v>0.23333333333333334</v>
      </c>
      <c r="U871" s="35" t="s">
        <v>464</v>
      </c>
      <c r="V871" s="102" t="s">
        <v>268</v>
      </c>
      <c r="W871" s="267">
        <f>IFERROR(Table6[[#This Row],[Breakdown Time]]*Table6[[#This Row],[Plant Equivalent Weightage]],"")</f>
        <v>8.974358974358972E-3</v>
      </c>
      <c r="X871" s="262" t="s">
        <v>296</v>
      </c>
      <c r="Y871" s="263" t="s">
        <v>140</v>
      </c>
      <c r="Z871" s="102">
        <v>29985</v>
      </c>
      <c r="AA871" s="257">
        <f>(Table6[[#This Row],[Paired WTG Generation for loss calculation]]/24)*Table6[[#This Row],[Breakdown Time]]</f>
        <v>291.52083333333331</v>
      </c>
      <c r="AB871" s="102"/>
      <c r="AC871" s="35"/>
      <c r="AD871" s="35"/>
    </row>
    <row r="872" spans="1:30">
      <c r="A872" s="102">
        <f t="shared" si="14"/>
        <v>871</v>
      </c>
      <c r="B872" s="257">
        <f>YEAR(Table6[[#This Row],[Date]])+IF(MONTH(Table6[[#This Row],[Date]])&gt;=4,1,0)</f>
        <v>2026</v>
      </c>
      <c r="C872" s="102">
        <f>YEAR(Table6[[#This Row],[Date]])</f>
        <v>2025</v>
      </c>
      <c r="D872" s="102" t="s">
        <v>265</v>
      </c>
      <c r="E872" s="258">
        <f>Table6[[#This Row],[Date]]-DAY(Table6[[#This Row],[Date]])+1</f>
        <v>45778</v>
      </c>
      <c r="F872" s="259">
        <v>45803</v>
      </c>
      <c r="G872" s="35" t="s">
        <v>122</v>
      </c>
      <c r="H872" s="35" t="str">
        <f>IFERROR(_xlfn.XLOOKUP(Table6[[#This Row],[Affected WTG]],'Basic Data'!$A:$A,'Basic Data'!$B:$B),"")</f>
        <v>TQGXIIPL</v>
      </c>
      <c r="I872" s="35" t="str">
        <f>IFERROR(_xlfn.XLOOKUP(Table6[[#This Row],[Affected WTG]],'Basic Data'!$A:$A,'Basic Data'!$C:$C),"")</f>
        <v>GEDA</v>
      </c>
      <c r="J872" s="260">
        <f>IFERROR(_xlfn.XLOOKUP(Table6[[#This Row],[Affected WTG]],'Basic Data'!$A:$A,'Basic Data'!$E:$E),"")</f>
        <v>3.846153846153845E-2</v>
      </c>
      <c r="K872" s="102">
        <v>55</v>
      </c>
      <c r="L872" s="35" t="str">
        <f>IFERROR(_xlfn.XLOOKUP(Table6[[#This Row],[Error Code]],'Basic Data'!$AA:$AA,'Basic Data'!$AB:$AB),"Incorrect Error Code")</f>
        <v>WTG shut down</v>
      </c>
      <c r="M872" s="35" t="s">
        <v>300</v>
      </c>
      <c r="N872" s="264"/>
      <c r="O872" s="265">
        <v>0.17777777777777778</v>
      </c>
      <c r="P872" s="265">
        <v>0.21111111111111111</v>
      </c>
      <c r="Q872" s="266">
        <v>0.21111111111111111</v>
      </c>
      <c r="R872" s="261">
        <f>IF(Table6[[#This Row],[Work Start TimeStamp]]="","",(Table6[[#This Row],[Work Start TimeStamp]]-Table6[[#This Row],[Fault Start TimeStamp]])*24)</f>
        <v>0.79999999999999982</v>
      </c>
      <c r="S872" s="261">
        <f>(Table6[[#This Row],[Fault Clearance time]]-Table6[[#This Row],[Work Start TimeStamp]])*24</f>
        <v>0</v>
      </c>
      <c r="T872" s="261">
        <f>(Table6[[#This Row],[Fault Clearance time]]-Table6[[#This Row],[Fault Start TimeStamp]])*24</f>
        <v>0.79999999999999982</v>
      </c>
      <c r="U872" s="35" t="s">
        <v>385</v>
      </c>
      <c r="V872" s="102" t="s">
        <v>268</v>
      </c>
      <c r="W872" s="267">
        <f>IFERROR(Table6[[#This Row],[Breakdown Time]]*Table6[[#This Row],[Plant Equivalent Weightage]],"")</f>
        <v>3.0769230769230754E-2</v>
      </c>
      <c r="X872" s="262" t="s">
        <v>269</v>
      </c>
      <c r="Y872" s="263" t="s">
        <v>140</v>
      </c>
      <c r="Z872" s="102">
        <v>29985</v>
      </c>
      <c r="AA872" s="257">
        <f>(Table6[[#This Row],[Paired WTG Generation for loss calculation]]/24)*Table6[[#This Row],[Breakdown Time]]</f>
        <v>999.49999999999977</v>
      </c>
      <c r="AB872" s="102"/>
      <c r="AC872" s="35"/>
      <c r="AD872" s="35"/>
    </row>
    <row r="873" spans="1:30">
      <c r="A873" s="102">
        <f t="shared" si="14"/>
        <v>872</v>
      </c>
      <c r="B873" s="257">
        <f>YEAR(Table6[[#This Row],[Date]])+IF(MONTH(Table6[[#This Row],[Date]])&gt;=4,1,0)</f>
        <v>2026</v>
      </c>
      <c r="C873" s="102">
        <f>YEAR(Table6[[#This Row],[Date]])</f>
        <v>2025</v>
      </c>
      <c r="D873" s="102" t="s">
        <v>265</v>
      </c>
      <c r="E873" s="258">
        <f>Table6[[#This Row],[Date]]-DAY(Table6[[#This Row],[Date]])+1</f>
        <v>45778</v>
      </c>
      <c r="F873" s="259">
        <v>45803</v>
      </c>
      <c r="G873" s="35" t="s">
        <v>122</v>
      </c>
      <c r="H873" s="35" t="str">
        <f>IFERROR(_xlfn.XLOOKUP(Table6[[#This Row],[Affected WTG]],'Basic Data'!$A:$A,'Basic Data'!$B:$B),"")</f>
        <v>TQGXIIPL</v>
      </c>
      <c r="I873" s="35" t="str">
        <f>IFERROR(_xlfn.XLOOKUP(Table6[[#This Row],[Affected WTG]],'Basic Data'!$A:$A,'Basic Data'!$C:$C),"")</f>
        <v>GEDA</v>
      </c>
      <c r="J873" s="260">
        <f>IFERROR(_xlfn.XLOOKUP(Table6[[#This Row],[Affected WTG]],'Basic Data'!$A:$A,'Basic Data'!$E:$E),"")</f>
        <v>3.846153846153845E-2</v>
      </c>
      <c r="K873" s="102">
        <v>55</v>
      </c>
      <c r="L873" s="35" t="str">
        <f>IFERROR(_xlfn.XLOOKUP(Table6[[#This Row],[Error Code]],'Basic Data'!$AA:$AA,'Basic Data'!$AB:$AB),"Incorrect Error Code")</f>
        <v>WTG shut down</v>
      </c>
      <c r="M873" s="35" t="s">
        <v>300</v>
      </c>
      <c r="N873" s="264"/>
      <c r="O873" s="265">
        <v>0.21805555555555556</v>
      </c>
      <c r="P873" s="265">
        <v>0.25694444444444442</v>
      </c>
      <c r="Q873" s="266">
        <v>0.25694444444444442</v>
      </c>
      <c r="R873" s="261">
        <f>IF(Table6[[#This Row],[Work Start TimeStamp]]="","",(Table6[[#This Row],[Work Start TimeStamp]]-Table6[[#This Row],[Fault Start TimeStamp]])*24)</f>
        <v>0.93333333333333268</v>
      </c>
      <c r="S873" s="261">
        <f>(Table6[[#This Row],[Fault Clearance time]]-Table6[[#This Row],[Work Start TimeStamp]])*24</f>
        <v>0</v>
      </c>
      <c r="T873" s="261">
        <f>(Table6[[#This Row],[Fault Clearance time]]-Table6[[#This Row],[Fault Start TimeStamp]])*24</f>
        <v>0.93333333333333268</v>
      </c>
      <c r="U873" s="35" t="s">
        <v>385</v>
      </c>
      <c r="V873" s="102" t="s">
        <v>268</v>
      </c>
      <c r="W873" s="267">
        <f>IFERROR(Table6[[#This Row],[Breakdown Time]]*Table6[[#This Row],[Plant Equivalent Weightage]],"")</f>
        <v>3.589743589743586E-2</v>
      </c>
      <c r="X873" s="262" t="s">
        <v>269</v>
      </c>
      <c r="Y873" s="263" t="s">
        <v>140</v>
      </c>
      <c r="Z873" s="102">
        <v>29985</v>
      </c>
      <c r="AA873" s="257">
        <f>(Table6[[#This Row],[Paired WTG Generation for loss calculation]]/24)*Table6[[#This Row],[Breakdown Time]]</f>
        <v>1166.0833333333326</v>
      </c>
      <c r="AB873" s="102"/>
      <c r="AC873" s="35"/>
      <c r="AD873" s="35"/>
    </row>
    <row r="874" spans="1:30">
      <c r="A874" s="102">
        <f t="shared" si="14"/>
        <v>873</v>
      </c>
      <c r="B874" s="257">
        <f>YEAR(Table6[[#This Row],[Date]])+IF(MONTH(Table6[[#This Row],[Date]])&gt;=4,1,0)</f>
        <v>2026</v>
      </c>
      <c r="C874" s="102">
        <f>YEAR(Table6[[#This Row],[Date]])</f>
        <v>2025</v>
      </c>
      <c r="D874" s="102" t="s">
        <v>265</v>
      </c>
      <c r="E874" s="258">
        <f>Table6[[#This Row],[Date]]-DAY(Table6[[#This Row],[Date]])+1</f>
        <v>45778</v>
      </c>
      <c r="F874" s="259">
        <v>45803</v>
      </c>
      <c r="G874" s="35" t="s">
        <v>122</v>
      </c>
      <c r="H874" s="35" t="str">
        <f>IFERROR(_xlfn.XLOOKUP(Table6[[#This Row],[Affected WTG]],'Basic Data'!$A:$A,'Basic Data'!$B:$B),"")</f>
        <v>TQGXIIPL</v>
      </c>
      <c r="I874" s="35" t="str">
        <f>IFERROR(_xlfn.XLOOKUP(Table6[[#This Row],[Affected WTG]],'Basic Data'!$A:$A,'Basic Data'!$C:$C),"")</f>
        <v>GEDA</v>
      </c>
      <c r="J874" s="260">
        <f>IFERROR(_xlfn.XLOOKUP(Table6[[#This Row],[Affected WTG]],'Basic Data'!$A:$A,'Basic Data'!$E:$E),"")</f>
        <v>3.846153846153845E-2</v>
      </c>
      <c r="K874" s="102">
        <v>55</v>
      </c>
      <c r="L874" s="35" t="str">
        <f>IFERROR(_xlfn.XLOOKUP(Table6[[#This Row],[Error Code]],'Basic Data'!$AA:$AA,'Basic Data'!$AB:$AB),"Incorrect Error Code")</f>
        <v>WTG shut down</v>
      </c>
      <c r="M874" s="35" t="s">
        <v>300</v>
      </c>
      <c r="N874" s="264"/>
      <c r="O874" s="265">
        <v>0.99097222222222225</v>
      </c>
      <c r="P874" s="265">
        <v>1</v>
      </c>
      <c r="Q874" s="266">
        <v>1</v>
      </c>
      <c r="R874" s="261">
        <f>IF(Table6[[#This Row],[Work Start TimeStamp]]="","",(Table6[[#This Row],[Work Start TimeStamp]]-Table6[[#This Row],[Fault Start TimeStamp]])*24)</f>
        <v>0.2166666666666659</v>
      </c>
      <c r="S874" s="261">
        <f>(Table6[[#This Row],[Fault Clearance time]]-Table6[[#This Row],[Work Start TimeStamp]])*24</f>
        <v>0</v>
      </c>
      <c r="T874" s="261">
        <f>(Table6[[#This Row],[Fault Clearance time]]-Table6[[#This Row],[Fault Start TimeStamp]])*24</f>
        <v>0.2166666666666659</v>
      </c>
      <c r="U874" s="35" t="s">
        <v>385</v>
      </c>
      <c r="V874" s="102" t="s">
        <v>268</v>
      </c>
      <c r="W874" s="267">
        <f>IFERROR(Table6[[#This Row],[Breakdown Time]]*Table6[[#This Row],[Plant Equivalent Weightage]],"")</f>
        <v>8.333333333333302E-3</v>
      </c>
      <c r="X874" s="262" t="s">
        <v>269</v>
      </c>
      <c r="Y874" s="263" t="s">
        <v>140</v>
      </c>
      <c r="Z874" s="102">
        <v>29985</v>
      </c>
      <c r="AA874" s="257">
        <f>(Table6[[#This Row],[Paired WTG Generation for loss calculation]]/24)*Table6[[#This Row],[Breakdown Time]]</f>
        <v>270.69791666666572</v>
      </c>
      <c r="AB874" s="102"/>
      <c r="AC874" s="35"/>
      <c r="AD874" s="35"/>
    </row>
    <row r="875" spans="1:30">
      <c r="A875" s="102">
        <f t="shared" si="14"/>
        <v>874</v>
      </c>
      <c r="B875" s="257">
        <f>YEAR(Table6[[#This Row],[Date]])+IF(MONTH(Table6[[#This Row],[Date]])&gt;=4,1,0)</f>
        <v>2026</v>
      </c>
      <c r="C875" s="102">
        <f>YEAR(Table6[[#This Row],[Date]])</f>
        <v>2025</v>
      </c>
      <c r="D875" s="102" t="s">
        <v>265</v>
      </c>
      <c r="E875" s="258">
        <f>Table6[[#This Row],[Date]]-DAY(Table6[[#This Row],[Date]])+1</f>
        <v>45778</v>
      </c>
      <c r="F875" s="259">
        <v>45803</v>
      </c>
      <c r="G875" s="35" t="s">
        <v>123</v>
      </c>
      <c r="H875" s="35" t="str">
        <f>IFERROR(_xlfn.XLOOKUP(Table6[[#This Row],[Affected WTG]],'Basic Data'!$A:$A,'Basic Data'!$B:$B),"")</f>
        <v>TQGXIIPL</v>
      </c>
      <c r="I875" s="35" t="str">
        <f>IFERROR(_xlfn.XLOOKUP(Table6[[#This Row],[Affected WTG]],'Basic Data'!$A:$A,'Basic Data'!$C:$C),"")</f>
        <v>GEDA</v>
      </c>
      <c r="J875" s="260">
        <f>IFERROR(_xlfn.XLOOKUP(Table6[[#This Row],[Affected WTG]],'Basic Data'!$A:$A,'Basic Data'!$E:$E),"")</f>
        <v>3.846153846153845E-2</v>
      </c>
      <c r="K875" s="102">
        <v>58</v>
      </c>
      <c r="L875" s="35" t="str">
        <f>IFERROR(_xlfn.XLOOKUP(Table6[[#This Row],[Error Code]],'Basic Data'!$AA:$AA,'Basic Data'!$AB:$AB),"Incorrect Error Code")</f>
        <v>Wind dir.dev. level 2</v>
      </c>
      <c r="M875" s="35" t="s">
        <v>278</v>
      </c>
      <c r="N875" s="264"/>
      <c r="O875" s="265">
        <v>8.3333333333333332E-3</v>
      </c>
      <c r="P875" s="265">
        <v>1.0416666666666666E-2</v>
      </c>
      <c r="Q875" s="266">
        <v>1.0416666666666666E-2</v>
      </c>
      <c r="R875" s="261">
        <f>IF(Table6[[#This Row],[Work Start TimeStamp]]="","",(Table6[[#This Row],[Work Start TimeStamp]]-Table6[[#This Row],[Fault Start TimeStamp]])*24)</f>
        <v>4.9999999999999989E-2</v>
      </c>
      <c r="S875" s="261">
        <f>(Table6[[#This Row],[Fault Clearance time]]-Table6[[#This Row],[Work Start TimeStamp]])*24</f>
        <v>0</v>
      </c>
      <c r="T875" s="261">
        <f>(Table6[[#This Row],[Fault Clearance time]]-Table6[[#This Row],[Fault Start TimeStamp]])*24</f>
        <v>4.9999999999999989E-2</v>
      </c>
      <c r="U875" s="35" t="s">
        <v>277</v>
      </c>
      <c r="V875" s="102" t="s">
        <v>268</v>
      </c>
      <c r="W875" s="267">
        <f>IFERROR(Table6[[#This Row],[Breakdown Time]]*Table6[[#This Row],[Plant Equivalent Weightage]],"")</f>
        <v>1.9230769230769221E-3</v>
      </c>
      <c r="X875" s="262" t="s">
        <v>269</v>
      </c>
      <c r="Y875" s="263" t="s">
        <v>117</v>
      </c>
      <c r="Z875" s="102">
        <v>28918</v>
      </c>
      <c r="AA875" s="257">
        <f>(Table6[[#This Row],[Paired WTG Generation for loss calculation]]/24)*Table6[[#This Row],[Breakdown Time]]</f>
        <v>60.245833333333323</v>
      </c>
      <c r="AB875" s="102"/>
      <c r="AC875" s="35"/>
      <c r="AD875" s="35"/>
    </row>
    <row r="876" spans="1:30">
      <c r="A876" s="102">
        <f t="shared" si="14"/>
        <v>875</v>
      </c>
      <c r="B876" s="257">
        <f>YEAR(Table6[[#This Row],[Date]])+IF(MONTH(Table6[[#This Row],[Date]])&gt;=4,1,0)</f>
        <v>2026</v>
      </c>
      <c r="C876" s="102">
        <f>YEAR(Table6[[#This Row],[Date]])</f>
        <v>2025</v>
      </c>
      <c r="D876" s="102" t="s">
        <v>265</v>
      </c>
      <c r="E876" s="258">
        <f>Table6[[#This Row],[Date]]-DAY(Table6[[#This Row],[Date]])+1</f>
        <v>45778</v>
      </c>
      <c r="F876" s="259">
        <v>45803</v>
      </c>
      <c r="G876" s="35" t="s">
        <v>123</v>
      </c>
      <c r="H876" s="35" t="str">
        <f>IFERROR(_xlfn.XLOOKUP(Table6[[#This Row],[Affected WTG]],'Basic Data'!$A:$A,'Basic Data'!$B:$B),"")</f>
        <v>TQGXIIPL</v>
      </c>
      <c r="I876" s="35" t="str">
        <f>IFERROR(_xlfn.XLOOKUP(Table6[[#This Row],[Affected WTG]],'Basic Data'!$A:$A,'Basic Data'!$C:$C),"")</f>
        <v>GEDA</v>
      </c>
      <c r="J876" s="260">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266</v>
      </c>
      <c r="N876" s="264"/>
      <c r="O876" s="265">
        <v>3.5416666666666666E-2</v>
      </c>
      <c r="P876" s="265">
        <v>4.583333333333333E-2</v>
      </c>
      <c r="Q876" s="266">
        <v>4.583333333333333E-2</v>
      </c>
      <c r="R876" s="261">
        <f>IF(Table6[[#This Row],[Work Start TimeStamp]]="","",(Table6[[#This Row],[Work Start TimeStamp]]-Table6[[#This Row],[Fault Start TimeStamp]])*24)</f>
        <v>0.24999999999999994</v>
      </c>
      <c r="S876" s="261">
        <f>(Table6[[#This Row],[Fault Clearance time]]-Table6[[#This Row],[Work Start TimeStamp]])*24</f>
        <v>0</v>
      </c>
      <c r="T876" s="261">
        <f>(Table6[[#This Row],[Fault Clearance time]]-Table6[[#This Row],[Fault Start TimeStamp]])*24</f>
        <v>0.24999999999999994</v>
      </c>
      <c r="U876" s="35" t="s">
        <v>464</v>
      </c>
      <c r="V876" s="102" t="s">
        <v>268</v>
      </c>
      <c r="W876" s="267">
        <f>IFERROR(Table6[[#This Row],[Breakdown Time]]*Table6[[#This Row],[Plant Equivalent Weightage]],"")</f>
        <v>9.6153846153846107E-3</v>
      </c>
      <c r="X876" s="262" t="s">
        <v>296</v>
      </c>
      <c r="Y876" s="263" t="s">
        <v>117</v>
      </c>
      <c r="Z876" s="102">
        <v>28918</v>
      </c>
      <c r="AA876" s="257">
        <f>(Table6[[#This Row],[Paired WTG Generation for loss calculation]]/24)*Table6[[#This Row],[Breakdown Time]]</f>
        <v>301.22916666666663</v>
      </c>
      <c r="AB876" s="102"/>
      <c r="AC876" s="35"/>
      <c r="AD876" s="35"/>
    </row>
    <row r="877" spans="1:30">
      <c r="A877" s="102">
        <f t="shared" si="14"/>
        <v>876</v>
      </c>
      <c r="B877" s="257">
        <f>YEAR(Table6[[#This Row],[Date]])+IF(MONTH(Table6[[#This Row],[Date]])&gt;=4,1,0)</f>
        <v>2026</v>
      </c>
      <c r="C877" s="102">
        <f>YEAR(Table6[[#This Row],[Date]])</f>
        <v>2025</v>
      </c>
      <c r="D877" s="102" t="s">
        <v>265</v>
      </c>
      <c r="E877" s="258">
        <f>Table6[[#This Row],[Date]]-DAY(Table6[[#This Row],[Date]])+1</f>
        <v>45778</v>
      </c>
      <c r="F877" s="259">
        <v>45803</v>
      </c>
      <c r="G877" s="35" t="s">
        <v>124</v>
      </c>
      <c r="H877" s="35" t="str">
        <f>IFERROR(_xlfn.XLOOKUP(Table6[[#This Row],[Affected WTG]],'Basic Data'!$A:$A,'Basic Data'!$B:$B),"")</f>
        <v>TQGXIIPL</v>
      </c>
      <c r="I877" s="35" t="str">
        <f>IFERROR(_xlfn.XLOOKUP(Table6[[#This Row],[Affected WTG]],'Basic Data'!$A:$A,'Basic Data'!$C:$C),"")</f>
        <v>GEDA</v>
      </c>
      <c r="J877" s="260">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266</v>
      </c>
      <c r="N877" s="264"/>
      <c r="O877" s="265">
        <v>3.5416666666666666E-2</v>
      </c>
      <c r="P877" s="265">
        <v>4.6527777777777779E-2</v>
      </c>
      <c r="Q877" s="266">
        <v>4.6527777777777779E-2</v>
      </c>
      <c r="R877" s="261">
        <f>IF(Table6[[#This Row],[Work Start TimeStamp]]="","",(Table6[[#This Row],[Work Start TimeStamp]]-Table6[[#This Row],[Fault Start TimeStamp]])*24)</f>
        <v>0.26666666666666672</v>
      </c>
      <c r="S877" s="261">
        <f>(Table6[[#This Row],[Fault Clearance time]]-Table6[[#This Row],[Work Start TimeStamp]])*24</f>
        <v>0</v>
      </c>
      <c r="T877" s="261">
        <f>(Table6[[#This Row],[Fault Clearance time]]-Table6[[#This Row],[Fault Start TimeStamp]])*24</f>
        <v>0.26666666666666672</v>
      </c>
      <c r="U877" s="35" t="s">
        <v>464</v>
      </c>
      <c r="V877" s="102" t="s">
        <v>268</v>
      </c>
      <c r="W877" s="267">
        <f>IFERROR(Table6[[#This Row],[Breakdown Time]]*Table6[[#This Row],[Plant Equivalent Weightage]],"")</f>
        <v>1.0256410256410255E-2</v>
      </c>
      <c r="X877" s="262" t="s">
        <v>296</v>
      </c>
      <c r="Y877" s="263" t="s">
        <v>129</v>
      </c>
      <c r="Z877" s="102">
        <v>26878</v>
      </c>
      <c r="AA877" s="257">
        <f>(Table6[[#This Row],[Paired WTG Generation for loss calculation]]/24)*Table6[[#This Row],[Breakdown Time]]</f>
        <v>298.6444444444445</v>
      </c>
      <c r="AB877" s="102"/>
      <c r="AC877" s="35"/>
      <c r="AD877" s="35"/>
    </row>
    <row r="878" spans="1:30">
      <c r="A878" s="102">
        <f t="shared" si="14"/>
        <v>877</v>
      </c>
      <c r="B878" s="257">
        <f>YEAR(Table6[[#This Row],[Date]])+IF(MONTH(Table6[[#This Row],[Date]])&gt;=4,1,0)</f>
        <v>2026</v>
      </c>
      <c r="C878" s="102">
        <f>YEAR(Table6[[#This Row],[Date]])</f>
        <v>2025</v>
      </c>
      <c r="D878" s="102" t="s">
        <v>265</v>
      </c>
      <c r="E878" s="258">
        <f>Table6[[#This Row],[Date]]-DAY(Table6[[#This Row],[Date]])+1</f>
        <v>45778</v>
      </c>
      <c r="F878" s="259">
        <v>45803</v>
      </c>
      <c r="G878" s="35" t="s">
        <v>126</v>
      </c>
      <c r="H878" s="35" t="str">
        <f>IFERROR(_xlfn.XLOOKUP(Table6[[#This Row],[Affected WTG]],'Basic Data'!$A:$A,'Basic Data'!$B:$B),"")</f>
        <v>TQGXIIPL</v>
      </c>
      <c r="I878" s="35" t="str">
        <f>IFERROR(_xlfn.XLOOKUP(Table6[[#This Row],[Affected WTG]],'Basic Data'!$A:$A,'Basic Data'!$C:$C),"")</f>
        <v>GEDA</v>
      </c>
      <c r="J878" s="260">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266</v>
      </c>
      <c r="N878" s="264"/>
      <c r="O878" s="265">
        <v>3.5416666666666666E-2</v>
      </c>
      <c r="P878" s="265">
        <v>4.7222222222222221E-2</v>
      </c>
      <c r="Q878" s="266">
        <v>4.7222222222222221E-2</v>
      </c>
      <c r="R878" s="261">
        <f>IF(Table6[[#This Row],[Work Start TimeStamp]]="","",(Table6[[#This Row],[Work Start TimeStamp]]-Table6[[#This Row],[Fault Start TimeStamp]])*24)</f>
        <v>0.28333333333333333</v>
      </c>
      <c r="S878" s="261">
        <f>(Table6[[#This Row],[Fault Clearance time]]-Table6[[#This Row],[Work Start TimeStamp]])*24</f>
        <v>0</v>
      </c>
      <c r="T878" s="261">
        <f>(Table6[[#This Row],[Fault Clearance time]]-Table6[[#This Row],[Fault Start TimeStamp]])*24</f>
        <v>0.28333333333333333</v>
      </c>
      <c r="U878" s="35" t="s">
        <v>464</v>
      </c>
      <c r="V878" s="102" t="s">
        <v>268</v>
      </c>
      <c r="W878" s="267">
        <f>IFERROR(Table6[[#This Row],[Breakdown Time]]*Table6[[#This Row],[Plant Equivalent Weightage]],"")</f>
        <v>1.0897435897435893E-2</v>
      </c>
      <c r="X878" s="262" t="s">
        <v>296</v>
      </c>
      <c r="Y878" s="263" t="s">
        <v>128</v>
      </c>
      <c r="Z878" s="102">
        <v>28114</v>
      </c>
      <c r="AA878" s="257">
        <f>(Table6[[#This Row],[Paired WTG Generation for loss calculation]]/24)*Table6[[#This Row],[Breakdown Time]]</f>
        <v>331.9013888888889</v>
      </c>
      <c r="AB878" s="102"/>
      <c r="AC878" s="35"/>
      <c r="AD878" s="35"/>
    </row>
    <row r="879" spans="1:30">
      <c r="A879" s="102">
        <f t="shared" si="14"/>
        <v>878</v>
      </c>
      <c r="B879" s="257">
        <f>YEAR(Table6[[#This Row],[Date]])+IF(MONTH(Table6[[#This Row],[Date]])&gt;=4,1,0)</f>
        <v>2026</v>
      </c>
      <c r="C879" s="102">
        <f>YEAR(Table6[[#This Row],[Date]])</f>
        <v>2025</v>
      </c>
      <c r="D879" s="102" t="s">
        <v>265</v>
      </c>
      <c r="E879" s="258">
        <f>Table6[[#This Row],[Date]]-DAY(Table6[[#This Row],[Date]])+1</f>
        <v>45778</v>
      </c>
      <c r="F879" s="259">
        <v>45803</v>
      </c>
      <c r="G879" s="35" t="s">
        <v>128</v>
      </c>
      <c r="H879" s="35" t="str">
        <f>IFERROR(_xlfn.XLOOKUP(Table6[[#This Row],[Affected WTG]],'Basic Data'!$A:$A,'Basic Data'!$B:$B),"")</f>
        <v>TQGXIIPL</v>
      </c>
      <c r="I879" s="35" t="str">
        <f>IFERROR(_xlfn.XLOOKUP(Table6[[#This Row],[Affected WTG]],'Basic Data'!$A:$A,'Basic Data'!$C:$C),"")</f>
        <v>GEDA</v>
      </c>
      <c r="J879" s="260">
        <f>IFERROR(_xlfn.XLOOKUP(Table6[[#This Row],[Affected WTG]],'Basic Data'!$A:$A,'Basic Data'!$E:$E),"")</f>
        <v>3.846153846153845E-2</v>
      </c>
      <c r="K879" s="102">
        <v>175</v>
      </c>
      <c r="L879" s="35" t="str">
        <f>IFERROR(_xlfn.XLOOKUP(Table6[[#This Row],[Error Code]],'Basic Data'!$AA:$AA,'Basic Data'!$AB:$AB),"Incorrect Error Code")</f>
        <v>SLC error</v>
      </c>
      <c r="M879" s="35" t="s">
        <v>266</v>
      </c>
      <c r="N879" s="264"/>
      <c r="O879" s="265">
        <v>3.5416666666666666E-2</v>
      </c>
      <c r="P879" s="265">
        <v>4.791666666666667E-2</v>
      </c>
      <c r="Q879" s="266">
        <v>4.791666666666667E-2</v>
      </c>
      <c r="R879" s="261">
        <f>IF(Table6[[#This Row],[Work Start TimeStamp]]="","",(Table6[[#This Row],[Work Start TimeStamp]]-Table6[[#This Row],[Fault Start TimeStamp]])*24)</f>
        <v>0.3000000000000001</v>
      </c>
      <c r="S879" s="261">
        <f>(Table6[[#This Row],[Fault Clearance time]]-Table6[[#This Row],[Work Start TimeStamp]])*24</f>
        <v>0</v>
      </c>
      <c r="T879" s="261">
        <f>(Table6[[#This Row],[Fault Clearance time]]-Table6[[#This Row],[Fault Start TimeStamp]])*24</f>
        <v>0.3000000000000001</v>
      </c>
      <c r="U879" s="35" t="s">
        <v>464</v>
      </c>
      <c r="V879" s="102" t="s">
        <v>268</v>
      </c>
      <c r="W879" s="267">
        <f>IFERROR(Table6[[#This Row],[Breakdown Time]]*Table6[[#This Row],[Plant Equivalent Weightage]],"")</f>
        <v>1.1538461538461539E-2</v>
      </c>
      <c r="X879" s="262" t="s">
        <v>296</v>
      </c>
      <c r="Y879" s="263" t="s">
        <v>126</v>
      </c>
      <c r="Z879" s="102">
        <v>27828</v>
      </c>
      <c r="AA879" s="257">
        <f>(Table6[[#This Row],[Paired WTG Generation for loss calculation]]/24)*Table6[[#This Row],[Breakdown Time]]</f>
        <v>347.85000000000014</v>
      </c>
      <c r="AB879" s="102"/>
      <c r="AC879" s="35"/>
      <c r="AD879" s="35"/>
    </row>
    <row r="880" spans="1:30">
      <c r="A880" s="102">
        <f t="shared" si="14"/>
        <v>879</v>
      </c>
      <c r="B880" s="257">
        <f>YEAR(Table6[[#This Row],[Date]])+IF(MONTH(Table6[[#This Row],[Date]])&gt;=4,1,0)</f>
        <v>2026</v>
      </c>
      <c r="C880" s="102">
        <f>YEAR(Table6[[#This Row],[Date]])</f>
        <v>2025</v>
      </c>
      <c r="D880" s="102" t="s">
        <v>265</v>
      </c>
      <c r="E880" s="258">
        <f>Table6[[#This Row],[Date]]-DAY(Table6[[#This Row],[Date]])+1</f>
        <v>45778</v>
      </c>
      <c r="F880" s="259">
        <v>45803</v>
      </c>
      <c r="G880" s="35" t="s">
        <v>129</v>
      </c>
      <c r="H880" s="35" t="str">
        <f>IFERROR(_xlfn.XLOOKUP(Table6[[#This Row],[Affected WTG]],'Basic Data'!$A:$A,'Basic Data'!$B:$B),"")</f>
        <v>TQGXIIPL</v>
      </c>
      <c r="I880" s="35" t="str">
        <f>IFERROR(_xlfn.XLOOKUP(Table6[[#This Row],[Affected WTG]],'Basic Data'!$A:$A,'Basic Data'!$C:$C),"")</f>
        <v>GEDA</v>
      </c>
      <c r="J880" s="260">
        <f>IFERROR(_xlfn.XLOOKUP(Table6[[#This Row],[Affected WTG]],'Basic Data'!$A:$A,'Basic Data'!$E:$E),"")</f>
        <v>3.846153846153845E-2</v>
      </c>
      <c r="K880" s="102">
        <v>3420</v>
      </c>
      <c r="L880" s="35" t="str">
        <f>IFERROR(_xlfn.XLOOKUP(Table6[[#This Row],[Error Code]],'Basic Data'!$AA:$AA,'Basic Data'!$AB:$AB),"Incorrect Error Code")</f>
        <v>UPS buffer time too short</v>
      </c>
      <c r="M880" s="35" t="s">
        <v>266</v>
      </c>
      <c r="N880" s="264"/>
      <c r="O880" s="265">
        <v>3.5416666666666666E-2</v>
      </c>
      <c r="P880" s="265">
        <v>4.8611111111111112E-2</v>
      </c>
      <c r="Q880" s="266">
        <v>4.8611111111111112E-2</v>
      </c>
      <c r="R880" s="261">
        <f>IF(Table6[[#This Row],[Work Start TimeStamp]]="","",(Table6[[#This Row],[Work Start TimeStamp]]-Table6[[#This Row],[Fault Start TimeStamp]])*24)</f>
        <v>0.31666666666666671</v>
      </c>
      <c r="S880" s="261">
        <f>(Table6[[#This Row],[Fault Clearance time]]-Table6[[#This Row],[Work Start TimeStamp]])*24</f>
        <v>0</v>
      </c>
      <c r="T880" s="261">
        <f>(Table6[[#This Row],[Fault Clearance time]]-Table6[[#This Row],[Fault Start TimeStamp]])*24</f>
        <v>0.31666666666666671</v>
      </c>
      <c r="U880" s="35" t="s">
        <v>464</v>
      </c>
      <c r="V880" s="102" t="s">
        <v>268</v>
      </c>
      <c r="W880" s="267">
        <f>IFERROR(Table6[[#This Row],[Breakdown Time]]*Table6[[#This Row],[Plant Equivalent Weightage]],"")</f>
        <v>1.2179487179487178E-2</v>
      </c>
      <c r="X880" s="262" t="s">
        <v>296</v>
      </c>
      <c r="Y880" s="263" t="s">
        <v>124</v>
      </c>
      <c r="Z880" s="102">
        <v>26076</v>
      </c>
      <c r="AA880" s="257">
        <f>(Table6[[#This Row],[Paired WTG Generation for loss calculation]]/24)*Table6[[#This Row],[Breakdown Time]]</f>
        <v>344.05833333333339</v>
      </c>
      <c r="AB880" s="102"/>
      <c r="AC880" s="35"/>
      <c r="AD880" s="35"/>
    </row>
    <row r="881" spans="1:30">
      <c r="A881" s="102">
        <f t="shared" si="14"/>
        <v>880</v>
      </c>
      <c r="B881" s="257">
        <f>YEAR(Table6[[#This Row],[Date]])+IF(MONTH(Table6[[#This Row],[Date]])&gt;=4,1,0)</f>
        <v>2026</v>
      </c>
      <c r="C881" s="102">
        <f>YEAR(Table6[[#This Row],[Date]])</f>
        <v>2025</v>
      </c>
      <c r="D881" s="102" t="s">
        <v>265</v>
      </c>
      <c r="E881" s="258">
        <f>Table6[[#This Row],[Date]]-DAY(Table6[[#This Row],[Date]])+1</f>
        <v>45778</v>
      </c>
      <c r="F881" s="259">
        <v>45803</v>
      </c>
      <c r="G881" s="35" t="s">
        <v>130</v>
      </c>
      <c r="H881" s="35" t="str">
        <f>IFERROR(_xlfn.XLOOKUP(Table6[[#This Row],[Affected WTG]],'Basic Data'!$A:$A,'Basic Data'!$B:$B),"")</f>
        <v>TQGXIIPL</v>
      </c>
      <c r="I881" s="35" t="str">
        <f>IFERROR(_xlfn.XLOOKUP(Table6[[#This Row],[Affected WTG]],'Basic Data'!$A:$A,'Basic Data'!$C:$C),"")</f>
        <v>GEDA</v>
      </c>
      <c r="J881" s="260">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266</v>
      </c>
      <c r="N881" s="264"/>
      <c r="O881" s="265">
        <v>3.6111111111111108E-2</v>
      </c>
      <c r="P881" s="265">
        <v>4.9305555555555554E-2</v>
      </c>
      <c r="Q881" s="266">
        <v>4.9305555555555554E-2</v>
      </c>
      <c r="R881" s="261">
        <f>IF(Table6[[#This Row],[Work Start TimeStamp]]="","",(Table6[[#This Row],[Work Start TimeStamp]]-Table6[[#This Row],[Fault Start TimeStamp]])*24)</f>
        <v>0.31666666666666671</v>
      </c>
      <c r="S881" s="261">
        <f>(Table6[[#This Row],[Fault Clearance time]]-Table6[[#This Row],[Work Start TimeStamp]])*24</f>
        <v>0</v>
      </c>
      <c r="T881" s="261">
        <f>(Table6[[#This Row],[Fault Clearance time]]-Table6[[#This Row],[Fault Start TimeStamp]])*24</f>
        <v>0.31666666666666671</v>
      </c>
      <c r="U881" s="35" t="s">
        <v>464</v>
      </c>
      <c r="V881" s="102" t="s">
        <v>268</v>
      </c>
      <c r="W881" s="267">
        <f>IFERROR(Table6[[#This Row],[Breakdown Time]]*Table6[[#This Row],[Plant Equivalent Weightage]],"")</f>
        <v>1.2179487179487178E-2</v>
      </c>
      <c r="X881" s="262" t="s">
        <v>296</v>
      </c>
      <c r="Y881" s="263" t="s">
        <v>135</v>
      </c>
      <c r="Z881" s="102">
        <v>27558</v>
      </c>
      <c r="AA881" s="257">
        <f>(Table6[[#This Row],[Paired WTG Generation for loss calculation]]/24)*Table6[[#This Row],[Breakdown Time]]</f>
        <v>363.61250000000007</v>
      </c>
      <c r="AB881" s="102"/>
      <c r="AC881" s="35"/>
      <c r="AD881" s="35"/>
    </row>
    <row r="882" spans="1:30">
      <c r="A882" s="102">
        <f t="shared" si="14"/>
        <v>881</v>
      </c>
      <c r="B882" s="257">
        <f>YEAR(Table6[[#This Row],[Date]])+IF(MONTH(Table6[[#This Row],[Date]])&gt;=4,1,0)</f>
        <v>2026</v>
      </c>
      <c r="C882" s="102">
        <f>YEAR(Table6[[#This Row],[Date]])</f>
        <v>2025</v>
      </c>
      <c r="D882" s="102" t="s">
        <v>265</v>
      </c>
      <c r="E882" s="258">
        <f>Table6[[#This Row],[Date]]-DAY(Table6[[#This Row],[Date]])+1</f>
        <v>45778</v>
      </c>
      <c r="F882" s="259">
        <v>45803</v>
      </c>
      <c r="G882" s="35" t="s">
        <v>131</v>
      </c>
      <c r="H882" s="35" t="str">
        <f>IFERROR(_xlfn.XLOOKUP(Table6[[#This Row],[Affected WTG]],'Basic Data'!$A:$A,'Basic Data'!$B:$B),"")</f>
        <v>TQGXIIPL</v>
      </c>
      <c r="I882" s="35" t="str">
        <f>IFERROR(_xlfn.XLOOKUP(Table6[[#This Row],[Affected WTG]],'Basic Data'!$A:$A,'Basic Data'!$C:$C),"")</f>
        <v>GEDA</v>
      </c>
      <c r="J882" s="260">
        <f>IFERROR(_xlfn.XLOOKUP(Table6[[#This Row],[Affected WTG]],'Basic Data'!$A:$A,'Basic Data'!$E:$E),"")</f>
        <v>3.846153846153845E-2</v>
      </c>
      <c r="K882" s="102">
        <v>175</v>
      </c>
      <c r="L882" s="35" t="str">
        <f>IFERROR(_xlfn.XLOOKUP(Table6[[#This Row],[Error Code]],'Basic Data'!$AA:$AA,'Basic Data'!$AB:$AB),"Incorrect Error Code")</f>
        <v>SLC error</v>
      </c>
      <c r="M882" s="35" t="s">
        <v>266</v>
      </c>
      <c r="N882" s="264"/>
      <c r="O882" s="265">
        <v>3.6111111111111108E-2</v>
      </c>
      <c r="P882" s="265">
        <v>4.9305555555555554E-2</v>
      </c>
      <c r="Q882" s="266">
        <v>4.9305555555555554E-2</v>
      </c>
      <c r="R882" s="261">
        <f>IF(Table6[[#This Row],[Work Start TimeStamp]]="","",(Table6[[#This Row],[Work Start TimeStamp]]-Table6[[#This Row],[Fault Start TimeStamp]])*24)</f>
        <v>0.31666666666666671</v>
      </c>
      <c r="S882" s="261">
        <f>(Table6[[#This Row],[Fault Clearance time]]-Table6[[#This Row],[Work Start TimeStamp]])*24</f>
        <v>0</v>
      </c>
      <c r="T882" s="261">
        <f>(Table6[[#This Row],[Fault Clearance time]]-Table6[[#This Row],[Fault Start TimeStamp]])*24</f>
        <v>0.31666666666666671</v>
      </c>
      <c r="U882" s="35" t="s">
        <v>464</v>
      </c>
      <c r="V882" s="102" t="s">
        <v>268</v>
      </c>
      <c r="W882" s="267">
        <f>IFERROR(Table6[[#This Row],[Breakdown Time]]*Table6[[#This Row],[Plant Equivalent Weightage]],"")</f>
        <v>1.2179487179487178E-2</v>
      </c>
      <c r="X882" s="262" t="s">
        <v>296</v>
      </c>
      <c r="Y882" s="263" t="s">
        <v>136</v>
      </c>
      <c r="Z882" s="102">
        <v>31331</v>
      </c>
      <c r="AA882" s="257">
        <f>(Table6[[#This Row],[Paired WTG Generation for loss calculation]]/24)*Table6[[#This Row],[Breakdown Time]]</f>
        <v>413.39513888888894</v>
      </c>
      <c r="AB882" s="102"/>
      <c r="AC882" s="35"/>
      <c r="AD882" s="35"/>
    </row>
    <row r="883" spans="1:30">
      <c r="A883" s="102">
        <f t="shared" si="14"/>
        <v>882</v>
      </c>
      <c r="B883" s="257">
        <f>YEAR(Table6[[#This Row],[Date]])+IF(MONTH(Table6[[#This Row],[Date]])&gt;=4,1,0)</f>
        <v>2026</v>
      </c>
      <c r="C883" s="102">
        <f>YEAR(Table6[[#This Row],[Date]])</f>
        <v>2025</v>
      </c>
      <c r="D883" s="102" t="s">
        <v>265</v>
      </c>
      <c r="E883" s="258">
        <f>Table6[[#This Row],[Date]]-DAY(Table6[[#This Row],[Date]])+1</f>
        <v>45778</v>
      </c>
      <c r="F883" s="259">
        <v>45803</v>
      </c>
      <c r="G883" s="35" t="s">
        <v>132</v>
      </c>
      <c r="H883" s="35" t="str">
        <f>IFERROR(_xlfn.XLOOKUP(Table6[[#This Row],[Affected WTG]],'Basic Data'!$A:$A,'Basic Data'!$B:$B),"")</f>
        <v>TQGXIIPL</v>
      </c>
      <c r="I883" s="35" t="str">
        <f>IFERROR(_xlfn.XLOOKUP(Table6[[#This Row],[Affected WTG]],'Basic Data'!$A:$A,'Basic Data'!$C:$C),"")</f>
        <v>GEDA</v>
      </c>
      <c r="J883" s="260">
        <f>IFERROR(_xlfn.XLOOKUP(Table6[[#This Row],[Affected WTG]],'Basic Data'!$A:$A,'Basic Data'!$E:$E),"")</f>
        <v>3.846153846153845E-2</v>
      </c>
      <c r="K883" s="102">
        <v>3420</v>
      </c>
      <c r="L883" s="35" t="str">
        <f>IFERROR(_xlfn.XLOOKUP(Table6[[#This Row],[Error Code]],'Basic Data'!$AA:$AA,'Basic Data'!$AB:$AB),"Incorrect Error Code")</f>
        <v>UPS buffer time too short</v>
      </c>
      <c r="M883" s="35" t="s">
        <v>266</v>
      </c>
      <c r="N883" s="264"/>
      <c r="O883" s="265">
        <v>3.6111111111111108E-2</v>
      </c>
      <c r="P883" s="265">
        <v>0.05</v>
      </c>
      <c r="Q883" s="266">
        <v>0.05</v>
      </c>
      <c r="R883" s="261">
        <f>IF(Table6[[#This Row],[Work Start TimeStamp]]="","",(Table6[[#This Row],[Work Start TimeStamp]]-Table6[[#This Row],[Fault Start TimeStamp]])*24)</f>
        <v>0.33333333333333348</v>
      </c>
      <c r="S883" s="261">
        <f>(Table6[[#This Row],[Fault Clearance time]]-Table6[[#This Row],[Work Start TimeStamp]])*24</f>
        <v>0</v>
      </c>
      <c r="T883" s="261">
        <f>(Table6[[#This Row],[Fault Clearance time]]-Table6[[#This Row],[Fault Start TimeStamp]])*24</f>
        <v>0.33333333333333348</v>
      </c>
      <c r="U883" s="35" t="s">
        <v>464</v>
      </c>
      <c r="V883" s="102" t="s">
        <v>268</v>
      </c>
      <c r="W883" s="267">
        <f>IFERROR(Table6[[#This Row],[Breakdown Time]]*Table6[[#This Row],[Plant Equivalent Weightage]],"")</f>
        <v>1.2820512820512822E-2</v>
      </c>
      <c r="X883" s="262" t="s">
        <v>296</v>
      </c>
      <c r="Y883" s="263" t="s">
        <v>120</v>
      </c>
      <c r="Z883" s="102">
        <v>30683</v>
      </c>
      <c r="AA883" s="257">
        <f>(Table6[[#This Row],[Paired WTG Generation for loss calculation]]/24)*Table6[[#This Row],[Breakdown Time]]</f>
        <v>426.15277777777794</v>
      </c>
      <c r="AB883" s="102"/>
      <c r="AC883" s="35"/>
      <c r="AD883" s="35"/>
    </row>
    <row r="884" spans="1:30">
      <c r="A884" s="102">
        <f t="shared" si="14"/>
        <v>883</v>
      </c>
      <c r="B884" s="257">
        <f>YEAR(Table6[[#This Row],[Date]])+IF(MONTH(Table6[[#This Row],[Date]])&gt;=4,1,0)</f>
        <v>2026</v>
      </c>
      <c r="C884" s="102">
        <f>YEAR(Table6[[#This Row],[Date]])</f>
        <v>2025</v>
      </c>
      <c r="D884" s="102" t="s">
        <v>265</v>
      </c>
      <c r="E884" s="258">
        <f>Table6[[#This Row],[Date]]-DAY(Table6[[#This Row],[Date]])+1</f>
        <v>45778</v>
      </c>
      <c r="F884" s="259">
        <v>45803</v>
      </c>
      <c r="G884" s="35" t="s">
        <v>133</v>
      </c>
      <c r="H884" s="35" t="str">
        <f>IFERROR(_xlfn.XLOOKUP(Table6[[#This Row],[Affected WTG]],'Basic Data'!$A:$A,'Basic Data'!$B:$B),"")</f>
        <v>TQGXIIPL</v>
      </c>
      <c r="I884" s="35" t="str">
        <f>IFERROR(_xlfn.XLOOKUP(Table6[[#This Row],[Affected WTG]],'Basic Data'!$A:$A,'Basic Data'!$C:$C),"")</f>
        <v>GEDA</v>
      </c>
      <c r="J884" s="260">
        <f>IFERROR(_xlfn.XLOOKUP(Table6[[#This Row],[Affected WTG]],'Basic Data'!$A:$A,'Basic Data'!$E:$E),"")</f>
        <v>3.846153846153845E-2</v>
      </c>
      <c r="K884" s="102">
        <v>3420</v>
      </c>
      <c r="L884" s="35" t="str">
        <f>IFERROR(_xlfn.XLOOKUP(Table6[[#This Row],[Error Code]],'Basic Data'!$AA:$AA,'Basic Data'!$AB:$AB),"Incorrect Error Code")</f>
        <v>UPS buffer time too short</v>
      </c>
      <c r="M884" s="35" t="s">
        <v>266</v>
      </c>
      <c r="N884" s="264"/>
      <c r="O884" s="265">
        <v>3.6111111111111108E-2</v>
      </c>
      <c r="P884" s="265">
        <v>5.0694444444444445E-2</v>
      </c>
      <c r="Q884" s="266">
        <v>5.0694444444444445E-2</v>
      </c>
      <c r="R884" s="261">
        <f>IF(Table6[[#This Row],[Work Start TimeStamp]]="","",(Table6[[#This Row],[Work Start TimeStamp]]-Table6[[#This Row],[Fault Start TimeStamp]])*24)</f>
        <v>0.35000000000000009</v>
      </c>
      <c r="S884" s="261">
        <f>(Table6[[#This Row],[Fault Clearance time]]-Table6[[#This Row],[Work Start TimeStamp]])*24</f>
        <v>0</v>
      </c>
      <c r="T884" s="261">
        <f>(Table6[[#This Row],[Fault Clearance time]]-Table6[[#This Row],[Fault Start TimeStamp]])*24</f>
        <v>0.35000000000000009</v>
      </c>
      <c r="U884" s="35" t="s">
        <v>464</v>
      </c>
      <c r="V884" s="102" t="s">
        <v>268</v>
      </c>
      <c r="W884" s="267">
        <f>IFERROR(Table6[[#This Row],[Breakdown Time]]*Table6[[#This Row],[Plant Equivalent Weightage]],"")</f>
        <v>1.3461538461538461E-2</v>
      </c>
      <c r="X884" s="262" t="s">
        <v>296</v>
      </c>
      <c r="Y884" s="263" t="s">
        <v>121</v>
      </c>
      <c r="Z884" s="102">
        <v>29635</v>
      </c>
      <c r="AA884" s="257">
        <f>(Table6[[#This Row],[Paired WTG Generation for loss calculation]]/24)*Table6[[#This Row],[Breakdown Time]]</f>
        <v>432.17708333333348</v>
      </c>
      <c r="AB884" s="102"/>
      <c r="AC884" s="35"/>
      <c r="AD884" s="35"/>
    </row>
    <row r="885" spans="1:30">
      <c r="A885" s="102">
        <f t="shared" si="14"/>
        <v>884</v>
      </c>
      <c r="B885" s="257">
        <f>YEAR(Table6[[#This Row],[Date]])+IF(MONTH(Table6[[#This Row],[Date]])&gt;=4,1,0)</f>
        <v>2026</v>
      </c>
      <c r="C885" s="102">
        <f>YEAR(Table6[[#This Row],[Date]])</f>
        <v>2025</v>
      </c>
      <c r="D885" s="102" t="s">
        <v>265</v>
      </c>
      <c r="E885" s="258">
        <f>Table6[[#This Row],[Date]]-DAY(Table6[[#This Row],[Date]])+1</f>
        <v>45778</v>
      </c>
      <c r="F885" s="259">
        <v>45803</v>
      </c>
      <c r="G885" s="35" t="s">
        <v>134</v>
      </c>
      <c r="H885" s="35" t="str">
        <f>IFERROR(_xlfn.XLOOKUP(Table6[[#This Row],[Affected WTG]],'Basic Data'!$A:$A,'Basic Data'!$B:$B),"")</f>
        <v>TQGXIIPL</v>
      </c>
      <c r="I885" s="35" t="str">
        <f>IFERROR(_xlfn.XLOOKUP(Table6[[#This Row],[Affected WTG]],'Basic Data'!$A:$A,'Basic Data'!$C:$C),"")</f>
        <v>GEDA</v>
      </c>
      <c r="J885" s="260">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266</v>
      </c>
      <c r="N885" s="264"/>
      <c r="O885" s="265">
        <v>3.6111111111111108E-2</v>
      </c>
      <c r="P885" s="265">
        <v>4.9305555555555554E-2</v>
      </c>
      <c r="Q885" s="266">
        <v>4.9305555555555554E-2</v>
      </c>
      <c r="R885" s="261">
        <f>IF(Table6[[#This Row],[Work Start TimeStamp]]="","",(Table6[[#This Row],[Work Start TimeStamp]]-Table6[[#This Row],[Fault Start TimeStamp]])*24)</f>
        <v>0.31666666666666671</v>
      </c>
      <c r="S885" s="261">
        <f>(Table6[[#This Row],[Fault Clearance time]]-Table6[[#This Row],[Work Start TimeStamp]])*24</f>
        <v>0</v>
      </c>
      <c r="T885" s="261">
        <f>(Table6[[#This Row],[Fault Clearance time]]-Table6[[#This Row],[Fault Start TimeStamp]])*24</f>
        <v>0.31666666666666671</v>
      </c>
      <c r="U885" s="35" t="s">
        <v>464</v>
      </c>
      <c r="V885" s="102" t="s">
        <v>268</v>
      </c>
      <c r="W885" s="267">
        <f>IFERROR(Table6[[#This Row],[Breakdown Time]]*Table6[[#This Row],[Plant Equivalent Weightage]],"")</f>
        <v>1.2179487179487178E-2</v>
      </c>
      <c r="X885" s="262" t="s">
        <v>296</v>
      </c>
      <c r="Y885" s="263" t="s">
        <v>138</v>
      </c>
      <c r="Z885" s="102">
        <v>28117</v>
      </c>
      <c r="AA885" s="257">
        <f>(Table6[[#This Row],[Paired WTG Generation for loss calculation]]/24)*Table6[[#This Row],[Breakdown Time]]</f>
        <v>370.9881944444445</v>
      </c>
      <c r="AB885" s="102"/>
      <c r="AC885" s="35"/>
      <c r="AD885" s="35"/>
    </row>
    <row r="886" spans="1:30">
      <c r="A886" s="102">
        <f t="shared" si="14"/>
        <v>885</v>
      </c>
      <c r="B886" s="257">
        <f>YEAR(Table6[[#This Row],[Date]])+IF(MONTH(Table6[[#This Row],[Date]])&gt;=4,1,0)</f>
        <v>2026</v>
      </c>
      <c r="C886" s="102">
        <f>YEAR(Table6[[#This Row],[Date]])</f>
        <v>2025</v>
      </c>
      <c r="D886" s="102" t="s">
        <v>265</v>
      </c>
      <c r="E886" s="258">
        <f>Table6[[#This Row],[Date]]-DAY(Table6[[#This Row],[Date]])+1</f>
        <v>45778</v>
      </c>
      <c r="F886" s="259">
        <v>45803</v>
      </c>
      <c r="G886" s="35" t="s">
        <v>135</v>
      </c>
      <c r="H886" s="35" t="str">
        <f>IFERROR(_xlfn.XLOOKUP(Table6[[#This Row],[Affected WTG]],'Basic Data'!$A:$A,'Basic Data'!$B:$B),"")</f>
        <v>TQGXIIPL</v>
      </c>
      <c r="I886" s="35" t="str">
        <f>IFERROR(_xlfn.XLOOKUP(Table6[[#This Row],[Affected WTG]],'Basic Data'!$A:$A,'Basic Data'!$C:$C),"")</f>
        <v>GEDA</v>
      </c>
      <c r="J886" s="260">
        <f>IFERROR(_xlfn.XLOOKUP(Table6[[#This Row],[Affected WTG]],'Basic Data'!$A:$A,'Basic Data'!$E:$E),"")</f>
        <v>3.846153846153845E-2</v>
      </c>
      <c r="K886" s="102">
        <v>3420</v>
      </c>
      <c r="L886" s="35" t="str">
        <f>IFERROR(_xlfn.XLOOKUP(Table6[[#This Row],[Error Code]],'Basic Data'!$AA:$AA,'Basic Data'!$AB:$AB),"Incorrect Error Code")</f>
        <v>UPS buffer time too short</v>
      </c>
      <c r="M886" s="35" t="s">
        <v>266</v>
      </c>
      <c r="N886" s="264"/>
      <c r="O886" s="265">
        <v>4.9305555555555554E-2</v>
      </c>
      <c r="P886" s="265">
        <v>7.7777777777777779E-2</v>
      </c>
      <c r="Q886" s="266">
        <v>7.7777777777777779E-2</v>
      </c>
      <c r="R886" s="261">
        <f>IF(Table6[[#This Row],[Work Start TimeStamp]]="","",(Table6[[#This Row],[Work Start TimeStamp]]-Table6[[#This Row],[Fault Start TimeStamp]])*24)</f>
        <v>0.68333333333333335</v>
      </c>
      <c r="S886" s="261">
        <f>(Table6[[#This Row],[Fault Clearance time]]-Table6[[#This Row],[Work Start TimeStamp]])*24</f>
        <v>0</v>
      </c>
      <c r="T886" s="261">
        <f>(Table6[[#This Row],[Fault Clearance time]]-Table6[[#This Row],[Fault Start TimeStamp]])*24</f>
        <v>0.68333333333333335</v>
      </c>
      <c r="U886" s="35" t="s">
        <v>462</v>
      </c>
      <c r="V886" s="102" t="s">
        <v>268</v>
      </c>
      <c r="W886" s="267">
        <f>IFERROR(Table6[[#This Row],[Breakdown Time]]*Table6[[#This Row],[Plant Equivalent Weightage]],"")</f>
        <v>2.6282051282051275E-2</v>
      </c>
      <c r="X886" s="262" t="s">
        <v>296</v>
      </c>
      <c r="Y886" s="263" t="s">
        <v>120</v>
      </c>
      <c r="Z886" s="102">
        <v>30683</v>
      </c>
      <c r="AA886" s="257">
        <f>(Table6[[#This Row],[Paired WTG Generation for loss calculation]]/24)*Table6[[#This Row],[Breakdown Time]]</f>
        <v>873.61319444444439</v>
      </c>
      <c r="AB886" s="102"/>
      <c r="AC886" s="35"/>
      <c r="AD886" s="35"/>
    </row>
    <row r="887" spans="1:30">
      <c r="A887" s="102">
        <f t="shared" si="14"/>
        <v>886</v>
      </c>
      <c r="B887" s="257">
        <f>YEAR(Table6[[#This Row],[Date]])+IF(MONTH(Table6[[#This Row],[Date]])&gt;=4,1,0)</f>
        <v>2026</v>
      </c>
      <c r="C887" s="102">
        <f>YEAR(Table6[[#This Row],[Date]])</f>
        <v>2025</v>
      </c>
      <c r="D887" s="102" t="s">
        <v>265</v>
      </c>
      <c r="E887" s="258">
        <f>Table6[[#This Row],[Date]]-DAY(Table6[[#This Row],[Date]])+1</f>
        <v>45778</v>
      </c>
      <c r="F887" s="259">
        <v>45803</v>
      </c>
      <c r="G887" s="35" t="s">
        <v>135</v>
      </c>
      <c r="H887" s="35" t="str">
        <f>IFERROR(_xlfn.XLOOKUP(Table6[[#This Row],[Affected WTG]],'Basic Data'!$A:$A,'Basic Data'!$B:$B),"")</f>
        <v>TQGXIIPL</v>
      </c>
      <c r="I887" s="35" t="str">
        <f>IFERROR(_xlfn.XLOOKUP(Table6[[#This Row],[Affected WTG]],'Basic Data'!$A:$A,'Basic Data'!$C:$C),"")</f>
        <v>GEDA</v>
      </c>
      <c r="J887" s="260">
        <f>IFERROR(_xlfn.XLOOKUP(Table6[[#This Row],[Affected WTG]],'Basic Data'!$A:$A,'Basic Data'!$E:$E),"")</f>
        <v>3.846153846153845E-2</v>
      </c>
      <c r="K887" s="102">
        <v>55</v>
      </c>
      <c r="L887" s="35" t="str">
        <f>IFERROR(_xlfn.XLOOKUP(Table6[[#This Row],[Error Code]],'Basic Data'!$AA:$AA,'Basic Data'!$AB:$AB),"Incorrect Error Code")</f>
        <v>WTG shut down</v>
      </c>
      <c r="M887" s="35" t="s">
        <v>266</v>
      </c>
      <c r="N887" s="264"/>
      <c r="O887" s="265">
        <v>0.70486111111111116</v>
      </c>
      <c r="P887" s="265">
        <v>0.75763888888888886</v>
      </c>
      <c r="Q887" s="266">
        <v>0.75763888888888886</v>
      </c>
      <c r="R887" s="261">
        <f>IF(Table6[[#This Row],[Work Start TimeStamp]]="","",(Table6[[#This Row],[Work Start TimeStamp]]-Table6[[#This Row],[Fault Start TimeStamp]])*24)</f>
        <v>1.2666666666666648</v>
      </c>
      <c r="S887" s="261">
        <f>(Table6[[#This Row],[Fault Clearance time]]-Table6[[#This Row],[Work Start TimeStamp]])*24</f>
        <v>0</v>
      </c>
      <c r="T887" s="261">
        <f>(Table6[[#This Row],[Fault Clearance time]]-Table6[[#This Row],[Fault Start TimeStamp]])*24</f>
        <v>1.2666666666666648</v>
      </c>
      <c r="U887" s="35" t="s">
        <v>473</v>
      </c>
      <c r="V887" s="102" t="s">
        <v>268</v>
      </c>
      <c r="W887" s="267">
        <f>IFERROR(Table6[[#This Row],[Breakdown Time]]*Table6[[#This Row],[Plant Equivalent Weightage]],"")</f>
        <v>4.8717948717948635E-2</v>
      </c>
      <c r="X887" s="262" t="s">
        <v>296</v>
      </c>
      <c r="Y887" s="263" t="s">
        <v>120</v>
      </c>
      <c r="Z887" s="102">
        <v>30683</v>
      </c>
      <c r="AA887" s="257">
        <f>(Table6[[#This Row],[Paired WTG Generation for loss calculation]]/24)*Table6[[#This Row],[Breakdown Time]]</f>
        <v>1619.3805555555532</v>
      </c>
      <c r="AB887" s="102"/>
      <c r="AC887" s="35"/>
      <c r="AD887" s="35"/>
    </row>
    <row r="888" spans="1:30">
      <c r="A888" s="102">
        <f t="shared" si="14"/>
        <v>887</v>
      </c>
      <c r="B888" s="257">
        <f>YEAR(Table6[[#This Row],[Date]])+IF(MONTH(Table6[[#This Row],[Date]])&gt;=4,1,0)</f>
        <v>2026</v>
      </c>
      <c r="C888" s="102">
        <f>YEAR(Table6[[#This Row],[Date]])</f>
        <v>2025</v>
      </c>
      <c r="D888" s="102" t="s">
        <v>265</v>
      </c>
      <c r="E888" s="258">
        <f>Table6[[#This Row],[Date]]-DAY(Table6[[#This Row],[Date]])+1</f>
        <v>45778</v>
      </c>
      <c r="F888" s="259">
        <v>45803</v>
      </c>
      <c r="G888" s="35" t="s">
        <v>136</v>
      </c>
      <c r="H888" s="35" t="str">
        <f>IFERROR(_xlfn.XLOOKUP(Table6[[#This Row],[Affected WTG]],'Basic Data'!$A:$A,'Basic Data'!$B:$B),"")</f>
        <v>TQGXIIPL</v>
      </c>
      <c r="I888" s="35" t="str">
        <f>IFERROR(_xlfn.XLOOKUP(Table6[[#This Row],[Affected WTG]],'Basic Data'!$A:$A,'Basic Data'!$C:$C),"")</f>
        <v>GEDA</v>
      </c>
      <c r="J888" s="260">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266</v>
      </c>
      <c r="N888" s="264"/>
      <c r="O888" s="265">
        <v>5.6250000000000001E-2</v>
      </c>
      <c r="P888" s="265">
        <v>7.013888888888889E-2</v>
      </c>
      <c r="Q888" s="266">
        <v>7.013888888888889E-2</v>
      </c>
      <c r="R888" s="261">
        <f>IF(Table6[[#This Row],[Work Start TimeStamp]]="","",(Table6[[#This Row],[Work Start TimeStamp]]-Table6[[#This Row],[Fault Start TimeStamp]])*24)</f>
        <v>0.33333333333333331</v>
      </c>
      <c r="S888" s="261">
        <f>(Table6[[#This Row],[Fault Clearance time]]-Table6[[#This Row],[Work Start TimeStamp]])*24</f>
        <v>0</v>
      </c>
      <c r="T888" s="261">
        <f>(Table6[[#This Row],[Fault Clearance time]]-Table6[[#This Row],[Fault Start TimeStamp]])*24</f>
        <v>0.33333333333333331</v>
      </c>
      <c r="U888" s="35" t="s">
        <v>464</v>
      </c>
      <c r="V888" s="102" t="s">
        <v>268</v>
      </c>
      <c r="W888" s="267">
        <f>IFERROR(Table6[[#This Row],[Breakdown Time]]*Table6[[#This Row],[Plant Equivalent Weightage]],"")</f>
        <v>1.2820512820512817E-2</v>
      </c>
      <c r="X888" s="262" t="s">
        <v>296</v>
      </c>
      <c r="Y888" s="263" t="s">
        <v>120</v>
      </c>
      <c r="Z888" s="102">
        <v>30683</v>
      </c>
      <c r="AA888" s="257">
        <f>(Table6[[#This Row],[Paired WTG Generation for loss calculation]]/24)*Table6[[#This Row],[Breakdown Time]]</f>
        <v>426.15277777777771</v>
      </c>
      <c r="AB888" s="102"/>
      <c r="AC888" s="35"/>
      <c r="AD888" s="35"/>
    </row>
    <row r="889" spans="1:30">
      <c r="A889" s="102">
        <f t="shared" si="14"/>
        <v>888</v>
      </c>
      <c r="B889" s="257">
        <f>YEAR(Table6[[#This Row],[Date]])+IF(MONTH(Table6[[#This Row],[Date]])&gt;=4,1,0)</f>
        <v>2026</v>
      </c>
      <c r="C889" s="102">
        <f>YEAR(Table6[[#This Row],[Date]])</f>
        <v>2025</v>
      </c>
      <c r="D889" s="102" t="s">
        <v>265</v>
      </c>
      <c r="E889" s="258">
        <f>Table6[[#This Row],[Date]]-DAY(Table6[[#This Row],[Date]])+1</f>
        <v>45778</v>
      </c>
      <c r="F889" s="259">
        <v>45803</v>
      </c>
      <c r="G889" s="35" t="s">
        <v>137</v>
      </c>
      <c r="H889" s="35" t="str">
        <f>IFERROR(_xlfn.XLOOKUP(Table6[[#This Row],[Affected WTG]],'Basic Data'!$A:$A,'Basic Data'!$B:$B),"")</f>
        <v>TQGXIIPL</v>
      </c>
      <c r="I889" s="35" t="str">
        <f>IFERROR(_xlfn.XLOOKUP(Table6[[#This Row],[Affected WTG]],'Basic Data'!$A:$A,'Basic Data'!$C:$C),"")</f>
        <v>GEDA</v>
      </c>
      <c r="J889" s="260">
        <f>IFERROR(_xlfn.XLOOKUP(Table6[[#This Row],[Affected WTG]],'Basic Data'!$A:$A,'Basic Data'!$E:$E),"")</f>
        <v>3.846153846153845E-2</v>
      </c>
      <c r="K889" s="102">
        <v>58</v>
      </c>
      <c r="L889" s="35" t="str">
        <f>IFERROR(_xlfn.XLOOKUP(Table6[[#This Row],[Error Code]],'Basic Data'!$AA:$AA,'Basic Data'!$AB:$AB),"Incorrect Error Code")</f>
        <v>Wind dir.dev. level 2</v>
      </c>
      <c r="M889" s="35" t="s">
        <v>278</v>
      </c>
      <c r="N889" s="264"/>
      <c r="O889" s="265">
        <v>8.3333333333333332E-3</v>
      </c>
      <c r="P889" s="265">
        <v>1.0416666666666666E-2</v>
      </c>
      <c r="Q889" s="266">
        <v>1.0416666666666666E-2</v>
      </c>
      <c r="R889" s="261">
        <f>IF(Table6[[#This Row],[Work Start TimeStamp]]="","",(Table6[[#This Row],[Work Start TimeStamp]]-Table6[[#This Row],[Fault Start TimeStamp]])*24)</f>
        <v>4.9999999999999989E-2</v>
      </c>
      <c r="S889" s="261">
        <f>(Table6[[#This Row],[Fault Clearance time]]-Table6[[#This Row],[Work Start TimeStamp]])*24</f>
        <v>0</v>
      </c>
      <c r="T889" s="261">
        <f>(Table6[[#This Row],[Fault Clearance time]]-Table6[[#This Row],[Fault Start TimeStamp]])*24</f>
        <v>4.9999999999999989E-2</v>
      </c>
      <c r="U889" s="35" t="s">
        <v>277</v>
      </c>
      <c r="V889" s="102" t="s">
        <v>268</v>
      </c>
      <c r="W889" s="267">
        <f>IFERROR(Table6[[#This Row],[Breakdown Time]]*Table6[[#This Row],[Plant Equivalent Weightage]],"")</f>
        <v>1.9230769230769221E-3</v>
      </c>
      <c r="X889" s="262" t="s">
        <v>269</v>
      </c>
      <c r="Y889" s="263" t="s">
        <v>125</v>
      </c>
      <c r="Z889" s="102">
        <v>29120</v>
      </c>
      <c r="AA889" s="257">
        <f>(Table6[[#This Row],[Paired WTG Generation for loss calculation]]/24)*Table6[[#This Row],[Breakdown Time]]</f>
        <v>60.66666666666665</v>
      </c>
      <c r="AB889" s="102"/>
      <c r="AC889" s="35"/>
      <c r="AD889" s="35"/>
    </row>
    <row r="890" spans="1:30">
      <c r="A890" s="102">
        <f t="shared" si="14"/>
        <v>889</v>
      </c>
      <c r="B890" s="257">
        <f>YEAR(Table6[[#This Row],[Date]])+IF(MONTH(Table6[[#This Row],[Date]])&gt;=4,1,0)</f>
        <v>2026</v>
      </c>
      <c r="C890" s="102">
        <f>YEAR(Table6[[#This Row],[Date]])</f>
        <v>2025</v>
      </c>
      <c r="D890" s="102" t="s">
        <v>265</v>
      </c>
      <c r="E890" s="258">
        <f>Table6[[#This Row],[Date]]-DAY(Table6[[#This Row],[Date]])+1</f>
        <v>45778</v>
      </c>
      <c r="F890" s="259">
        <v>45803</v>
      </c>
      <c r="G890" s="35" t="s">
        <v>137</v>
      </c>
      <c r="H890" s="35" t="str">
        <f>IFERROR(_xlfn.XLOOKUP(Table6[[#This Row],[Affected WTG]],'Basic Data'!$A:$A,'Basic Data'!$B:$B),"")</f>
        <v>TQGXIIPL</v>
      </c>
      <c r="I890" s="35" t="str">
        <f>IFERROR(_xlfn.XLOOKUP(Table6[[#This Row],[Affected WTG]],'Basic Data'!$A:$A,'Basic Data'!$C:$C),"")</f>
        <v>GEDA</v>
      </c>
      <c r="J890" s="260">
        <f>IFERROR(_xlfn.XLOOKUP(Table6[[#This Row],[Affected WTG]],'Basic Data'!$A:$A,'Basic Data'!$E:$E),"")</f>
        <v>3.846153846153845E-2</v>
      </c>
      <c r="K890" s="102">
        <v>3420</v>
      </c>
      <c r="L890" s="35" t="str">
        <f>IFERROR(_xlfn.XLOOKUP(Table6[[#This Row],[Error Code]],'Basic Data'!$AA:$AA,'Basic Data'!$AB:$AB),"Incorrect Error Code")</f>
        <v>UPS buffer time too short</v>
      </c>
      <c r="M890" s="35" t="s">
        <v>266</v>
      </c>
      <c r="N890" s="264"/>
      <c r="O890" s="265">
        <v>3.5416666666666666E-2</v>
      </c>
      <c r="P890" s="265">
        <v>5.2083333333333336E-2</v>
      </c>
      <c r="Q890" s="266">
        <v>5.2083333333333336E-2</v>
      </c>
      <c r="R890" s="261">
        <f>IF(Table6[[#This Row],[Work Start TimeStamp]]="","",(Table6[[#This Row],[Work Start TimeStamp]]-Table6[[#This Row],[Fault Start TimeStamp]])*24)</f>
        <v>0.40000000000000008</v>
      </c>
      <c r="S890" s="261">
        <f>(Table6[[#This Row],[Fault Clearance time]]-Table6[[#This Row],[Work Start TimeStamp]])*24</f>
        <v>0</v>
      </c>
      <c r="T890" s="261">
        <f>(Table6[[#This Row],[Fault Clearance time]]-Table6[[#This Row],[Fault Start TimeStamp]])*24</f>
        <v>0.40000000000000008</v>
      </c>
      <c r="U890" s="35" t="s">
        <v>464</v>
      </c>
      <c r="V890" s="102" t="s">
        <v>268</v>
      </c>
      <c r="W890" s="267">
        <f>IFERROR(Table6[[#This Row],[Breakdown Time]]*Table6[[#This Row],[Plant Equivalent Weightage]],"")</f>
        <v>1.5384615384615384E-2</v>
      </c>
      <c r="X890" s="262" t="s">
        <v>296</v>
      </c>
      <c r="Y890" s="263" t="s">
        <v>125</v>
      </c>
      <c r="Z890" s="102">
        <v>29120</v>
      </c>
      <c r="AA890" s="257">
        <f>(Table6[[#This Row],[Paired WTG Generation for loss calculation]]/24)*Table6[[#This Row],[Breakdown Time]]</f>
        <v>485.33333333333337</v>
      </c>
      <c r="AB890" s="102"/>
      <c r="AC890" s="35"/>
      <c r="AD890" s="35"/>
    </row>
    <row r="891" spans="1:30">
      <c r="A891" s="102">
        <f t="shared" si="14"/>
        <v>890</v>
      </c>
      <c r="B891" s="257">
        <f>YEAR(Table6[[#This Row],[Date]])+IF(MONTH(Table6[[#This Row],[Date]])&gt;=4,1,0)</f>
        <v>2026</v>
      </c>
      <c r="C891" s="102">
        <f>YEAR(Table6[[#This Row],[Date]])</f>
        <v>2025</v>
      </c>
      <c r="D891" s="102" t="s">
        <v>265</v>
      </c>
      <c r="E891" s="258">
        <f>Table6[[#This Row],[Date]]-DAY(Table6[[#This Row],[Date]])+1</f>
        <v>45778</v>
      </c>
      <c r="F891" s="259">
        <v>45803</v>
      </c>
      <c r="G891" s="35" t="s">
        <v>138</v>
      </c>
      <c r="H891" s="35" t="str">
        <f>IFERROR(_xlfn.XLOOKUP(Table6[[#This Row],[Affected WTG]],'Basic Data'!$A:$A,'Basic Data'!$B:$B),"")</f>
        <v>TQGXIIPL</v>
      </c>
      <c r="I891" s="35" t="str">
        <f>IFERROR(_xlfn.XLOOKUP(Table6[[#This Row],[Affected WTG]],'Basic Data'!$A:$A,'Basic Data'!$C:$C),"")</f>
        <v>GEDA</v>
      </c>
      <c r="J891" s="260">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266</v>
      </c>
      <c r="N891" s="264"/>
      <c r="O891" s="265">
        <v>3.6111111111111108E-2</v>
      </c>
      <c r="P891" s="265">
        <v>5.2777777777777778E-2</v>
      </c>
      <c r="Q891" s="266">
        <v>5.2777777777777778E-2</v>
      </c>
      <c r="R891" s="261">
        <f>IF(Table6[[#This Row],[Work Start TimeStamp]]="","",(Table6[[#This Row],[Work Start TimeStamp]]-Table6[[#This Row],[Fault Start TimeStamp]])*24)</f>
        <v>0.40000000000000008</v>
      </c>
      <c r="S891" s="261">
        <f>(Table6[[#This Row],[Fault Clearance time]]-Table6[[#This Row],[Work Start TimeStamp]])*24</f>
        <v>0</v>
      </c>
      <c r="T891" s="261">
        <f>(Table6[[#This Row],[Fault Clearance time]]-Table6[[#This Row],[Fault Start TimeStamp]])*24</f>
        <v>0.40000000000000008</v>
      </c>
      <c r="U891" s="35" t="s">
        <v>464</v>
      </c>
      <c r="V891" s="102" t="s">
        <v>268</v>
      </c>
      <c r="W891" s="267">
        <f>IFERROR(Table6[[#This Row],[Breakdown Time]]*Table6[[#This Row],[Plant Equivalent Weightage]],"")</f>
        <v>1.5384615384615384E-2</v>
      </c>
      <c r="X891" s="262" t="s">
        <v>296</v>
      </c>
      <c r="Y891" s="263" t="s">
        <v>134</v>
      </c>
      <c r="Z891" s="102">
        <v>26825</v>
      </c>
      <c r="AA891" s="257">
        <f>(Table6[[#This Row],[Paired WTG Generation for loss calculation]]/24)*Table6[[#This Row],[Breakdown Time]]</f>
        <v>447.08333333333337</v>
      </c>
      <c r="AB891" s="102"/>
      <c r="AC891" s="35"/>
      <c r="AD891" s="35"/>
    </row>
    <row r="892" spans="1:30">
      <c r="A892" s="102">
        <f t="shared" si="14"/>
        <v>891</v>
      </c>
      <c r="B892" s="257">
        <f>YEAR(Table6[[#This Row],[Date]])+IF(MONTH(Table6[[#This Row],[Date]])&gt;=4,1,0)</f>
        <v>2026</v>
      </c>
      <c r="C892" s="102">
        <f>YEAR(Table6[[#This Row],[Date]])</f>
        <v>2025</v>
      </c>
      <c r="D892" s="102" t="s">
        <v>265</v>
      </c>
      <c r="E892" s="258">
        <f>Table6[[#This Row],[Date]]-DAY(Table6[[#This Row],[Date]])+1</f>
        <v>45778</v>
      </c>
      <c r="F892" s="259">
        <v>45803</v>
      </c>
      <c r="G892" s="35" t="s">
        <v>139</v>
      </c>
      <c r="H892" s="35" t="str">
        <f>IFERROR(_xlfn.XLOOKUP(Table6[[#This Row],[Affected WTG]],'Basic Data'!$A:$A,'Basic Data'!$B:$B),"")</f>
        <v>TQGXIIPL</v>
      </c>
      <c r="I892" s="35" t="str">
        <f>IFERROR(_xlfn.XLOOKUP(Table6[[#This Row],[Affected WTG]],'Basic Data'!$A:$A,'Basic Data'!$C:$C),"")</f>
        <v>GEDA</v>
      </c>
      <c r="J892" s="260">
        <f>IFERROR(_xlfn.XLOOKUP(Table6[[#This Row],[Affected WTG]],'Basic Data'!$A:$A,'Basic Data'!$E:$E),"")</f>
        <v>3.846153846153845E-2</v>
      </c>
      <c r="K892" s="102">
        <v>58</v>
      </c>
      <c r="L892" s="35" t="str">
        <f>IFERROR(_xlfn.XLOOKUP(Table6[[#This Row],[Error Code]],'Basic Data'!$AA:$AA,'Basic Data'!$AB:$AB),"Incorrect Error Code")</f>
        <v>Wind dir.dev. level 2</v>
      </c>
      <c r="M892" s="35" t="s">
        <v>278</v>
      </c>
      <c r="N892" s="264"/>
      <c r="O892" s="265">
        <v>3.472222222222222E-3</v>
      </c>
      <c r="P892" s="265">
        <v>5.5555555555555558E-3</v>
      </c>
      <c r="Q892" s="266">
        <v>5.5555555555555558E-3</v>
      </c>
      <c r="R892" s="261">
        <f>IF(Table6[[#This Row],[Work Start TimeStamp]]="","",(Table6[[#This Row],[Work Start TimeStamp]]-Table6[[#This Row],[Fault Start TimeStamp]])*24)</f>
        <v>5.000000000000001E-2</v>
      </c>
      <c r="S892" s="261">
        <f>(Table6[[#This Row],[Fault Clearance time]]-Table6[[#This Row],[Work Start TimeStamp]])*24</f>
        <v>0</v>
      </c>
      <c r="T892" s="261">
        <f>(Table6[[#This Row],[Fault Clearance time]]-Table6[[#This Row],[Fault Start TimeStamp]])*24</f>
        <v>5.000000000000001E-2</v>
      </c>
      <c r="U892" s="35" t="s">
        <v>277</v>
      </c>
      <c r="V892" s="102" t="s">
        <v>268</v>
      </c>
      <c r="W892" s="267">
        <f>IFERROR(Table6[[#This Row],[Breakdown Time]]*Table6[[#This Row],[Plant Equivalent Weightage]],"")</f>
        <v>1.923076923076923E-3</v>
      </c>
      <c r="X892" s="262" t="s">
        <v>269</v>
      </c>
      <c r="Y892" s="263" t="s">
        <v>115</v>
      </c>
      <c r="Z892" s="102">
        <v>30294</v>
      </c>
      <c r="AA892" s="257">
        <f>(Table6[[#This Row],[Paired WTG Generation for loss calculation]]/24)*Table6[[#This Row],[Breakdown Time]]</f>
        <v>63.112500000000011</v>
      </c>
      <c r="AB892" s="102"/>
      <c r="AC892" s="35"/>
      <c r="AD892" s="35"/>
    </row>
    <row r="893" spans="1:30">
      <c r="A893" s="102">
        <f t="shared" si="14"/>
        <v>892</v>
      </c>
      <c r="B893" s="257">
        <f>YEAR(Table6[[#This Row],[Date]])+IF(MONTH(Table6[[#This Row],[Date]])&gt;=4,1,0)</f>
        <v>2026</v>
      </c>
      <c r="C893" s="102">
        <f>YEAR(Table6[[#This Row],[Date]])</f>
        <v>2025</v>
      </c>
      <c r="D893" s="102" t="s">
        <v>265</v>
      </c>
      <c r="E893" s="258">
        <f>Table6[[#This Row],[Date]]-DAY(Table6[[#This Row],[Date]])+1</f>
        <v>45778</v>
      </c>
      <c r="F893" s="259">
        <v>45803</v>
      </c>
      <c r="G893" s="35" t="s">
        <v>139</v>
      </c>
      <c r="H893" s="35" t="str">
        <f>IFERROR(_xlfn.XLOOKUP(Table6[[#This Row],[Affected WTG]],'Basic Data'!$A:$A,'Basic Data'!$B:$B),"")</f>
        <v>TQGXIIPL</v>
      </c>
      <c r="I893" s="35" t="str">
        <f>IFERROR(_xlfn.XLOOKUP(Table6[[#This Row],[Affected WTG]],'Basic Data'!$A:$A,'Basic Data'!$C:$C),"")</f>
        <v>GEDA</v>
      </c>
      <c r="J893" s="260">
        <f>IFERROR(_xlfn.XLOOKUP(Table6[[#This Row],[Affected WTG]],'Basic Data'!$A:$A,'Basic Data'!$E:$E),"")</f>
        <v>3.846153846153845E-2</v>
      </c>
      <c r="K893" s="102">
        <v>3420</v>
      </c>
      <c r="L893" s="35" t="str">
        <f>IFERROR(_xlfn.XLOOKUP(Table6[[#This Row],[Error Code]],'Basic Data'!$AA:$AA,'Basic Data'!$AB:$AB),"Incorrect Error Code")</f>
        <v>UPS buffer time too short</v>
      </c>
      <c r="M893" s="35" t="s">
        <v>266</v>
      </c>
      <c r="N893" s="264"/>
      <c r="O893" s="265">
        <v>3.5416666666666666E-2</v>
      </c>
      <c r="P893" s="265">
        <v>5.2083333333333336E-2</v>
      </c>
      <c r="Q893" s="266">
        <v>5.2083333333333336E-2</v>
      </c>
      <c r="R893" s="261">
        <f>IF(Table6[[#This Row],[Work Start TimeStamp]]="","",(Table6[[#This Row],[Work Start TimeStamp]]-Table6[[#This Row],[Fault Start TimeStamp]])*24)</f>
        <v>0.40000000000000008</v>
      </c>
      <c r="S893" s="261">
        <f>(Table6[[#This Row],[Fault Clearance time]]-Table6[[#This Row],[Work Start TimeStamp]])*24</f>
        <v>0</v>
      </c>
      <c r="T893" s="261">
        <f>(Table6[[#This Row],[Fault Clearance time]]-Table6[[#This Row],[Fault Start TimeStamp]])*24</f>
        <v>0.40000000000000008</v>
      </c>
      <c r="U893" s="35" t="s">
        <v>464</v>
      </c>
      <c r="V893" s="102" t="s">
        <v>268</v>
      </c>
      <c r="W893" s="267">
        <f>IFERROR(Table6[[#This Row],[Breakdown Time]]*Table6[[#This Row],[Plant Equivalent Weightage]],"")</f>
        <v>1.5384615384615384E-2</v>
      </c>
      <c r="X893" s="262" t="s">
        <v>296</v>
      </c>
      <c r="Y893" s="263" t="s">
        <v>115</v>
      </c>
      <c r="Z893" s="102">
        <v>30294</v>
      </c>
      <c r="AA893" s="257">
        <f>(Table6[[#This Row],[Paired WTG Generation for loss calculation]]/24)*Table6[[#This Row],[Breakdown Time]]</f>
        <v>504.90000000000009</v>
      </c>
      <c r="AB893" s="102"/>
      <c r="AC893" s="35"/>
      <c r="AD893" s="35"/>
    </row>
    <row r="894" spans="1:30">
      <c r="A894" s="102">
        <f t="shared" si="14"/>
        <v>893</v>
      </c>
      <c r="B894" s="257">
        <f>YEAR(Table6[[#This Row],[Date]])+IF(MONTH(Table6[[#This Row],[Date]])&gt;=4,1,0)</f>
        <v>2026</v>
      </c>
      <c r="C894" s="102">
        <f>YEAR(Table6[[#This Row],[Date]])</f>
        <v>2025</v>
      </c>
      <c r="D894" s="102" t="s">
        <v>265</v>
      </c>
      <c r="E894" s="258">
        <f>Table6[[#This Row],[Date]]-DAY(Table6[[#This Row],[Date]])+1</f>
        <v>45778</v>
      </c>
      <c r="F894" s="259">
        <v>45803</v>
      </c>
      <c r="G894" s="35" t="s">
        <v>139</v>
      </c>
      <c r="H894" s="35" t="str">
        <f>IFERROR(_xlfn.XLOOKUP(Table6[[#This Row],[Affected WTG]],'Basic Data'!$A:$A,'Basic Data'!$B:$B),"")</f>
        <v>TQGXIIPL</v>
      </c>
      <c r="I894" s="35" t="str">
        <f>IFERROR(_xlfn.XLOOKUP(Table6[[#This Row],[Affected WTG]],'Basic Data'!$A:$A,'Basic Data'!$C:$C),"")</f>
        <v>GEDA</v>
      </c>
      <c r="J894" s="260">
        <f>IFERROR(_xlfn.XLOOKUP(Table6[[#This Row],[Affected WTG]],'Basic Data'!$A:$A,'Basic Data'!$E:$E),"")</f>
        <v>3.846153846153845E-2</v>
      </c>
      <c r="K894" s="102">
        <v>55</v>
      </c>
      <c r="L894" s="35" t="str">
        <f>IFERROR(_xlfn.XLOOKUP(Table6[[#This Row],[Error Code]],'Basic Data'!$AA:$AA,'Basic Data'!$AB:$AB),"Incorrect Error Code")</f>
        <v>WTG shut down</v>
      </c>
      <c r="M894" s="35" t="s">
        <v>300</v>
      </c>
      <c r="N894" s="264"/>
      <c r="O894" s="265">
        <v>0.17847222222222223</v>
      </c>
      <c r="P894" s="265">
        <v>0.21180555555555555</v>
      </c>
      <c r="Q894" s="266">
        <v>0.21180555555555555</v>
      </c>
      <c r="R894" s="261">
        <f>IF(Table6[[#This Row],[Work Start TimeStamp]]="","",(Table6[[#This Row],[Work Start TimeStamp]]-Table6[[#This Row],[Fault Start TimeStamp]])*24)</f>
        <v>0.79999999999999982</v>
      </c>
      <c r="S894" s="261">
        <f>(Table6[[#This Row],[Fault Clearance time]]-Table6[[#This Row],[Work Start TimeStamp]])*24</f>
        <v>0</v>
      </c>
      <c r="T894" s="261">
        <f>(Table6[[#This Row],[Fault Clearance time]]-Table6[[#This Row],[Fault Start TimeStamp]])*24</f>
        <v>0.79999999999999982</v>
      </c>
      <c r="U894" s="35" t="s">
        <v>385</v>
      </c>
      <c r="V894" s="102" t="s">
        <v>268</v>
      </c>
      <c r="W894" s="267">
        <f>IFERROR(Table6[[#This Row],[Breakdown Time]]*Table6[[#This Row],[Plant Equivalent Weightage]],"")</f>
        <v>3.0769230769230754E-2</v>
      </c>
      <c r="X894" s="262" t="s">
        <v>269</v>
      </c>
      <c r="Y894" s="263" t="s">
        <v>115</v>
      </c>
      <c r="Z894" s="102">
        <v>30294</v>
      </c>
      <c r="AA894" s="257">
        <f>(Table6[[#This Row],[Paired WTG Generation for loss calculation]]/24)*Table6[[#This Row],[Breakdown Time]]</f>
        <v>1009.7999999999997</v>
      </c>
      <c r="AB894" s="102"/>
      <c r="AC894" s="35"/>
      <c r="AD894" s="35"/>
    </row>
    <row r="895" spans="1:30">
      <c r="A895" s="102">
        <f t="shared" si="14"/>
        <v>894</v>
      </c>
      <c r="B895" s="257">
        <f>YEAR(Table6[[#This Row],[Date]])+IF(MONTH(Table6[[#This Row],[Date]])&gt;=4,1,0)</f>
        <v>2026</v>
      </c>
      <c r="C895" s="102">
        <f>YEAR(Table6[[#This Row],[Date]])</f>
        <v>2025</v>
      </c>
      <c r="D895" s="102" t="s">
        <v>265</v>
      </c>
      <c r="E895" s="258">
        <f>Table6[[#This Row],[Date]]-DAY(Table6[[#This Row],[Date]])+1</f>
        <v>45778</v>
      </c>
      <c r="F895" s="259">
        <v>45803</v>
      </c>
      <c r="G895" s="35" t="s">
        <v>139</v>
      </c>
      <c r="H895" s="35" t="str">
        <f>IFERROR(_xlfn.XLOOKUP(Table6[[#This Row],[Affected WTG]],'Basic Data'!$A:$A,'Basic Data'!$B:$B),"")</f>
        <v>TQGXIIPL</v>
      </c>
      <c r="I895" s="35" t="str">
        <f>IFERROR(_xlfn.XLOOKUP(Table6[[#This Row],[Affected WTG]],'Basic Data'!$A:$A,'Basic Data'!$C:$C),"")</f>
        <v>GEDA</v>
      </c>
      <c r="J895" s="260">
        <f>IFERROR(_xlfn.XLOOKUP(Table6[[#This Row],[Affected WTG]],'Basic Data'!$A:$A,'Basic Data'!$E:$E),"")</f>
        <v>3.846153846153845E-2</v>
      </c>
      <c r="K895" s="102">
        <v>55</v>
      </c>
      <c r="L895" s="35" t="str">
        <f>IFERROR(_xlfn.XLOOKUP(Table6[[#This Row],[Error Code]],'Basic Data'!$AA:$AA,'Basic Data'!$AB:$AB),"Incorrect Error Code")</f>
        <v>WTG shut down</v>
      </c>
      <c r="M895" s="35" t="s">
        <v>300</v>
      </c>
      <c r="N895" s="264"/>
      <c r="O895" s="265">
        <v>0.21805555555555556</v>
      </c>
      <c r="P895" s="265">
        <v>0.26319444444444445</v>
      </c>
      <c r="Q895" s="266">
        <v>0.26319444444444445</v>
      </c>
      <c r="R895" s="261">
        <f>IF(Table6[[#This Row],[Work Start TimeStamp]]="","",(Table6[[#This Row],[Work Start TimeStamp]]-Table6[[#This Row],[Fault Start TimeStamp]])*24)</f>
        <v>1.0833333333333335</v>
      </c>
      <c r="S895" s="261">
        <f>(Table6[[#This Row],[Fault Clearance time]]-Table6[[#This Row],[Work Start TimeStamp]])*24</f>
        <v>0</v>
      </c>
      <c r="T895" s="261">
        <f>(Table6[[#This Row],[Fault Clearance time]]-Table6[[#This Row],[Fault Start TimeStamp]])*24</f>
        <v>1.0833333333333335</v>
      </c>
      <c r="U895" s="35" t="s">
        <v>385</v>
      </c>
      <c r="V895" s="102" t="s">
        <v>268</v>
      </c>
      <c r="W895" s="267">
        <f>IFERROR(Table6[[#This Row],[Breakdown Time]]*Table6[[#This Row],[Plant Equivalent Weightage]],"")</f>
        <v>4.1666666666666657E-2</v>
      </c>
      <c r="X895" s="262" t="s">
        <v>269</v>
      </c>
      <c r="Y895" s="263" t="s">
        <v>115</v>
      </c>
      <c r="Z895" s="102">
        <v>30294</v>
      </c>
      <c r="AA895" s="257">
        <f>(Table6[[#This Row],[Paired WTG Generation for loss calculation]]/24)*Table6[[#This Row],[Breakdown Time]]</f>
        <v>1367.4375000000002</v>
      </c>
      <c r="AB895" s="102"/>
      <c r="AC895" s="35"/>
      <c r="AD895" s="35"/>
    </row>
    <row r="896" spans="1:30">
      <c r="A896" s="102">
        <f t="shared" si="14"/>
        <v>895</v>
      </c>
      <c r="B896" s="257">
        <f>YEAR(Table6[[#This Row],[Date]])+IF(MONTH(Table6[[#This Row],[Date]])&gt;=4,1,0)</f>
        <v>2026</v>
      </c>
      <c r="C896" s="102">
        <f>YEAR(Table6[[#This Row],[Date]])</f>
        <v>2025</v>
      </c>
      <c r="D896" s="102" t="s">
        <v>265</v>
      </c>
      <c r="E896" s="258">
        <f>Table6[[#This Row],[Date]]-DAY(Table6[[#This Row],[Date]])+1</f>
        <v>45778</v>
      </c>
      <c r="F896" s="259">
        <v>45803</v>
      </c>
      <c r="G896" s="35" t="s">
        <v>140</v>
      </c>
      <c r="H896" s="35" t="str">
        <f>IFERROR(_xlfn.XLOOKUP(Table6[[#This Row],[Affected WTG]],'Basic Data'!$A:$A,'Basic Data'!$B:$B),"")</f>
        <v>TQGXIIPL</v>
      </c>
      <c r="I896" s="35" t="str">
        <f>IFERROR(_xlfn.XLOOKUP(Table6[[#This Row],[Affected WTG]],'Basic Data'!$A:$A,'Basic Data'!$C:$C),"")</f>
        <v>GEDA</v>
      </c>
      <c r="J896" s="260">
        <f>IFERROR(_xlfn.XLOOKUP(Table6[[#This Row],[Affected WTG]],'Basic Data'!$A:$A,'Basic Data'!$E:$E),"")</f>
        <v>3.846153846153845E-2</v>
      </c>
      <c r="K896" s="102">
        <v>675</v>
      </c>
      <c r="L896" s="35" t="str">
        <f>IFERROR(_xlfn.XLOOKUP(Table6[[#This Row],[Error Code]],'Basic Data'!$AA:$AA,'Basic Data'!$AB:$AB),"Incorrect Error Code")</f>
        <v>Pitch measuring system 1&gt;&lt;2</v>
      </c>
      <c r="M896" s="35" t="s">
        <v>266</v>
      </c>
      <c r="N896" s="264"/>
      <c r="O896" s="265">
        <v>3.5416666666666666E-2</v>
      </c>
      <c r="P896" s="265">
        <v>5.2777777777777778E-2</v>
      </c>
      <c r="Q896" s="266">
        <v>5.2777777777777778E-2</v>
      </c>
      <c r="R896" s="261">
        <f>IF(Table6[[#This Row],[Work Start TimeStamp]]="","",(Table6[[#This Row],[Work Start TimeStamp]]-Table6[[#This Row],[Fault Start TimeStamp]])*24)</f>
        <v>0.41666666666666669</v>
      </c>
      <c r="S896" s="261">
        <f>(Table6[[#This Row],[Fault Clearance time]]-Table6[[#This Row],[Work Start TimeStamp]])*24</f>
        <v>0</v>
      </c>
      <c r="T896" s="261">
        <f>(Table6[[#This Row],[Fault Clearance time]]-Table6[[#This Row],[Fault Start TimeStamp]])*24</f>
        <v>0.41666666666666669</v>
      </c>
      <c r="U896" s="35" t="s">
        <v>464</v>
      </c>
      <c r="V896" s="102" t="s">
        <v>268</v>
      </c>
      <c r="W896" s="267">
        <f>IFERROR(Table6[[#This Row],[Breakdown Time]]*Table6[[#This Row],[Plant Equivalent Weightage]],"")</f>
        <v>1.6025641025641021E-2</v>
      </c>
      <c r="X896" s="262" t="s">
        <v>296</v>
      </c>
      <c r="Y896" s="263" t="s">
        <v>115</v>
      </c>
      <c r="Z896" s="102">
        <v>30294</v>
      </c>
      <c r="AA896" s="257">
        <f>(Table6[[#This Row],[Paired WTG Generation for loss calculation]]/24)*Table6[[#This Row],[Breakdown Time]]</f>
        <v>525.9375</v>
      </c>
      <c r="AB896" s="102"/>
      <c r="AC896" s="35"/>
      <c r="AD896" s="35"/>
    </row>
    <row r="897" spans="1:30">
      <c r="A897" s="102">
        <f t="shared" si="14"/>
        <v>896</v>
      </c>
      <c r="B897" s="257">
        <f>YEAR(Table6[[#This Row],[Date]])+IF(MONTH(Table6[[#This Row],[Date]])&gt;=4,1,0)</f>
        <v>2026</v>
      </c>
      <c r="C897" s="102">
        <f>YEAR(Table6[[#This Row],[Date]])</f>
        <v>2025</v>
      </c>
      <c r="D897" s="102" t="s">
        <v>265</v>
      </c>
      <c r="E897" s="258">
        <f>Table6[[#This Row],[Date]]-DAY(Table6[[#This Row],[Date]])+1</f>
        <v>45778</v>
      </c>
      <c r="F897" s="259">
        <v>45804</v>
      </c>
      <c r="G897" s="35" t="s">
        <v>117</v>
      </c>
      <c r="H897" s="35" t="str">
        <f>IFERROR(_xlfn.XLOOKUP(Table6[[#This Row],[Affected WTG]],'Basic Data'!$A:$A,'Basic Data'!$B:$B),"")</f>
        <v>TQGXIIPL</v>
      </c>
      <c r="I897" s="35" t="str">
        <f>IFERROR(_xlfn.XLOOKUP(Table6[[#This Row],[Affected WTG]],'Basic Data'!$A:$A,'Basic Data'!$C:$C),"")</f>
        <v>GEDA</v>
      </c>
      <c r="J897" s="260">
        <f>IFERROR(_xlfn.XLOOKUP(Table6[[#This Row],[Affected WTG]],'Basic Data'!$A:$A,'Basic Data'!$E:$E),"")</f>
        <v>3.846153846153845E-2</v>
      </c>
      <c r="K897" s="102">
        <v>55</v>
      </c>
      <c r="L897" s="35" t="str">
        <f>IFERROR(_xlfn.XLOOKUP(Table6[[#This Row],[Error Code]],'Basic Data'!$AA:$AA,'Basic Data'!$AB:$AB),"Incorrect Error Code")</f>
        <v>WTG shut down</v>
      </c>
      <c r="M897" s="35" t="s">
        <v>300</v>
      </c>
      <c r="N897" s="264"/>
      <c r="O897" s="265">
        <v>1.5972222222222221E-2</v>
      </c>
      <c r="P897" s="265">
        <v>0.26944444444444443</v>
      </c>
      <c r="Q897" s="266">
        <v>0.26944444444444443</v>
      </c>
      <c r="R897" s="261">
        <f>IF(Table6[[#This Row],[Work Start TimeStamp]]="","",(Table6[[#This Row],[Work Start TimeStamp]]-Table6[[#This Row],[Fault Start TimeStamp]])*24)</f>
        <v>6.083333333333333</v>
      </c>
      <c r="S897" s="261">
        <f>(Table6[[#This Row],[Fault Clearance time]]-Table6[[#This Row],[Work Start TimeStamp]])*24</f>
        <v>0</v>
      </c>
      <c r="T897" s="261">
        <f>(Table6[[#This Row],[Fault Clearance time]]-Table6[[#This Row],[Fault Start TimeStamp]])*24</f>
        <v>6.083333333333333</v>
      </c>
      <c r="U897" s="35" t="s">
        <v>385</v>
      </c>
      <c r="V897" s="102" t="s">
        <v>268</v>
      </c>
      <c r="W897" s="267">
        <f>IFERROR(Table6[[#This Row],[Breakdown Time]]*Table6[[#This Row],[Plant Equivalent Weightage]],"")</f>
        <v>0.23397435897435889</v>
      </c>
      <c r="X897" s="262" t="s">
        <v>269</v>
      </c>
      <c r="Y897" s="263" t="s">
        <v>123</v>
      </c>
      <c r="Z897" s="102">
        <v>43632</v>
      </c>
      <c r="AA897" s="257">
        <f>(Table6[[#This Row],[Paired WTG Generation for loss calculation]]/24)*Table6[[#This Row],[Breakdown Time]]</f>
        <v>11059.5</v>
      </c>
      <c r="AB897" s="102"/>
      <c r="AC897" s="35"/>
      <c r="AD897" s="35"/>
    </row>
    <row r="898" spans="1:30">
      <c r="A898" s="102">
        <f t="shared" si="14"/>
        <v>897</v>
      </c>
      <c r="B898" s="257">
        <f>YEAR(Table6[[#This Row],[Date]])+IF(MONTH(Table6[[#This Row],[Date]])&gt;=4,1,0)</f>
        <v>2026</v>
      </c>
      <c r="C898" s="102">
        <f>YEAR(Table6[[#This Row],[Date]])</f>
        <v>2025</v>
      </c>
      <c r="D898" s="102" t="s">
        <v>265</v>
      </c>
      <c r="E898" s="258">
        <f>Table6[[#This Row],[Date]]-DAY(Table6[[#This Row],[Date]])+1</f>
        <v>45778</v>
      </c>
      <c r="F898" s="259">
        <v>45804</v>
      </c>
      <c r="G898" s="35" t="s">
        <v>119</v>
      </c>
      <c r="H898" s="35" t="str">
        <f>IFERROR(_xlfn.XLOOKUP(Table6[[#This Row],[Affected WTG]],'Basic Data'!$A:$A,'Basic Data'!$B:$B),"")</f>
        <v>TQGXIIPL</v>
      </c>
      <c r="I898" s="35" t="str">
        <f>IFERROR(_xlfn.XLOOKUP(Table6[[#This Row],[Affected WTG]],'Basic Data'!$A:$A,'Basic Data'!$C:$C),"")</f>
        <v>GEDA</v>
      </c>
      <c r="J898" s="260">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266</v>
      </c>
      <c r="N898" s="264"/>
      <c r="O898" s="265">
        <v>0.27708333333333335</v>
      </c>
      <c r="P898" s="265">
        <v>0.28472222222222221</v>
      </c>
      <c r="Q898" s="266">
        <v>0.28472222222222221</v>
      </c>
      <c r="R898" s="261">
        <f>IF(Table6[[#This Row],[Work Start TimeStamp]]="","",(Table6[[#This Row],[Work Start TimeStamp]]-Table6[[#This Row],[Fault Start TimeStamp]])*24)</f>
        <v>0.18333333333333268</v>
      </c>
      <c r="S898" s="261">
        <f>(Table6[[#This Row],[Fault Clearance time]]-Table6[[#This Row],[Work Start TimeStamp]])*24</f>
        <v>0</v>
      </c>
      <c r="T898" s="261">
        <f>(Table6[[#This Row],[Fault Clearance time]]-Table6[[#This Row],[Fault Start TimeStamp]])*24</f>
        <v>0.18333333333333268</v>
      </c>
      <c r="U898" s="35" t="s">
        <v>462</v>
      </c>
      <c r="V898" s="102" t="s">
        <v>268</v>
      </c>
      <c r="W898" s="267">
        <f>IFERROR(Table6[[#This Row],[Breakdown Time]]*Table6[[#This Row],[Plant Equivalent Weightage]],"")</f>
        <v>7.0512820512820245E-3</v>
      </c>
      <c r="X898" s="262" t="s">
        <v>296</v>
      </c>
      <c r="Y898" s="263" t="s">
        <v>116</v>
      </c>
      <c r="Z898" s="102">
        <v>48703</v>
      </c>
      <c r="AA898" s="257">
        <f>(Table6[[#This Row],[Paired WTG Generation for loss calculation]]/24)*Table6[[#This Row],[Breakdown Time]]</f>
        <v>372.03680555555422</v>
      </c>
      <c r="AB898" s="102"/>
      <c r="AC898" s="35"/>
      <c r="AD898" s="35"/>
    </row>
    <row r="899" spans="1:30">
      <c r="A899" s="102">
        <f t="shared" si="14"/>
        <v>898</v>
      </c>
      <c r="B899" s="257">
        <f>YEAR(Table6[[#This Row],[Date]])+IF(MONTH(Table6[[#This Row],[Date]])&gt;=4,1,0)</f>
        <v>2026</v>
      </c>
      <c r="C899" s="102">
        <f>YEAR(Table6[[#This Row],[Date]])</f>
        <v>2025</v>
      </c>
      <c r="D899" s="102" t="s">
        <v>265</v>
      </c>
      <c r="E899" s="258">
        <f>Table6[[#This Row],[Date]]-DAY(Table6[[#This Row],[Date]])+1</f>
        <v>45778</v>
      </c>
      <c r="F899" s="259">
        <v>45804</v>
      </c>
      <c r="G899" s="35" t="s">
        <v>119</v>
      </c>
      <c r="H899" s="35" t="str">
        <f>IFERROR(_xlfn.XLOOKUP(Table6[[#This Row],[Affected WTG]],'Basic Data'!$A:$A,'Basic Data'!$B:$B),"")</f>
        <v>TQGXIIPL</v>
      </c>
      <c r="I899" s="35" t="str">
        <f>IFERROR(_xlfn.XLOOKUP(Table6[[#This Row],[Affected WTG]],'Basic Data'!$A:$A,'Basic Data'!$C:$C),"")</f>
        <v>GEDA</v>
      </c>
      <c r="J899" s="260">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266</v>
      </c>
      <c r="N899" s="264"/>
      <c r="O899" s="265">
        <v>0.8833333333333333</v>
      </c>
      <c r="P899" s="265">
        <v>0.89861111111111114</v>
      </c>
      <c r="Q899" s="266">
        <v>0.89861111111111114</v>
      </c>
      <c r="R899" s="261">
        <f>IF(Table6[[#This Row],[Work Start TimeStamp]]="","",(Table6[[#This Row],[Work Start TimeStamp]]-Table6[[#This Row],[Fault Start TimeStamp]])*24)</f>
        <v>0.36666666666666803</v>
      </c>
      <c r="S899" s="261">
        <f>(Table6[[#This Row],[Fault Clearance time]]-Table6[[#This Row],[Work Start TimeStamp]])*24</f>
        <v>0</v>
      </c>
      <c r="T899" s="261">
        <f>(Table6[[#This Row],[Fault Clearance time]]-Table6[[#This Row],[Fault Start TimeStamp]])*24</f>
        <v>0.36666666666666803</v>
      </c>
      <c r="U899" s="35" t="s">
        <v>462</v>
      </c>
      <c r="V899" s="102" t="s">
        <v>268</v>
      </c>
      <c r="W899" s="267">
        <f>IFERROR(Table6[[#This Row],[Breakdown Time]]*Table6[[#This Row],[Plant Equivalent Weightage]],"")</f>
        <v>1.4102564102564151E-2</v>
      </c>
      <c r="X899" s="262" t="s">
        <v>296</v>
      </c>
      <c r="Y899" s="263" t="s">
        <v>116</v>
      </c>
      <c r="Z899" s="102">
        <v>48703</v>
      </c>
      <c r="AA899" s="257">
        <f>(Table6[[#This Row],[Paired WTG Generation for loss calculation]]/24)*Table6[[#This Row],[Breakdown Time]]</f>
        <v>744.07361111111391</v>
      </c>
      <c r="AB899" s="102"/>
      <c r="AC899" s="35"/>
      <c r="AD899" s="35"/>
    </row>
    <row r="900" spans="1:30">
      <c r="A900" s="102">
        <f t="shared" si="14"/>
        <v>899</v>
      </c>
      <c r="B900" s="257">
        <f>YEAR(Table6[[#This Row],[Date]])+IF(MONTH(Table6[[#This Row],[Date]])&gt;=4,1,0)</f>
        <v>2026</v>
      </c>
      <c r="C900" s="102">
        <f>YEAR(Table6[[#This Row],[Date]])</f>
        <v>2025</v>
      </c>
      <c r="D900" s="102" t="s">
        <v>265</v>
      </c>
      <c r="E900" s="258">
        <f>Table6[[#This Row],[Date]]-DAY(Table6[[#This Row],[Date]])+1</f>
        <v>45778</v>
      </c>
      <c r="F900" s="259">
        <v>45804</v>
      </c>
      <c r="G900" s="35" t="s">
        <v>121</v>
      </c>
      <c r="H900" s="35" t="str">
        <f>IFERROR(_xlfn.XLOOKUP(Table6[[#This Row],[Affected WTG]],'Basic Data'!$A:$A,'Basic Data'!$B:$B),"")</f>
        <v>TQGXIIPL</v>
      </c>
      <c r="I900" s="35" t="str">
        <f>IFERROR(_xlfn.XLOOKUP(Table6[[#This Row],[Affected WTG]],'Basic Data'!$A:$A,'Basic Data'!$C:$C),"")</f>
        <v>GEDA</v>
      </c>
      <c r="J900" s="260">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266</v>
      </c>
      <c r="N900" s="264"/>
      <c r="O900" s="265">
        <v>0.23055555555555557</v>
      </c>
      <c r="P900" s="265">
        <v>0.23819444444444443</v>
      </c>
      <c r="Q900" s="266">
        <v>0.23819444444444443</v>
      </c>
      <c r="R900" s="261">
        <f>IF(Table6[[#This Row],[Work Start TimeStamp]]="","",(Table6[[#This Row],[Work Start TimeStamp]]-Table6[[#This Row],[Fault Start TimeStamp]])*24)</f>
        <v>0.18333333333333268</v>
      </c>
      <c r="S900" s="261">
        <f>(Table6[[#This Row],[Fault Clearance time]]-Table6[[#This Row],[Work Start TimeStamp]])*24</f>
        <v>0</v>
      </c>
      <c r="T900" s="261">
        <f>(Table6[[#This Row],[Fault Clearance time]]-Table6[[#This Row],[Fault Start TimeStamp]])*24</f>
        <v>0.18333333333333268</v>
      </c>
      <c r="U900" s="35" t="s">
        <v>462</v>
      </c>
      <c r="V900" s="102" t="s">
        <v>268</v>
      </c>
      <c r="W900" s="267">
        <f>IFERROR(Table6[[#This Row],[Breakdown Time]]*Table6[[#This Row],[Plant Equivalent Weightage]],"")</f>
        <v>7.0512820512820245E-3</v>
      </c>
      <c r="X900" s="262" t="s">
        <v>296</v>
      </c>
      <c r="Y900" s="263" t="s">
        <v>118</v>
      </c>
      <c r="Z900" s="102">
        <v>55945</v>
      </c>
      <c r="AA900" s="257">
        <f>(Table6[[#This Row],[Paired WTG Generation for loss calculation]]/24)*Table6[[#This Row],[Breakdown Time]]</f>
        <v>427.35763888888732</v>
      </c>
      <c r="AB900" s="102"/>
      <c r="AC900" s="35"/>
      <c r="AD900" s="35"/>
    </row>
    <row r="901" spans="1:30">
      <c r="A901" s="102">
        <f t="shared" si="14"/>
        <v>900</v>
      </c>
      <c r="B901" s="257">
        <f>YEAR(Table6[[#This Row],[Date]])+IF(MONTH(Table6[[#This Row],[Date]])&gt;=4,1,0)</f>
        <v>2026</v>
      </c>
      <c r="C901" s="102">
        <f>YEAR(Table6[[#This Row],[Date]])</f>
        <v>2025</v>
      </c>
      <c r="D901" s="102" t="s">
        <v>265</v>
      </c>
      <c r="E901" s="258">
        <f>Table6[[#This Row],[Date]]-DAY(Table6[[#This Row],[Date]])+1</f>
        <v>45778</v>
      </c>
      <c r="F901" s="259">
        <v>45804</v>
      </c>
      <c r="G901" s="35" t="s">
        <v>121</v>
      </c>
      <c r="H901" s="35" t="str">
        <f>IFERROR(_xlfn.XLOOKUP(Table6[[#This Row],[Affected WTG]],'Basic Data'!$A:$A,'Basic Data'!$B:$B),"")</f>
        <v>TQGXIIPL</v>
      </c>
      <c r="I901" s="35" t="str">
        <f>IFERROR(_xlfn.XLOOKUP(Table6[[#This Row],[Affected WTG]],'Basic Data'!$A:$A,'Basic Data'!$C:$C),"")</f>
        <v>GEDA</v>
      </c>
      <c r="J901" s="260">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266</v>
      </c>
      <c r="N901" s="264"/>
      <c r="O901" s="265">
        <v>0.26319444444444445</v>
      </c>
      <c r="P901" s="265">
        <v>0.29444444444444445</v>
      </c>
      <c r="Q901" s="266">
        <v>0.3527777777777778</v>
      </c>
      <c r="R901" s="261">
        <f>IF(Table6[[#This Row],[Work Start TimeStamp]]="","",(Table6[[#This Row],[Work Start TimeStamp]]-Table6[[#This Row],[Fault Start TimeStamp]])*24)</f>
        <v>0.75</v>
      </c>
      <c r="S901" s="261">
        <f>(Table6[[#This Row],[Fault Clearance time]]-Table6[[#This Row],[Work Start TimeStamp]])*24</f>
        <v>1.4000000000000004</v>
      </c>
      <c r="T901" s="261">
        <f>(Table6[[#This Row],[Fault Clearance time]]-Table6[[#This Row],[Fault Start TimeStamp]])*24</f>
        <v>2.1500000000000004</v>
      </c>
      <c r="U901" s="35" t="s">
        <v>474</v>
      </c>
      <c r="V901" s="102" t="s">
        <v>268</v>
      </c>
      <c r="W901" s="267">
        <f>IFERROR(Table6[[#This Row],[Breakdown Time]]*Table6[[#This Row],[Plant Equivalent Weightage]],"")</f>
        <v>8.2692307692307676E-2</v>
      </c>
      <c r="X901" s="262" t="s">
        <v>296</v>
      </c>
      <c r="Y901" s="263" t="s">
        <v>118</v>
      </c>
      <c r="Z901" s="102">
        <v>55945</v>
      </c>
      <c r="AA901" s="257">
        <f>(Table6[[#This Row],[Paired WTG Generation for loss calculation]]/24)*Table6[[#This Row],[Breakdown Time]]</f>
        <v>5011.7395833333339</v>
      </c>
      <c r="AB901" s="102"/>
      <c r="AC901" s="35"/>
      <c r="AD901" s="35"/>
    </row>
    <row r="902" spans="1:30">
      <c r="A902" s="102">
        <f t="shared" si="14"/>
        <v>901</v>
      </c>
      <c r="B902" s="257">
        <f>YEAR(Table6[[#This Row],[Date]])+IF(MONTH(Table6[[#This Row],[Date]])&gt;=4,1,0)</f>
        <v>2026</v>
      </c>
      <c r="C902" s="102">
        <f>YEAR(Table6[[#This Row],[Date]])</f>
        <v>2025</v>
      </c>
      <c r="D902" s="102" t="s">
        <v>265</v>
      </c>
      <c r="E902" s="258">
        <f>Table6[[#This Row],[Date]]-DAY(Table6[[#This Row],[Date]])+1</f>
        <v>45778</v>
      </c>
      <c r="F902" s="259">
        <v>45804</v>
      </c>
      <c r="G902" s="35" t="s">
        <v>122</v>
      </c>
      <c r="H902" s="35" t="str">
        <f>IFERROR(_xlfn.XLOOKUP(Table6[[#This Row],[Affected WTG]],'Basic Data'!$A:$A,'Basic Data'!$B:$B),"")</f>
        <v>TQGXIIPL</v>
      </c>
      <c r="I902" s="35" t="str">
        <f>IFERROR(_xlfn.XLOOKUP(Table6[[#This Row],[Affected WTG]],'Basic Data'!$A:$A,'Basic Data'!$C:$C),"")</f>
        <v>GEDA</v>
      </c>
      <c r="J902" s="260">
        <f>IFERROR(_xlfn.XLOOKUP(Table6[[#This Row],[Affected WTG]],'Basic Data'!$A:$A,'Basic Data'!$E:$E),"")</f>
        <v>3.846153846153845E-2</v>
      </c>
      <c r="K902" s="102">
        <v>55</v>
      </c>
      <c r="L902" s="35" t="str">
        <f>IFERROR(_xlfn.XLOOKUP(Table6[[#This Row],[Error Code]],'Basic Data'!$AA:$AA,'Basic Data'!$AB:$AB),"Incorrect Error Code")</f>
        <v>WTG shut down</v>
      </c>
      <c r="M902" s="35" t="s">
        <v>300</v>
      </c>
      <c r="N902" s="264"/>
      <c r="O902" s="265">
        <v>0</v>
      </c>
      <c r="P902" s="265">
        <v>0.21111111111111111</v>
      </c>
      <c r="Q902" s="266">
        <v>0.21111111111111111</v>
      </c>
      <c r="R902" s="261">
        <f>IF(Table6[[#This Row],[Work Start TimeStamp]]="","",(Table6[[#This Row],[Work Start TimeStamp]]-Table6[[#This Row],[Fault Start TimeStamp]])*24)</f>
        <v>5.0666666666666664</v>
      </c>
      <c r="S902" s="261">
        <f>(Table6[[#This Row],[Fault Clearance time]]-Table6[[#This Row],[Work Start TimeStamp]])*24</f>
        <v>0</v>
      </c>
      <c r="T902" s="261">
        <f>(Table6[[#This Row],[Fault Clearance time]]-Table6[[#This Row],[Fault Start TimeStamp]])*24</f>
        <v>5.0666666666666664</v>
      </c>
      <c r="U902" s="35" t="s">
        <v>385</v>
      </c>
      <c r="V902" s="102" t="s">
        <v>268</v>
      </c>
      <c r="W902" s="267">
        <f>IFERROR(Table6[[#This Row],[Breakdown Time]]*Table6[[#This Row],[Plant Equivalent Weightage]],"")</f>
        <v>0.19487179487179479</v>
      </c>
      <c r="X902" s="262" t="s">
        <v>269</v>
      </c>
      <c r="Y902" s="263" t="s">
        <v>140</v>
      </c>
      <c r="Z902" s="102">
        <v>45417</v>
      </c>
      <c r="AA902" s="257">
        <f>(Table6[[#This Row],[Paired WTG Generation for loss calculation]]/24)*Table6[[#This Row],[Breakdown Time]]</f>
        <v>9588.0333333333328</v>
      </c>
      <c r="AB902" s="102"/>
      <c r="AC902" s="35"/>
      <c r="AD902" s="35"/>
    </row>
    <row r="903" spans="1:30">
      <c r="A903" s="102">
        <f t="shared" si="14"/>
        <v>902</v>
      </c>
      <c r="B903" s="257">
        <f>YEAR(Table6[[#This Row],[Date]])+IF(MONTH(Table6[[#This Row],[Date]])&gt;=4,1,0)</f>
        <v>2026</v>
      </c>
      <c r="C903" s="102">
        <f>YEAR(Table6[[#This Row],[Date]])</f>
        <v>2025</v>
      </c>
      <c r="D903" s="102" t="s">
        <v>265</v>
      </c>
      <c r="E903" s="258">
        <f>Table6[[#This Row],[Date]]-DAY(Table6[[#This Row],[Date]])+1</f>
        <v>45778</v>
      </c>
      <c r="F903" s="259">
        <v>45804</v>
      </c>
      <c r="G903" s="35" t="s">
        <v>122</v>
      </c>
      <c r="H903" s="35" t="str">
        <f>IFERROR(_xlfn.XLOOKUP(Table6[[#This Row],[Affected WTG]],'Basic Data'!$A:$A,'Basic Data'!$B:$B),"")</f>
        <v>TQGXIIPL</v>
      </c>
      <c r="I903" s="35" t="str">
        <f>IFERROR(_xlfn.XLOOKUP(Table6[[#This Row],[Affected WTG]],'Basic Data'!$A:$A,'Basic Data'!$C:$C),"")</f>
        <v>GEDA</v>
      </c>
      <c r="J903" s="260">
        <f>IFERROR(_xlfn.XLOOKUP(Table6[[#This Row],[Affected WTG]],'Basic Data'!$A:$A,'Basic Data'!$E:$E),"")</f>
        <v>3.846153846153845E-2</v>
      </c>
      <c r="K903" s="102">
        <v>55</v>
      </c>
      <c r="L903" s="35" t="str">
        <f>IFERROR(_xlfn.XLOOKUP(Table6[[#This Row],[Error Code]],'Basic Data'!$AA:$AA,'Basic Data'!$AB:$AB),"Incorrect Error Code")</f>
        <v>WTG shut down</v>
      </c>
      <c r="M903" s="35" t="s">
        <v>300</v>
      </c>
      <c r="N903" s="264"/>
      <c r="O903" s="265">
        <v>0.57499999999999996</v>
      </c>
      <c r="P903" s="265">
        <v>0.9243055555555556</v>
      </c>
      <c r="Q903" s="266">
        <v>0.9243055555555556</v>
      </c>
      <c r="R903" s="261">
        <f>IF(Table6[[#This Row],[Work Start TimeStamp]]="","",(Table6[[#This Row],[Work Start TimeStamp]]-Table6[[#This Row],[Fault Start TimeStamp]])*24)</f>
        <v>8.3833333333333364</v>
      </c>
      <c r="S903" s="261">
        <f>(Table6[[#This Row],[Fault Clearance time]]-Table6[[#This Row],[Work Start TimeStamp]])*24</f>
        <v>0</v>
      </c>
      <c r="T903" s="261">
        <f>(Table6[[#This Row],[Fault Clearance time]]-Table6[[#This Row],[Fault Start TimeStamp]])*24</f>
        <v>8.3833333333333364</v>
      </c>
      <c r="U903" s="35" t="s">
        <v>385</v>
      </c>
      <c r="V903" s="102" t="s">
        <v>268</v>
      </c>
      <c r="W903" s="267">
        <f>IFERROR(Table6[[#This Row],[Breakdown Time]]*Table6[[#This Row],[Plant Equivalent Weightage]],"")</f>
        <v>0.32243589743589746</v>
      </c>
      <c r="X903" s="262" t="s">
        <v>269</v>
      </c>
      <c r="Y903" s="263" t="s">
        <v>140</v>
      </c>
      <c r="Z903" s="102">
        <v>45417</v>
      </c>
      <c r="AA903" s="257">
        <f>(Table6[[#This Row],[Paired WTG Generation for loss calculation]]/24)*Table6[[#This Row],[Breakdown Time]]</f>
        <v>15864.410416666673</v>
      </c>
      <c r="AB903" s="102"/>
      <c r="AC903" s="35"/>
      <c r="AD903" s="35"/>
    </row>
    <row r="904" spans="1:30">
      <c r="A904" s="102">
        <f t="shared" si="14"/>
        <v>903</v>
      </c>
      <c r="B904" s="257">
        <f>YEAR(Table6[[#This Row],[Date]])+IF(MONTH(Table6[[#This Row],[Date]])&gt;=4,1,0)</f>
        <v>2026</v>
      </c>
      <c r="C904" s="102">
        <f>YEAR(Table6[[#This Row],[Date]])</f>
        <v>2025</v>
      </c>
      <c r="D904" s="102" t="s">
        <v>265</v>
      </c>
      <c r="E904" s="258">
        <f>Table6[[#This Row],[Date]]-DAY(Table6[[#This Row],[Date]])+1</f>
        <v>45778</v>
      </c>
      <c r="F904" s="259">
        <v>45804</v>
      </c>
      <c r="G904" s="35" t="s">
        <v>131</v>
      </c>
      <c r="H904" s="35" t="str">
        <f>IFERROR(_xlfn.XLOOKUP(Table6[[#This Row],[Affected WTG]],'Basic Data'!$A:$A,'Basic Data'!$B:$B),"")</f>
        <v>TQGXIIPL</v>
      </c>
      <c r="I904" s="35" t="str">
        <f>IFERROR(_xlfn.XLOOKUP(Table6[[#This Row],[Affected WTG]],'Basic Data'!$A:$A,'Basic Data'!$C:$C),"")</f>
        <v>GEDA</v>
      </c>
      <c r="J904" s="260">
        <f>IFERROR(_xlfn.XLOOKUP(Table6[[#This Row],[Affected WTG]],'Basic Data'!$A:$A,'Basic Data'!$E:$E),"")</f>
        <v>3.846153846153845E-2</v>
      </c>
      <c r="K904" s="102">
        <v>3110</v>
      </c>
      <c r="L904" s="35" t="str">
        <f>IFERROR(_xlfn.XLOOKUP(Table6[[#This Row],[Error Code]],'Basic Data'!$AA:$AA,'Basic Data'!$AB:$AB),"Incorrect Error Code")</f>
        <v>Frequency converter error</v>
      </c>
      <c r="M904" s="35" t="s">
        <v>266</v>
      </c>
      <c r="N904" s="264"/>
      <c r="O904" s="265">
        <v>0.21666666666666667</v>
      </c>
      <c r="P904" s="265">
        <v>0.22152777777777777</v>
      </c>
      <c r="Q904" s="266">
        <v>0.22152777777777777</v>
      </c>
      <c r="R904" s="261">
        <f>IF(Table6[[#This Row],[Work Start TimeStamp]]="","",(Table6[[#This Row],[Work Start TimeStamp]]-Table6[[#This Row],[Fault Start TimeStamp]])*24)</f>
        <v>0.11666666666666625</v>
      </c>
      <c r="S904" s="261">
        <f>(Table6[[#This Row],[Fault Clearance time]]-Table6[[#This Row],[Work Start TimeStamp]])*24</f>
        <v>0</v>
      </c>
      <c r="T904" s="261">
        <f>(Table6[[#This Row],[Fault Clearance time]]-Table6[[#This Row],[Fault Start TimeStamp]])*24</f>
        <v>0.11666666666666625</v>
      </c>
      <c r="U904" s="35" t="s">
        <v>447</v>
      </c>
      <c r="V904" s="102" t="s">
        <v>268</v>
      </c>
      <c r="W904" s="267">
        <f>IFERROR(Table6[[#This Row],[Breakdown Time]]*Table6[[#This Row],[Plant Equivalent Weightage]],"")</f>
        <v>4.4871794871794695E-3</v>
      </c>
      <c r="X904" s="262" t="s">
        <v>296</v>
      </c>
      <c r="Y904" s="263" t="s">
        <v>136</v>
      </c>
      <c r="Z904" s="102">
        <v>54059</v>
      </c>
      <c r="AA904" s="257">
        <f>(Table6[[#This Row],[Paired WTG Generation for loss calculation]]/24)*Table6[[#This Row],[Breakdown Time]]</f>
        <v>262.78680555555462</v>
      </c>
      <c r="AB904" s="102"/>
      <c r="AC904" s="35"/>
      <c r="AD904" s="35"/>
    </row>
    <row r="905" spans="1:30">
      <c r="A905" s="102">
        <f t="shared" si="14"/>
        <v>904</v>
      </c>
      <c r="B905" s="257">
        <f>YEAR(Table6[[#This Row],[Date]])+IF(MONTH(Table6[[#This Row],[Date]])&gt;=4,1,0)</f>
        <v>2026</v>
      </c>
      <c r="C905" s="102">
        <f>YEAR(Table6[[#This Row],[Date]])</f>
        <v>2025</v>
      </c>
      <c r="D905" s="102" t="s">
        <v>265</v>
      </c>
      <c r="E905" s="258">
        <f>Table6[[#This Row],[Date]]-DAY(Table6[[#This Row],[Date]])+1</f>
        <v>45778</v>
      </c>
      <c r="F905" s="259">
        <v>45804</v>
      </c>
      <c r="G905" s="35" t="s">
        <v>131</v>
      </c>
      <c r="H905" s="35" t="str">
        <f>IFERROR(_xlfn.XLOOKUP(Table6[[#This Row],[Affected WTG]],'Basic Data'!$A:$A,'Basic Data'!$B:$B),"")</f>
        <v>TQGXIIPL</v>
      </c>
      <c r="I905" s="35" t="str">
        <f>IFERROR(_xlfn.XLOOKUP(Table6[[#This Row],[Affected WTG]],'Basic Data'!$A:$A,'Basic Data'!$C:$C),"")</f>
        <v>GEDA</v>
      </c>
      <c r="J905" s="260">
        <f>IFERROR(_xlfn.XLOOKUP(Table6[[#This Row],[Affected WTG]],'Basic Data'!$A:$A,'Basic Data'!$E:$E),"")</f>
        <v>3.846153846153845E-2</v>
      </c>
      <c r="K905" s="102">
        <v>3110</v>
      </c>
      <c r="L905" s="35" t="str">
        <f>IFERROR(_xlfn.XLOOKUP(Table6[[#This Row],[Error Code]],'Basic Data'!$AA:$AA,'Basic Data'!$AB:$AB),"Incorrect Error Code")</f>
        <v>Frequency converter error</v>
      </c>
      <c r="M905" s="35" t="s">
        <v>266</v>
      </c>
      <c r="N905" s="264"/>
      <c r="O905" s="265">
        <v>0.23958333333333334</v>
      </c>
      <c r="P905" s="265">
        <v>0.24791666666666667</v>
      </c>
      <c r="Q905" s="266">
        <v>0.24791666666666667</v>
      </c>
      <c r="R905" s="261">
        <f>IF(Table6[[#This Row],[Work Start TimeStamp]]="","",(Table6[[#This Row],[Work Start TimeStamp]]-Table6[[#This Row],[Fault Start TimeStamp]])*24)</f>
        <v>0.19999999999999996</v>
      </c>
      <c r="S905" s="261">
        <f>(Table6[[#This Row],[Fault Clearance time]]-Table6[[#This Row],[Work Start TimeStamp]])*24</f>
        <v>0</v>
      </c>
      <c r="T905" s="261">
        <f>(Table6[[#This Row],[Fault Clearance time]]-Table6[[#This Row],[Fault Start TimeStamp]])*24</f>
        <v>0.19999999999999996</v>
      </c>
      <c r="U905" s="35" t="s">
        <v>462</v>
      </c>
      <c r="V905" s="102" t="s">
        <v>268</v>
      </c>
      <c r="W905" s="267">
        <f>IFERROR(Table6[[#This Row],[Breakdown Time]]*Table6[[#This Row],[Plant Equivalent Weightage]],"")</f>
        <v>7.6923076923076884E-3</v>
      </c>
      <c r="X905" s="262" t="s">
        <v>296</v>
      </c>
      <c r="Y905" s="263" t="s">
        <v>136</v>
      </c>
      <c r="Z905" s="102">
        <v>54059</v>
      </c>
      <c r="AA905" s="257">
        <f>(Table6[[#This Row],[Paired WTG Generation for loss calculation]]/24)*Table6[[#This Row],[Breakdown Time]]</f>
        <v>450.49166666666662</v>
      </c>
      <c r="AB905" s="102"/>
      <c r="AC905" s="35"/>
      <c r="AD905" s="35"/>
    </row>
    <row r="906" spans="1:30">
      <c r="A906" s="102">
        <f t="shared" si="14"/>
        <v>905</v>
      </c>
      <c r="B906" s="257">
        <f>YEAR(Table6[[#This Row],[Date]])+IF(MONTH(Table6[[#This Row],[Date]])&gt;=4,1,0)</f>
        <v>2026</v>
      </c>
      <c r="C906" s="102">
        <f>YEAR(Table6[[#This Row],[Date]])</f>
        <v>2025</v>
      </c>
      <c r="D906" s="102" t="s">
        <v>265</v>
      </c>
      <c r="E906" s="258">
        <f>Table6[[#This Row],[Date]]-DAY(Table6[[#This Row],[Date]])+1</f>
        <v>45778</v>
      </c>
      <c r="F906" s="259">
        <v>45804</v>
      </c>
      <c r="G906" s="35" t="s">
        <v>139</v>
      </c>
      <c r="H906" s="35" t="str">
        <f>IFERROR(_xlfn.XLOOKUP(Table6[[#This Row],[Affected WTG]],'Basic Data'!$A:$A,'Basic Data'!$B:$B),"")</f>
        <v>TQGXIIPL</v>
      </c>
      <c r="I906" s="35" t="str">
        <f>IFERROR(_xlfn.XLOOKUP(Table6[[#This Row],[Affected WTG]],'Basic Data'!$A:$A,'Basic Data'!$C:$C),"")</f>
        <v>GEDA</v>
      </c>
      <c r="J906" s="260">
        <f>IFERROR(_xlfn.XLOOKUP(Table6[[#This Row],[Affected WTG]],'Basic Data'!$A:$A,'Basic Data'!$E:$E),"")</f>
        <v>3.846153846153845E-2</v>
      </c>
      <c r="K906" s="102">
        <v>55</v>
      </c>
      <c r="L906" s="35" t="str">
        <f>IFERROR(_xlfn.XLOOKUP(Table6[[#This Row],[Error Code]],'Basic Data'!$AA:$AA,'Basic Data'!$AB:$AB),"Incorrect Error Code")</f>
        <v>WTG shut down</v>
      </c>
      <c r="M906" s="35" t="s">
        <v>300</v>
      </c>
      <c r="N906" s="264"/>
      <c r="O906" s="265">
        <v>0.57499999999999996</v>
      </c>
      <c r="P906" s="265">
        <v>0.90625</v>
      </c>
      <c r="Q906" s="266">
        <v>0.90625</v>
      </c>
      <c r="R906" s="261">
        <f>IF(Table6[[#This Row],[Work Start TimeStamp]]="","",(Table6[[#This Row],[Work Start TimeStamp]]-Table6[[#This Row],[Fault Start TimeStamp]])*24)</f>
        <v>7.9500000000000011</v>
      </c>
      <c r="S906" s="261">
        <f>(Table6[[#This Row],[Fault Clearance time]]-Table6[[#This Row],[Work Start TimeStamp]])*24</f>
        <v>0</v>
      </c>
      <c r="T906" s="261">
        <f>(Table6[[#This Row],[Fault Clearance time]]-Table6[[#This Row],[Fault Start TimeStamp]])*24</f>
        <v>7.9500000000000011</v>
      </c>
      <c r="U906" s="35" t="s">
        <v>385</v>
      </c>
      <c r="V906" s="102" t="s">
        <v>268</v>
      </c>
      <c r="W906" s="267">
        <f>IFERROR(Table6[[#This Row],[Breakdown Time]]*Table6[[#This Row],[Plant Equivalent Weightage]],"")</f>
        <v>0.30576923076923074</v>
      </c>
      <c r="X906" s="262" t="s">
        <v>269</v>
      </c>
      <c r="Y906" s="263" t="s">
        <v>115</v>
      </c>
      <c r="Z906" s="102">
        <v>45298</v>
      </c>
      <c r="AA906" s="257">
        <f>(Table6[[#This Row],[Paired WTG Generation for loss calculation]]/24)*Table6[[#This Row],[Breakdown Time]]</f>
        <v>15004.962500000003</v>
      </c>
      <c r="AB906" s="102"/>
      <c r="AC906" s="35"/>
      <c r="AD906" s="35"/>
    </row>
    <row r="907" spans="1:30">
      <c r="A907" s="102">
        <f t="shared" si="14"/>
        <v>906</v>
      </c>
      <c r="B907" s="257">
        <f>YEAR(Table6[[#This Row],[Date]])+IF(MONTH(Table6[[#This Row],[Date]])&gt;=4,1,0)</f>
        <v>2026</v>
      </c>
      <c r="C907" s="102">
        <f>YEAR(Table6[[#This Row],[Date]])</f>
        <v>2025</v>
      </c>
      <c r="D907" s="102" t="s">
        <v>265</v>
      </c>
      <c r="E907" s="258">
        <f>Table6[[#This Row],[Date]]-DAY(Table6[[#This Row],[Date]])+1</f>
        <v>45778</v>
      </c>
      <c r="F907" s="259">
        <v>45805</v>
      </c>
      <c r="G907" s="35" t="s">
        <v>118</v>
      </c>
      <c r="H907" s="35" t="str">
        <f>IFERROR(_xlfn.XLOOKUP(Table6[[#This Row],[Affected WTG]],'Basic Data'!$A:$A,'Basic Data'!$B:$B),"")</f>
        <v>TQGXIIPL</v>
      </c>
      <c r="I907" s="35" t="str">
        <f>IFERROR(_xlfn.XLOOKUP(Table6[[#This Row],[Affected WTG]],'Basic Data'!$A:$A,'Basic Data'!$C:$C),"")</f>
        <v>GEDA</v>
      </c>
      <c r="J907" s="260">
        <f>IFERROR(_xlfn.XLOOKUP(Table6[[#This Row],[Affected WTG]],'Basic Data'!$A:$A,'Basic Data'!$E:$E),"")</f>
        <v>3.846153846153845E-2</v>
      </c>
      <c r="K907" s="102">
        <v>6130</v>
      </c>
      <c r="L907" s="35" t="str">
        <f>IFERROR(_xlfn.XLOOKUP(Table6[[#This Row],[Error Code]],'Basic Data'!$AA:$AA,'Basic Data'!$AB:$AB),"Incorrect Error Code")</f>
        <v>Yaw speed high</v>
      </c>
      <c r="M907" s="35" t="s">
        <v>278</v>
      </c>
      <c r="N907" s="264"/>
      <c r="O907" s="265">
        <v>0.88958333333333328</v>
      </c>
      <c r="P907" s="265">
        <v>0.89097222222222228</v>
      </c>
      <c r="Q907" s="266">
        <v>0.89097222222222228</v>
      </c>
      <c r="R907" s="261">
        <f>IF(Table6[[#This Row],[Work Start TimeStamp]]="","",(Table6[[#This Row],[Work Start TimeStamp]]-Table6[[#This Row],[Fault Start TimeStamp]])*24)</f>
        <v>3.3333333333335879E-2</v>
      </c>
      <c r="S907" s="261">
        <f>(Table6[[#This Row],[Fault Clearance time]]-Table6[[#This Row],[Work Start TimeStamp]])*24</f>
        <v>0</v>
      </c>
      <c r="T907" s="261">
        <f>(Table6[[#This Row],[Fault Clearance time]]-Table6[[#This Row],[Fault Start TimeStamp]])*24</f>
        <v>3.3333333333335879E-2</v>
      </c>
      <c r="U907" s="35" t="s">
        <v>277</v>
      </c>
      <c r="V907" s="102" t="s">
        <v>268</v>
      </c>
      <c r="W907" s="267">
        <f>IFERROR(Table6[[#This Row],[Breakdown Time]]*Table6[[#This Row],[Plant Equivalent Weightage]],"")</f>
        <v>1.2820512820513796E-3</v>
      </c>
      <c r="X907" s="262" t="s">
        <v>269</v>
      </c>
      <c r="Y907" s="263" t="s">
        <v>121</v>
      </c>
      <c r="Z907" s="102">
        <v>38555</v>
      </c>
      <c r="AA907" s="257">
        <f>(Table6[[#This Row],[Paired WTG Generation for loss calculation]]/24)*Table6[[#This Row],[Breakdown Time]]</f>
        <v>53.5486111111152</v>
      </c>
      <c r="AB907" s="102"/>
      <c r="AC907" s="35"/>
      <c r="AD907" s="35"/>
    </row>
    <row r="908" spans="1:30">
      <c r="A908" s="102">
        <f t="shared" si="14"/>
        <v>907</v>
      </c>
      <c r="B908" s="257">
        <f>YEAR(Table6[[#This Row],[Date]])+IF(MONTH(Table6[[#This Row],[Date]])&gt;=4,1,0)</f>
        <v>2026</v>
      </c>
      <c r="C908" s="102">
        <f>YEAR(Table6[[#This Row],[Date]])</f>
        <v>2025</v>
      </c>
      <c r="D908" s="102" t="s">
        <v>265</v>
      </c>
      <c r="E908" s="258">
        <f>Table6[[#This Row],[Date]]-DAY(Table6[[#This Row],[Date]])+1</f>
        <v>45778</v>
      </c>
      <c r="F908" s="259">
        <v>45805</v>
      </c>
      <c r="G908" s="35" t="s">
        <v>122</v>
      </c>
      <c r="H908" s="35" t="str">
        <f>IFERROR(_xlfn.XLOOKUP(Table6[[#This Row],[Affected WTG]],'Basic Data'!$A:$A,'Basic Data'!$B:$B),"")</f>
        <v>TQGXIIPL</v>
      </c>
      <c r="I908" s="35" t="str">
        <f>IFERROR(_xlfn.XLOOKUP(Table6[[#This Row],[Affected WTG]],'Basic Data'!$A:$A,'Basic Data'!$C:$C),"")</f>
        <v>GEDA</v>
      </c>
      <c r="J908" s="260">
        <f>IFERROR(_xlfn.XLOOKUP(Table6[[#This Row],[Affected WTG]],'Basic Data'!$A:$A,'Basic Data'!$E:$E),"")</f>
        <v>3.846153846153845E-2</v>
      </c>
      <c r="K908" s="102">
        <v>55</v>
      </c>
      <c r="L908" s="35" t="str">
        <f>IFERROR(_xlfn.XLOOKUP(Table6[[#This Row],[Error Code]],'Basic Data'!$AA:$AA,'Basic Data'!$AB:$AB),"Incorrect Error Code")</f>
        <v>WTG shut down</v>
      </c>
      <c r="M908" s="35" t="s">
        <v>300</v>
      </c>
      <c r="N908" s="264"/>
      <c r="O908" s="265">
        <v>0.15486111111111112</v>
      </c>
      <c r="P908" s="265">
        <v>0.20555555555555555</v>
      </c>
      <c r="Q908" s="266">
        <v>0.20555555555555555</v>
      </c>
      <c r="R908" s="261">
        <f>IF(Table6[[#This Row],[Work Start TimeStamp]]="","",(Table6[[#This Row],[Work Start TimeStamp]]-Table6[[#This Row],[Fault Start TimeStamp]])*24)</f>
        <v>1.2166666666666663</v>
      </c>
      <c r="S908" s="261">
        <f>(Table6[[#This Row],[Fault Clearance time]]-Table6[[#This Row],[Work Start TimeStamp]])*24</f>
        <v>0</v>
      </c>
      <c r="T908" s="261">
        <f>(Table6[[#This Row],[Fault Clearance time]]-Table6[[#This Row],[Fault Start TimeStamp]])*24</f>
        <v>1.2166666666666663</v>
      </c>
      <c r="U908" s="35" t="s">
        <v>385</v>
      </c>
      <c r="V908" s="102" t="s">
        <v>268</v>
      </c>
      <c r="W908" s="267">
        <f>IFERROR(Table6[[#This Row],[Breakdown Time]]*Table6[[#This Row],[Plant Equivalent Weightage]],"")</f>
        <v>4.6794871794871767E-2</v>
      </c>
      <c r="X908" s="262" t="s">
        <v>269</v>
      </c>
      <c r="Y908" s="263" t="s">
        <v>140</v>
      </c>
      <c r="Z908" s="102">
        <v>30364</v>
      </c>
      <c r="AA908" s="257">
        <f>(Table6[[#This Row],[Paired WTG Generation for loss calculation]]/24)*Table6[[#This Row],[Breakdown Time]]</f>
        <v>1539.2861111111108</v>
      </c>
      <c r="AB908" s="102"/>
      <c r="AC908" s="35"/>
      <c r="AD908" s="35"/>
    </row>
    <row r="909" spans="1:30">
      <c r="A909" s="102">
        <f t="shared" si="14"/>
        <v>908</v>
      </c>
      <c r="B909" s="257">
        <f>YEAR(Table6[[#This Row],[Date]])+IF(MONTH(Table6[[#This Row],[Date]])&gt;=4,1,0)</f>
        <v>2026</v>
      </c>
      <c r="C909" s="102">
        <f>YEAR(Table6[[#This Row],[Date]])</f>
        <v>2025</v>
      </c>
      <c r="D909" s="102" t="s">
        <v>265</v>
      </c>
      <c r="E909" s="258">
        <f>Table6[[#This Row],[Date]]-DAY(Table6[[#This Row],[Date]])+1</f>
        <v>45778</v>
      </c>
      <c r="F909" s="259">
        <v>45805</v>
      </c>
      <c r="G909" s="35" t="s">
        <v>127</v>
      </c>
      <c r="H909" s="35" t="str">
        <f>IFERROR(_xlfn.XLOOKUP(Table6[[#This Row],[Affected WTG]],'Basic Data'!$A:$A,'Basic Data'!$B:$B),"")</f>
        <v>TQGXIIPL</v>
      </c>
      <c r="I909" s="35" t="str">
        <f>IFERROR(_xlfn.XLOOKUP(Table6[[#This Row],[Affected WTG]],'Basic Data'!$A:$A,'Basic Data'!$C:$C),"")</f>
        <v>GEDA</v>
      </c>
      <c r="J909" s="260">
        <f>IFERROR(_xlfn.XLOOKUP(Table6[[#This Row],[Affected WTG]],'Basic Data'!$A:$A,'Basic Data'!$E:$E),"")</f>
        <v>3.846153846153845E-2</v>
      </c>
      <c r="K909" s="102">
        <v>6130</v>
      </c>
      <c r="L909" s="35" t="str">
        <f>IFERROR(_xlfn.XLOOKUP(Table6[[#This Row],[Error Code]],'Basic Data'!$AA:$AA,'Basic Data'!$AB:$AB),"Incorrect Error Code")</f>
        <v>Yaw speed high</v>
      </c>
      <c r="M909" s="35" t="s">
        <v>278</v>
      </c>
      <c r="N909" s="264"/>
      <c r="O909" s="265">
        <v>0.1388888888888889</v>
      </c>
      <c r="P909" s="265">
        <v>0.14305555555555555</v>
      </c>
      <c r="Q909" s="266">
        <v>0.14305555555555555</v>
      </c>
      <c r="R909" s="261">
        <f>IF(Table6[[#This Row],[Work Start TimeStamp]]="","",(Table6[[#This Row],[Work Start TimeStamp]]-Table6[[#This Row],[Fault Start TimeStamp]])*24)</f>
        <v>9.9999999999999645E-2</v>
      </c>
      <c r="S909" s="261">
        <f>(Table6[[#This Row],[Fault Clearance time]]-Table6[[#This Row],[Work Start TimeStamp]])*24</f>
        <v>0</v>
      </c>
      <c r="T909" s="261">
        <f>(Table6[[#This Row],[Fault Clearance time]]-Table6[[#This Row],[Fault Start TimeStamp]])*24</f>
        <v>9.9999999999999645E-2</v>
      </c>
      <c r="U909" s="35" t="s">
        <v>277</v>
      </c>
      <c r="V909" s="102" t="s">
        <v>268</v>
      </c>
      <c r="W909" s="267">
        <f>IFERROR(Table6[[#This Row],[Breakdown Time]]*Table6[[#This Row],[Plant Equivalent Weightage]],"")</f>
        <v>3.8461538461538312E-3</v>
      </c>
      <c r="X909" s="262" t="s">
        <v>269</v>
      </c>
      <c r="Y909" s="263" t="s">
        <v>125</v>
      </c>
      <c r="Z909" s="102">
        <v>37551</v>
      </c>
      <c r="AA909" s="257">
        <f>(Table6[[#This Row],[Paired WTG Generation for loss calculation]]/24)*Table6[[#This Row],[Breakdown Time]]</f>
        <v>156.46249999999944</v>
      </c>
      <c r="AB909" s="102"/>
      <c r="AC909" s="35"/>
      <c r="AD909" s="35"/>
    </row>
    <row r="910" spans="1:30">
      <c r="A910" s="102">
        <f t="shared" ref="A910:A973" si="15">A909+1</f>
        <v>909</v>
      </c>
      <c r="B910" s="257">
        <f>YEAR(Table6[[#This Row],[Date]])+IF(MONTH(Table6[[#This Row],[Date]])&gt;=4,1,0)</f>
        <v>2026</v>
      </c>
      <c r="C910" s="102">
        <f>YEAR(Table6[[#This Row],[Date]])</f>
        <v>2025</v>
      </c>
      <c r="D910" s="102" t="s">
        <v>265</v>
      </c>
      <c r="E910" s="258">
        <f>Table6[[#This Row],[Date]]-DAY(Table6[[#This Row],[Date]])+1</f>
        <v>45778</v>
      </c>
      <c r="F910" s="259">
        <v>45805</v>
      </c>
      <c r="G910" s="35" t="s">
        <v>127</v>
      </c>
      <c r="H910" s="35" t="str">
        <f>IFERROR(_xlfn.XLOOKUP(Table6[[#This Row],[Affected WTG]],'Basic Data'!$A:$A,'Basic Data'!$B:$B),"")</f>
        <v>TQGXIIPL</v>
      </c>
      <c r="I910" s="35" t="str">
        <f>IFERROR(_xlfn.XLOOKUP(Table6[[#This Row],[Affected WTG]],'Basic Data'!$A:$A,'Basic Data'!$C:$C),"")</f>
        <v>GEDA</v>
      </c>
      <c r="J910" s="260">
        <f>IFERROR(_xlfn.XLOOKUP(Table6[[#This Row],[Affected WTG]],'Basic Data'!$A:$A,'Basic Data'!$E:$E),"")</f>
        <v>3.846153846153845E-2</v>
      </c>
      <c r="K910" s="102">
        <v>6130</v>
      </c>
      <c r="L910" s="35" t="str">
        <f>IFERROR(_xlfn.XLOOKUP(Table6[[#This Row],[Error Code]],'Basic Data'!$AA:$AA,'Basic Data'!$AB:$AB),"Incorrect Error Code")</f>
        <v>Yaw speed high</v>
      </c>
      <c r="M910" s="35" t="s">
        <v>278</v>
      </c>
      <c r="N910" s="264"/>
      <c r="O910" s="265">
        <v>0.62638888888888888</v>
      </c>
      <c r="P910" s="265">
        <v>0.63055555555555554</v>
      </c>
      <c r="Q910" s="266">
        <v>0.63055555555555554</v>
      </c>
      <c r="R910" s="261">
        <f>IF(Table6[[#This Row],[Work Start TimeStamp]]="","",(Table6[[#This Row],[Work Start TimeStamp]]-Table6[[#This Row],[Fault Start TimeStamp]])*24)</f>
        <v>9.9999999999999645E-2</v>
      </c>
      <c r="S910" s="261">
        <f>(Table6[[#This Row],[Fault Clearance time]]-Table6[[#This Row],[Work Start TimeStamp]])*24</f>
        <v>0</v>
      </c>
      <c r="T910" s="261">
        <f>(Table6[[#This Row],[Fault Clearance time]]-Table6[[#This Row],[Fault Start TimeStamp]])*24</f>
        <v>9.9999999999999645E-2</v>
      </c>
      <c r="U910" s="35" t="s">
        <v>475</v>
      </c>
      <c r="V910" s="102" t="s">
        <v>268</v>
      </c>
      <c r="W910" s="267">
        <f>IFERROR(Table6[[#This Row],[Breakdown Time]]*Table6[[#This Row],[Plant Equivalent Weightage]],"")</f>
        <v>3.8461538461538312E-3</v>
      </c>
      <c r="X910" s="262" t="s">
        <v>269</v>
      </c>
      <c r="Y910" s="263" t="s">
        <v>125</v>
      </c>
      <c r="Z910" s="102">
        <v>37551</v>
      </c>
      <c r="AA910" s="257">
        <f>(Table6[[#This Row],[Paired WTG Generation for loss calculation]]/24)*Table6[[#This Row],[Breakdown Time]]</f>
        <v>156.46249999999944</v>
      </c>
      <c r="AB910" s="102"/>
      <c r="AC910" s="35"/>
      <c r="AD910" s="35"/>
    </row>
    <row r="911" spans="1:30">
      <c r="A911" s="102">
        <f t="shared" si="15"/>
        <v>910</v>
      </c>
      <c r="B911" s="257">
        <f>YEAR(Table6[[#This Row],[Date]])+IF(MONTH(Table6[[#This Row],[Date]])&gt;=4,1,0)</f>
        <v>2026</v>
      </c>
      <c r="C911" s="102">
        <f>YEAR(Table6[[#This Row],[Date]])</f>
        <v>2025</v>
      </c>
      <c r="D911" s="102" t="s">
        <v>265</v>
      </c>
      <c r="E911" s="258">
        <f>Table6[[#This Row],[Date]]-DAY(Table6[[#This Row],[Date]])+1</f>
        <v>45778</v>
      </c>
      <c r="F911" s="259">
        <v>45805</v>
      </c>
      <c r="G911" s="35" t="s">
        <v>129</v>
      </c>
      <c r="H911" s="35" t="str">
        <f>IFERROR(_xlfn.XLOOKUP(Table6[[#This Row],[Affected WTG]],'Basic Data'!$A:$A,'Basic Data'!$B:$B),"")</f>
        <v>TQGXIIPL</v>
      </c>
      <c r="I911" s="35" t="str">
        <f>IFERROR(_xlfn.XLOOKUP(Table6[[#This Row],[Affected WTG]],'Basic Data'!$A:$A,'Basic Data'!$C:$C),"")</f>
        <v>GEDA</v>
      </c>
      <c r="J911" s="260">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266</v>
      </c>
      <c r="N911" s="264"/>
      <c r="O911" s="265">
        <v>0.40347222222222223</v>
      </c>
      <c r="P911" s="265">
        <v>0.41319444444444442</v>
      </c>
      <c r="Q911" s="266">
        <v>0.41319444444444442</v>
      </c>
      <c r="R911" s="261">
        <f>IF(Table6[[#This Row],[Work Start TimeStamp]]="","",(Table6[[#This Row],[Work Start TimeStamp]]-Table6[[#This Row],[Fault Start TimeStamp]])*24)</f>
        <v>0.2333333333333325</v>
      </c>
      <c r="S911" s="261">
        <f>(Table6[[#This Row],[Fault Clearance time]]-Table6[[#This Row],[Work Start TimeStamp]])*24</f>
        <v>0</v>
      </c>
      <c r="T911" s="261">
        <f>(Table6[[#This Row],[Fault Clearance time]]-Table6[[#This Row],[Fault Start TimeStamp]])*24</f>
        <v>0.2333333333333325</v>
      </c>
      <c r="U911" s="35" t="s">
        <v>267</v>
      </c>
      <c r="V911" s="102" t="s">
        <v>268</v>
      </c>
      <c r="W911" s="267">
        <f>IFERROR(Table6[[#This Row],[Breakdown Time]]*Table6[[#This Row],[Plant Equivalent Weightage]],"")</f>
        <v>8.974358974358939E-3</v>
      </c>
      <c r="X911" s="262" t="s">
        <v>296</v>
      </c>
      <c r="Y911" s="263" t="s">
        <v>124</v>
      </c>
      <c r="Z911" s="102">
        <v>40745</v>
      </c>
      <c r="AA911" s="257">
        <f>(Table6[[#This Row],[Paired WTG Generation for loss calculation]]/24)*Table6[[#This Row],[Breakdown Time]]</f>
        <v>396.13194444444304</v>
      </c>
      <c r="AB911" s="102"/>
      <c r="AC911" s="35"/>
      <c r="AD911" s="35"/>
    </row>
    <row r="912" spans="1:30">
      <c r="A912" s="102">
        <f t="shared" si="15"/>
        <v>911</v>
      </c>
      <c r="B912" s="257">
        <f>YEAR(Table6[[#This Row],[Date]])+IF(MONTH(Table6[[#This Row],[Date]])&gt;=4,1,0)</f>
        <v>2026</v>
      </c>
      <c r="C912" s="102">
        <f>YEAR(Table6[[#This Row],[Date]])</f>
        <v>2025</v>
      </c>
      <c r="D912" s="102" t="s">
        <v>265</v>
      </c>
      <c r="E912" s="258">
        <f>Table6[[#This Row],[Date]]-DAY(Table6[[#This Row],[Date]])+1</f>
        <v>45778</v>
      </c>
      <c r="F912" s="259">
        <v>45805</v>
      </c>
      <c r="G912" s="35" t="s">
        <v>131</v>
      </c>
      <c r="H912" s="35" t="str">
        <f>IFERROR(_xlfn.XLOOKUP(Table6[[#This Row],[Affected WTG]],'Basic Data'!$A:$A,'Basic Data'!$B:$B),"")</f>
        <v>TQGXIIPL</v>
      </c>
      <c r="I912" s="35" t="str">
        <f>IFERROR(_xlfn.XLOOKUP(Table6[[#This Row],[Affected WTG]],'Basic Data'!$A:$A,'Basic Data'!$C:$C),"")</f>
        <v>GEDA</v>
      </c>
      <c r="J912" s="260">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266</v>
      </c>
      <c r="N912" s="264"/>
      <c r="O912" s="265">
        <v>0.16319444444444445</v>
      </c>
      <c r="P912" s="265">
        <v>0.16597222222222222</v>
      </c>
      <c r="Q912" s="266">
        <v>0.16597222222222222</v>
      </c>
      <c r="R912" s="261">
        <f>IF(Table6[[#This Row],[Work Start TimeStamp]]="","",(Table6[[#This Row],[Work Start TimeStamp]]-Table6[[#This Row],[Fault Start TimeStamp]])*24)</f>
        <v>6.666666666666643E-2</v>
      </c>
      <c r="S912" s="261">
        <f>(Table6[[#This Row],[Fault Clearance time]]-Table6[[#This Row],[Work Start TimeStamp]])*24</f>
        <v>0</v>
      </c>
      <c r="T912" s="261">
        <f>(Table6[[#This Row],[Fault Clearance time]]-Table6[[#This Row],[Fault Start TimeStamp]])*24</f>
        <v>6.666666666666643E-2</v>
      </c>
      <c r="U912" s="35" t="s">
        <v>267</v>
      </c>
      <c r="V912" s="102" t="s">
        <v>268</v>
      </c>
      <c r="W912" s="267">
        <f>IFERROR(Table6[[#This Row],[Breakdown Time]]*Table6[[#This Row],[Plant Equivalent Weightage]],"")</f>
        <v>2.5641025641025541E-3</v>
      </c>
      <c r="X912" s="262" t="s">
        <v>296</v>
      </c>
      <c r="Y912" s="263" t="s">
        <v>136</v>
      </c>
      <c r="Z912" s="102">
        <v>39494</v>
      </c>
      <c r="AA912" s="257">
        <f>(Table6[[#This Row],[Paired WTG Generation for loss calculation]]/24)*Table6[[#This Row],[Breakdown Time]]</f>
        <v>109.70555555555516</v>
      </c>
      <c r="AB912" s="102"/>
      <c r="AC912" s="35"/>
      <c r="AD912" s="35"/>
    </row>
    <row r="913" spans="1:30">
      <c r="A913" s="102">
        <f t="shared" si="15"/>
        <v>912</v>
      </c>
      <c r="B913" s="257">
        <f>YEAR(Table6[[#This Row],[Date]])+IF(MONTH(Table6[[#This Row],[Date]])&gt;=4,1,0)</f>
        <v>2026</v>
      </c>
      <c r="C913" s="102">
        <f>YEAR(Table6[[#This Row],[Date]])</f>
        <v>2025</v>
      </c>
      <c r="D913" s="102" t="s">
        <v>265</v>
      </c>
      <c r="E913" s="258">
        <f>Table6[[#This Row],[Date]]-DAY(Table6[[#This Row],[Date]])+1</f>
        <v>45778</v>
      </c>
      <c r="F913" s="259">
        <v>45805</v>
      </c>
      <c r="G913" s="35" t="s">
        <v>131</v>
      </c>
      <c r="H913" s="35" t="str">
        <f>IFERROR(_xlfn.XLOOKUP(Table6[[#This Row],[Affected WTG]],'Basic Data'!$A:$A,'Basic Data'!$B:$B),"")</f>
        <v>TQGXIIPL</v>
      </c>
      <c r="I913" s="35" t="str">
        <f>IFERROR(_xlfn.XLOOKUP(Table6[[#This Row],[Affected WTG]],'Basic Data'!$A:$A,'Basic Data'!$C:$C),"")</f>
        <v>GEDA</v>
      </c>
      <c r="J913" s="260">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266</v>
      </c>
      <c r="N913" s="264"/>
      <c r="O913" s="265">
        <v>0.17986111111111111</v>
      </c>
      <c r="P913" s="265">
        <v>0.18402777777777779</v>
      </c>
      <c r="Q913" s="266">
        <v>0.18402777777777779</v>
      </c>
      <c r="R913" s="261">
        <f>IF(Table6[[#This Row],[Work Start TimeStamp]]="","",(Table6[[#This Row],[Work Start TimeStamp]]-Table6[[#This Row],[Fault Start TimeStamp]])*24)</f>
        <v>0.10000000000000031</v>
      </c>
      <c r="S913" s="261">
        <f>(Table6[[#This Row],[Fault Clearance time]]-Table6[[#This Row],[Work Start TimeStamp]])*24</f>
        <v>0</v>
      </c>
      <c r="T913" s="261">
        <f>(Table6[[#This Row],[Fault Clearance time]]-Table6[[#This Row],[Fault Start TimeStamp]])*24</f>
        <v>0.10000000000000031</v>
      </c>
      <c r="U913" s="35" t="s">
        <v>267</v>
      </c>
      <c r="V913" s="102" t="s">
        <v>268</v>
      </c>
      <c r="W913" s="267">
        <f>IFERROR(Table6[[#This Row],[Breakdown Time]]*Table6[[#This Row],[Plant Equivalent Weightage]],"")</f>
        <v>3.8461538461538568E-3</v>
      </c>
      <c r="X913" s="262" t="s">
        <v>296</v>
      </c>
      <c r="Y913" s="263" t="s">
        <v>136</v>
      </c>
      <c r="Z913" s="102">
        <v>39494</v>
      </c>
      <c r="AA913" s="257">
        <f>(Table6[[#This Row],[Paired WTG Generation for loss calculation]]/24)*Table6[[#This Row],[Breakdown Time]]</f>
        <v>164.55833333333385</v>
      </c>
      <c r="AB913" s="102"/>
      <c r="AC913" s="35"/>
      <c r="AD913" s="35"/>
    </row>
    <row r="914" spans="1:30">
      <c r="A914" s="102">
        <f t="shared" si="15"/>
        <v>913</v>
      </c>
      <c r="B914" s="257">
        <f>YEAR(Table6[[#This Row],[Date]])+IF(MONTH(Table6[[#This Row],[Date]])&gt;=4,1,0)</f>
        <v>2026</v>
      </c>
      <c r="C914" s="102">
        <f>YEAR(Table6[[#This Row],[Date]])</f>
        <v>2025</v>
      </c>
      <c r="D914" s="102" t="s">
        <v>265</v>
      </c>
      <c r="E914" s="258">
        <f>Table6[[#This Row],[Date]]-DAY(Table6[[#This Row],[Date]])+1</f>
        <v>45778</v>
      </c>
      <c r="F914" s="259">
        <v>45805</v>
      </c>
      <c r="G914" s="35" t="s">
        <v>136</v>
      </c>
      <c r="H914" s="35" t="str">
        <f>IFERROR(_xlfn.XLOOKUP(Table6[[#This Row],[Affected WTG]],'Basic Data'!$A:$A,'Basic Data'!$B:$B),"")</f>
        <v>TQGXIIPL</v>
      </c>
      <c r="I914" s="35" t="str">
        <f>IFERROR(_xlfn.XLOOKUP(Table6[[#This Row],[Affected WTG]],'Basic Data'!$A:$A,'Basic Data'!$C:$C),"")</f>
        <v>GEDA</v>
      </c>
      <c r="J914" s="260">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278</v>
      </c>
      <c r="N914" s="264"/>
      <c r="O914" s="265">
        <v>0.39861111111111114</v>
      </c>
      <c r="P914" s="265">
        <v>0.4</v>
      </c>
      <c r="Q914" s="266">
        <v>0.4</v>
      </c>
      <c r="R914" s="261">
        <f>IF(Table6[[#This Row],[Work Start TimeStamp]]="","",(Table6[[#This Row],[Work Start TimeStamp]]-Table6[[#This Row],[Fault Start TimeStamp]])*24)</f>
        <v>3.3333333333333215E-2</v>
      </c>
      <c r="S914" s="261">
        <f>(Table6[[#This Row],[Fault Clearance time]]-Table6[[#This Row],[Work Start TimeStamp]])*24</f>
        <v>0</v>
      </c>
      <c r="T914" s="261">
        <f>(Table6[[#This Row],[Fault Clearance time]]-Table6[[#This Row],[Fault Start TimeStamp]])*24</f>
        <v>3.3333333333333215E-2</v>
      </c>
      <c r="U914" s="35" t="s">
        <v>277</v>
      </c>
      <c r="V914" s="102" t="s">
        <v>268</v>
      </c>
      <c r="W914" s="267">
        <f>IFERROR(Table6[[#This Row],[Breakdown Time]]*Table6[[#This Row],[Plant Equivalent Weightage]],"")</f>
        <v>1.2820512820512771E-3</v>
      </c>
      <c r="X914" s="262" t="s">
        <v>269</v>
      </c>
      <c r="Y914" s="263" t="s">
        <v>120</v>
      </c>
      <c r="Z914" s="102">
        <v>38856</v>
      </c>
      <c r="AA914" s="257">
        <f>(Table6[[#This Row],[Paired WTG Generation for loss calculation]]/24)*Table6[[#This Row],[Breakdown Time]]</f>
        <v>53.966666666666477</v>
      </c>
      <c r="AB914" s="102"/>
      <c r="AC914" s="35"/>
      <c r="AD914" s="35"/>
    </row>
    <row r="915" spans="1:30">
      <c r="A915" s="102">
        <f t="shared" si="15"/>
        <v>914</v>
      </c>
      <c r="B915" s="257">
        <f>YEAR(Table6[[#This Row],[Date]])+IF(MONTH(Table6[[#This Row],[Date]])&gt;=4,1,0)</f>
        <v>2026</v>
      </c>
      <c r="C915" s="102">
        <f>YEAR(Table6[[#This Row],[Date]])</f>
        <v>2025</v>
      </c>
      <c r="D915" s="102" t="s">
        <v>265</v>
      </c>
      <c r="E915" s="258">
        <f>Table6[[#This Row],[Date]]-DAY(Table6[[#This Row],[Date]])+1</f>
        <v>45778</v>
      </c>
      <c r="F915" s="259">
        <v>45805</v>
      </c>
      <c r="G915" s="35" t="s">
        <v>139</v>
      </c>
      <c r="H915" s="35" t="str">
        <f>IFERROR(_xlfn.XLOOKUP(Table6[[#This Row],[Affected WTG]],'Basic Data'!$A:$A,'Basic Data'!$B:$B),"")</f>
        <v>TQGXIIPL</v>
      </c>
      <c r="I915" s="35" t="str">
        <f>IFERROR(_xlfn.XLOOKUP(Table6[[#This Row],[Affected WTG]],'Basic Data'!$A:$A,'Basic Data'!$C:$C),"")</f>
        <v>GEDA</v>
      </c>
      <c r="J915" s="260">
        <f>IFERROR(_xlfn.XLOOKUP(Table6[[#This Row],[Affected WTG]],'Basic Data'!$A:$A,'Basic Data'!$E:$E),"")</f>
        <v>3.846153846153845E-2</v>
      </c>
      <c r="K915" s="102">
        <v>55</v>
      </c>
      <c r="L915" s="35" t="str">
        <f>IFERROR(_xlfn.XLOOKUP(Table6[[#This Row],[Error Code]],'Basic Data'!$AA:$AA,'Basic Data'!$AB:$AB),"Incorrect Error Code")</f>
        <v>WTG shut down</v>
      </c>
      <c r="M915" s="35" t="s">
        <v>300</v>
      </c>
      <c r="N915" s="264"/>
      <c r="O915" s="265">
        <v>0.15694444444444444</v>
      </c>
      <c r="P915" s="265">
        <v>0.20555555555555555</v>
      </c>
      <c r="Q915" s="266">
        <v>0.20555555555555555</v>
      </c>
      <c r="R915" s="261">
        <f>IF(Table6[[#This Row],[Work Start TimeStamp]]="","",(Table6[[#This Row],[Work Start TimeStamp]]-Table6[[#This Row],[Fault Start TimeStamp]])*24)</f>
        <v>1.1666666666666665</v>
      </c>
      <c r="S915" s="261">
        <f>(Table6[[#This Row],[Fault Clearance time]]-Table6[[#This Row],[Work Start TimeStamp]])*24</f>
        <v>0</v>
      </c>
      <c r="T915" s="261">
        <f>(Table6[[#This Row],[Fault Clearance time]]-Table6[[#This Row],[Fault Start TimeStamp]])*24</f>
        <v>1.1666666666666665</v>
      </c>
      <c r="U915" s="35" t="s">
        <v>385</v>
      </c>
      <c r="V915" s="102" t="s">
        <v>268</v>
      </c>
      <c r="W915" s="267">
        <f>IFERROR(Table6[[#This Row],[Breakdown Time]]*Table6[[#This Row],[Plant Equivalent Weightage]],"")</f>
        <v>4.4871794871794851E-2</v>
      </c>
      <c r="X915" s="262" t="s">
        <v>269</v>
      </c>
      <c r="Y915" s="263" t="s">
        <v>115</v>
      </c>
      <c r="Z915" s="102">
        <v>36145</v>
      </c>
      <c r="AA915" s="257">
        <f>(Table6[[#This Row],[Paired WTG Generation for loss calculation]]/24)*Table6[[#This Row],[Breakdown Time]]</f>
        <v>1757.0486111111111</v>
      </c>
      <c r="AB915" s="102"/>
      <c r="AC915" s="35"/>
      <c r="AD915" s="35"/>
    </row>
    <row r="916" spans="1:30">
      <c r="A916" s="102">
        <f t="shared" si="15"/>
        <v>915</v>
      </c>
      <c r="B916" s="257">
        <f>YEAR(Table6[[#This Row],[Date]])+IF(MONTH(Table6[[#This Row],[Date]])&gt;=4,1,0)</f>
        <v>2026</v>
      </c>
      <c r="C916" s="102">
        <f>YEAR(Table6[[#This Row],[Date]])</f>
        <v>2025</v>
      </c>
      <c r="D916" s="102" t="s">
        <v>265</v>
      </c>
      <c r="E916" s="258">
        <f>Table6[[#This Row],[Date]]-DAY(Table6[[#This Row],[Date]])+1</f>
        <v>45778</v>
      </c>
      <c r="F916" s="259">
        <v>45805</v>
      </c>
      <c r="G916" s="35" t="s">
        <v>139</v>
      </c>
      <c r="H916" s="35" t="str">
        <f>IFERROR(_xlfn.XLOOKUP(Table6[[#This Row],[Affected WTG]],'Basic Data'!$A:$A,'Basic Data'!$B:$B),"")</f>
        <v>TQGXIIPL</v>
      </c>
      <c r="I916" s="35" t="str">
        <f>IFERROR(_xlfn.XLOOKUP(Table6[[#This Row],[Affected WTG]],'Basic Data'!$A:$A,'Basic Data'!$C:$C),"")</f>
        <v>GEDA</v>
      </c>
      <c r="J916" s="260">
        <f>IFERROR(_xlfn.XLOOKUP(Table6[[#This Row],[Affected WTG]],'Basic Data'!$A:$A,'Basic Data'!$E:$E),"")</f>
        <v>3.846153846153845E-2</v>
      </c>
      <c r="K916" s="102">
        <v>172</v>
      </c>
      <c r="L916" s="35" t="str">
        <f>IFERROR(_xlfn.XLOOKUP(Table6[[#This Row],[Error Code]],'Basic Data'!$AA:$AA,'Basic Data'!$AB:$AB),"Incorrect Error Code")</f>
        <v>SLC MF torque protection</v>
      </c>
      <c r="M916" s="35" t="s">
        <v>266</v>
      </c>
      <c r="N916" s="264"/>
      <c r="O916" s="265">
        <v>0.7006944444444444</v>
      </c>
      <c r="P916" s="265">
        <v>0.80347222222222225</v>
      </c>
      <c r="Q916" s="266">
        <v>0.80347222222222225</v>
      </c>
      <c r="R916" s="261">
        <f>IF(Table6[[#This Row],[Work Start TimeStamp]]="","",(Table6[[#This Row],[Work Start TimeStamp]]-Table6[[#This Row],[Fault Start TimeStamp]])*24)</f>
        <v>2.4666666666666686</v>
      </c>
      <c r="S916" s="261">
        <f>(Table6[[#This Row],[Fault Clearance time]]-Table6[[#This Row],[Work Start TimeStamp]])*24</f>
        <v>0</v>
      </c>
      <c r="T916" s="261">
        <f>(Table6[[#This Row],[Fault Clearance time]]-Table6[[#This Row],[Fault Start TimeStamp]])*24</f>
        <v>2.4666666666666686</v>
      </c>
      <c r="U916" s="35" t="s">
        <v>476</v>
      </c>
      <c r="V916" s="102" t="s">
        <v>268</v>
      </c>
      <c r="W916" s="267">
        <f>IFERROR(Table6[[#This Row],[Breakdown Time]]*Table6[[#This Row],[Plant Equivalent Weightage]],"")</f>
        <v>9.4871794871794909E-2</v>
      </c>
      <c r="X916" s="262" t="s">
        <v>296</v>
      </c>
      <c r="Y916" s="263" t="s">
        <v>115</v>
      </c>
      <c r="Z916" s="102">
        <v>36145</v>
      </c>
      <c r="AA916" s="257">
        <f>(Table6[[#This Row],[Paired WTG Generation for loss calculation]]/24)*Table6[[#This Row],[Breakdown Time]]</f>
        <v>3714.902777777781</v>
      </c>
      <c r="AB916" s="102"/>
      <c r="AC916" s="35"/>
      <c r="AD916" s="35"/>
    </row>
    <row r="917" spans="1:30">
      <c r="A917" s="102">
        <f t="shared" si="15"/>
        <v>916</v>
      </c>
      <c r="B917" s="257">
        <f>YEAR(Table6[[#This Row],[Date]])+IF(MONTH(Table6[[#This Row],[Date]])&gt;=4,1,0)</f>
        <v>2026</v>
      </c>
      <c r="C917" s="102">
        <f>YEAR(Table6[[#This Row],[Date]])</f>
        <v>2025</v>
      </c>
      <c r="D917" s="102" t="s">
        <v>265</v>
      </c>
      <c r="E917" s="258">
        <f>Table6[[#This Row],[Date]]-DAY(Table6[[#This Row],[Date]])+1</f>
        <v>45778</v>
      </c>
      <c r="F917" s="259">
        <v>45806</v>
      </c>
      <c r="G917" s="35" t="s">
        <v>116</v>
      </c>
      <c r="H917" s="35" t="str">
        <f>IFERROR(_xlfn.XLOOKUP(Table6[[#This Row],[Affected WTG]],'Basic Data'!$A:$A,'Basic Data'!$B:$B),"")</f>
        <v>TQGXIIPL</v>
      </c>
      <c r="I917" s="35" t="str">
        <f>IFERROR(_xlfn.XLOOKUP(Table6[[#This Row],[Affected WTG]],'Basic Data'!$A:$A,'Basic Data'!$C:$C),"")</f>
        <v>GEDA</v>
      </c>
      <c r="J917" s="260">
        <f>IFERROR(_xlfn.XLOOKUP(Table6[[#This Row],[Affected WTG]],'Basic Data'!$A:$A,'Basic Data'!$E:$E),"")</f>
        <v>3.846153846153845E-2</v>
      </c>
      <c r="K917" s="102">
        <v>3500</v>
      </c>
      <c r="L917" s="35" t="str">
        <f>IFERROR(_xlfn.XLOOKUP(Table6[[#This Row],[Error Code]],'Basic Data'!$AA:$AA,'Basic Data'!$AB:$AB),"Incorrect Error Code")</f>
        <v>Grid loss</v>
      </c>
      <c r="M917" s="35" t="s">
        <v>477</v>
      </c>
      <c r="N917" s="264"/>
      <c r="O917" s="265">
        <v>0.42708333333333331</v>
      </c>
      <c r="P917" s="265">
        <v>0.4861111111111111</v>
      </c>
      <c r="Q917" s="266">
        <v>0.4861111111111111</v>
      </c>
      <c r="R917" s="261">
        <f>IF(Table6[[#This Row],[Work Start TimeStamp]]="","",(Table6[[#This Row],[Work Start TimeStamp]]-Table6[[#This Row],[Fault Start TimeStamp]])*24)</f>
        <v>1.416666666666667</v>
      </c>
      <c r="S917" s="261">
        <f>(Table6[[#This Row],[Fault Clearance time]]-Table6[[#This Row],[Work Start TimeStamp]])*24</f>
        <v>0</v>
      </c>
      <c r="T917" s="261">
        <f>(Table6[[#This Row],[Fault Clearance time]]-Table6[[#This Row],[Fault Start TimeStamp]])*24</f>
        <v>1.416666666666667</v>
      </c>
      <c r="U917" s="35" t="s">
        <v>478</v>
      </c>
      <c r="V917" s="102" t="s">
        <v>268</v>
      </c>
      <c r="W917" s="267">
        <f>IFERROR(Table6[[#This Row],[Breakdown Time]]*Table6[[#This Row],[Plant Equivalent Weightage]],"")</f>
        <v>5.4487179487179481E-2</v>
      </c>
      <c r="X917" s="262" t="s">
        <v>296</v>
      </c>
      <c r="Y917" s="263" t="s">
        <v>119</v>
      </c>
      <c r="Z917" s="102">
        <v>34066</v>
      </c>
      <c r="AA917" s="257">
        <f>(Table6[[#This Row],[Paired WTG Generation for loss calculation]]/24)*Table6[[#This Row],[Breakdown Time]]</f>
        <v>2010.8402777777783</v>
      </c>
      <c r="AB917" s="102"/>
      <c r="AC917" s="35"/>
      <c r="AD917" s="35"/>
    </row>
    <row r="918" spans="1:30">
      <c r="A918" s="102">
        <f t="shared" si="15"/>
        <v>917</v>
      </c>
      <c r="B918" s="257">
        <f>YEAR(Table6[[#This Row],[Date]])+IF(MONTH(Table6[[#This Row],[Date]])&gt;=4,1,0)</f>
        <v>2026</v>
      </c>
      <c r="C918" s="102">
        <f>YEAR(Table6[[#This Row],[Date]])</f>
        <v>2025</v>
      </c>
      <c r="D918" s="102" t="s">
        <v>265</v>
      </c>
      <c r="E918" s="258">
        <f>Table6[[#This Row],[Date]]-DAY(Table6[[#This Row],[Date]])+1</f>
        <v>45778</v>
      </c>
      <c r="F918" s="259">
        <v>45806</v>
      </c>
      <c r="G918" s="35" t="s">
        <v>119</v>
      </c>
      <c r="H918" s="35" t="str">
        <f>IFERROR(_xlfn.XLOOKUP(Table6[[#This Row],[Affected WTG]],'Basic Data'!$A:$A,'Basic Data'!$B:$B),"")</f>
        <v>TQGXIIPL</v>
      </c>
      <c r="I918" s="35" t="str">
        <f>IFERROR(_xlfn.XLOOKUP(Table6[[#This Row],[Affected WTG]],'Basic Data'!$A:$A,'Basic Data'!$C:$C),"")</f>
        <v>GEDA</v>
      </c>
      <c r="J918" s="260">
        <f>IFERROR(_xlfn.XLOOKUP(Table6[[#This Row],[Affected WTG]],'Basic Data'!$A:$A,'Basic Data'!$E:$E),"")</f>
        <v>3.846153846153845E-2</v>
      </c>
      <c r="K918" s="102">
        <v>3500</v>
      </c>
      <c r="L918" s="35" t="str">
        <f>IFERROR(_xlfn.XLOOKUP(Table6[[#This Row],[Error Code]],'Basic Data'!$AA:$AA,'Basic Data'!$AB:$AB),"Incorrect Error Code")</f>
        <v>Grid loss</v>
      </c>
      <c r="M918" s="35" t="s">
        <v>477</v>
      </c>
      <c r="N918" s="264"/>
      <c r="O918" s="265">
        <v>0.42708333333333331</v>
      </c>
      <c r="P918" s="265">
        <v>0.4861111111111111</v>
      </c>
      <c r="Q918" s="266">
        <v>0.4861111111111111</v>
      </c>
      <c r="R918" s="261">
        <f>IF(Table6[[#This Row],[Work Start TimeStamp]]="","",(Table6[[#This Row],[Work Start TimeStamp]]-Table6[[#This Row],[Fault Start TimeStamp]])*24)</f>
        <v>1.416666666666667</v>
      </c>
      <c r="S918" s="261">
        <f>(Table6[[#This Row],[Fault Clearance time]]-Table6[[#This Row],[Work Start TimeStamp]])*24</f>
        <v>0</v>
      </c>
      <c r="T918" s="261">
        <f>(Table6[[#This Row],[Fault Clearance time]]-Table6[[#This Row],[Fault Start TimeStamp]])*24</f>
        <v>1.416666666666667</v>
      </c>
      <c r="U918" s="35" t="s">
        <v>478</v>
      </c>
      <c r="V918" s="102" t="s">
        <v>268</v>
      </c>
      <c r="W918" s="267">
        <f>IFERROR(Table6[[#This Row],[Breakdown Time]]*Table6[[#This Row],[Plant Equivalent Weightage]],"")</f>
        <v>5.4487179487179481E-2</v>
      </c>
      <c r="X918" s="262" t="s">
        <v>296</v>
      </c>
      <c r="Y918" s="263" t="s">
        <v>116</v>
      </c>
      <c r="Z918" s="102">
        <v>35336</v>
      </c>
      <c r="AA918" s="257">
        <f>(Table6[[#This Row],[Paired WTG Generation for loss calculation]]/24)*Table6[[#This Row],[Breakdown Time]]</f>
        <v>2085.8055555555557</v>
      </c>
      <c r="AB918" s="102"/>
      <c r="AC918" s="35"/>
      <c r="AD918" s="35"/>
    </row>
    <row r="919" spans="1:30">
      <c r="A919" s="102">
        <f t="shared" si="15"/>
        <v>918</v>
      </c>
      <c r="B919" s="257">
        <f>YEAR(Table6[[#This Row],[Date]])+IF(MONTH(Table6[[#This Row],[Date]])&gt;=4,1,0)</f>
        <v>2026</v>
      </c>
      <c r="C919" s="102">
        <f>YEAR(Table6[[#This Row],[Date]])</f>
        <v>2025</v>
      </c>
      <c r="D919" s="102" t="s">
        <v>265</v>
      </c>
      <c r="E919" s="258">
        <f>Table6[[#This Row],[Date]]-DAY(Table6[[#This Row],[Date]])+1</f>
        <v>45778</v>
      </c>
      <c r="F919" s="259">
        <v>45806</v>
      </c>
      <c r="G919" s="35" t="s">
        <v>139</v>
      </c>
      <c r="H919" s="35" t="str">
        <f>IFERROR(_xlfn.XLOOKUP(Table6[[#This Row],[Affected WTG]],'Basic Data'!$A:$A,'Basic Data'!$B:$B),"")</f>
        <v>TQGXIIPL</v>
      </c>
      <c r="I919" s="35" t="str">
        <f>IFERROR(_xlfn.XLOOKUP(Table6[[#This Row],[Affected WTG]],'Basic Data'!$A:$A,'Basic Data'!$C:$C),"")</f>
        <v>GEDA</v>
      </c>
      <c r="J919" s="260">
        <f>IFERROR(_xlfn.XLOOKUP(Table6[[#This Row],[Affected WTG]],'Basic Data'!$A:$A,'Basic Data'!$E:$E),"")</f>
        <v>3.846153846153845E-2</v>
      </c>
      <c r="K919" s="102">
        <v>3500</v>
      </c>
      <c r="L919" s="35" t="str">
        <f>IFERROR(_xlfn.XLOOKUP(Table6[[#This Row],[Error Code]],'Basic Data'!$AA:$AA,'Basic Data'!$AB:$AB),"Incorrect Error Code")</f>
        <v>Grid loss</v>
      </c>
      <c r="M919" s="35" t="s">
        <v>477</v>
      </c>
      <c r="N919" s="264"/>
      <c r="O919" s="265">
        <v>0.42708333333333331</v>
      </c>
      <c r="P919" s="265">
        <v>0.4861111111111111</v>
      </c>
      <c r="Q919" s="266">
        <v>0.4861111111111111</v>
      </c>
      <c r="R919" s="261">
        <f>IF(Table6[[#This Row],[Work Start TimeStamp]]="","",(Table6[[#This Row],[Work Start TimeStamp]]-Table6[[#This Row],[Fault Start TimeStamp]])*24)</f>
        <v>1.416666666666667</v>
      </c>
      <c r="S919" s="261">
        <f>(Table6[[#This Row],[Fault Clearance time]]-Table6[[#This Row],[Work Start TimeStamp]])*24</f>
        <v>0</v>
      </c>
      <c r="T919" s="261">
        <f>(Table6[[#This Row],[Fault Clearance time]]-Table6[[#This Row],[Fault Start TimeStamp]])*24</f>
        <v>1.416666666666667</v>
      </c>
      <c r="U919" s="35" t="s">
        <v>478</v>
      </c>
      <c r="V919" s="102" t="s">
        <v>268</v>
      </c>
      <c r="W919" s="267">
        <f>IFERROR(Table6[[#This Row],[Breakdown Time]]*Table6[[#This Row],[Plant Equivalent Weightage]],"")</f>
        <v>5.4487179487179481E-2</v>
      </c>
      <c r="X919" s="262" t="s">
        <v>296</v>
      </c>
      <c r="Y919" s="263" t="s">
        <v>115</v>
      </c>
      <c r="Z919" s="102">
        <v>34991</v>
      </c>
      <c r="AA919" s="257">
        <f>(Table6[[#This Row],[Paired WTG Generation for loss calculation]]/24)*Table6[[#This Row],[Breakdown Time]]</f>
        <v>2065.4409722222226</v>
      </c>
      <c r="AB919" s="102"/>
      <c r="AC919" s="35"/>
      <c r="AD919" s="35"/>
    </row>
    <row r="920" spans="1:30">
      <c r="A920" s="102">
        <f t="shared" si="15"/>
        <v>919</v>
      </c>
      <c r="B920" s="257">
        <f>YEAR(Table6[[#This Row],[Date]])+IF(MONTH(Table6[[#This Row],[Date]])&gt;=4,1,0)</f>
        <v>2026</v>
      </c>
      <c r="C920" s="102">
        <f>YEAR(Table6[[#This Row],[Date]])</f>
        <v>2025</v>
      </c>
      <c r="D920" s="102" t="s">
        <v>265</v>
      </c>
      <c r="E920" s="258">
        <f>Table6[[#This Row],[Date]]-DAY(Table6[[#This Row],[Date]])+1</f>
        <v>45778</v>
      </c>
      <c r="F920" s="259">
        <v>45806</v>
      </c>
      <c r="G920" s="35" t="s">
        <v>117</v>
      </c>
      <c r="H920" s="35" t="str">
        <f>IFERROR(_xlfn.XLOOKUP(Table6[[#This Row],[Affected WTG]],'Basic Data'!$A:$A,'Basic Data'!$B:$B),"")</f>
        <v>TQGXIIPL</v>
      </c>
      <c r="I920" s="35" t="str">
        <f>IFERROR(_xlfn.XLOOKUP(Table6[[#This Row],[Affected WTG]],'Basic Data'!$A:$A,'Basic Data'!$C:$C),"")</f>
        <v>GEDA</v>
      </c>
      <c r="J920" s="260">
        <f>IFERROR(_xlfn.XLOOKUP(Table6[[#This Row],[Affected WTG]],'Basic Data'!$A:$A,'Basic Data'!$E:$E),"")</f>
        <v>3.846153846153845E-2</v>
      </c>
      <c r="K920" s="102">
        <v>6605</v>
      </c>
      <c r="L920" s="35" t="str">
        <f>IFERROR(_xlfn.XLOOKUP(Table6[[#This Row],[Error Code]],'Basic Data'!$AA:$AA,'Basic Data'!$AB:$AB),"Incorrect Error Code")</f>
        <v>Wind.dir. diff. level 2</v>
      </c>
      <c r="M920" s="35" t="s">
        <v>278</v>
      </c>
      <c r="N920" s="264"/>
      <c r="O920" s="265">
        <v>0.52986111111111112</v>
      </c>
      <c r="P920" s="265">
        <v>0.53263888888888888</v>
      </c>
      <c r="Q920" s="266">
        <v>0.53263888888888888</v>
      </c>
      <c r="R920" s="261">
        <f>IF(Table6[[#This Row],[Work Start TimeStamp]]="","",(Table6[[#This Row],[Work Start TimeStamp]]-Table6[[#This Row],[Fault Start TimeStamp]])*24)</f>
        <v>6.666666666666643E-2</v>
      </c>
      <c r="S920" s="261">
        <f>(Table6[[#This Row],[Fault Clearance time]]-Table6[[#This Row],[Work Start TimeStamp]])*24</f>
        <v>0</v>
      </c>
      <c r="T920" s="261">
        <f>(Table6[[#This Row],[Fault Clearance time]]-Table6[[#This Row],[Fault Start TimeStamp]])*24</f>
        <v>6.666666666666643E-2</v>
      </c>
      <c r="U920" s="35" t="s">
        <v>277</v>
      </c>
      <c r="V920" s="102" t="s">
        <v>268</v>
      </c>
      <c r="W920" s="267">
        <f>IFERROR(Table6[[#This Row],[Breakdown Time]]*Table6[[#This Row],[Plant Equivalent Weightage]],"")</f>
        <v>2.5641025641025541E-3</v>
      </c>
      <c r="X920" s="262" t="s">
        <v>269</v>
      </c>
      <c r="Y920" s="263" t="s">
        <v>123</v>
      </c>
      <c r="Z920" s="102">
        <v>35770</v>
      </c>
      <c r="AA920" s="257">
        <f>(Table6[[#This Row],[Paired WTG Generation for loss calculation]]/24)*Table6[[#This Row],[Breakdown Time]]</f>
        <v>99.361111111110759</v>
      </c>
      <c r="AB920" s="102"/>
      <c r="AC920" s="35"/>
      <c r="AD920" s="35"/>
    </row>
    <row r="921" spans="1:30">
      <c r="A921" s="102">
        <f t="shared" si="15"/>
        <v>920</v>
      </c>
      <c r="B921" s="257">
        <f>YEAR(Table6[[#This Row],[Date]])+IF(MONTH(Table6[[#This Row],[Date]])&gt;=4,1,0)</f>
        <v>2026</v>
      </c>
      <c r="C921" s="102">
        <f>YEAR(Table6[[#This Row],[Date]])</f>
        <v>2025</v>
      </c>
      <c r="D921" s="102" t="s">
        <v>265</v>
      </c>
      <c r="E921" s="258">
        <f>Table6[[#This Row],[Date]]-DAY(Table6[[#This Row],[Date]])+1</f>
        <v>45778</v>
      </c>
      <c r="F921" s="259">
        <v>45806</v>
      </c>
      <c r="G921" s="35" t="s">
        <v>118</v>
      </c>
      <c r="H921" s="35" t="str">
        <f>IFERROR(_xlfn.XLOOKUP(Table6[[#This Row],[Affected WTG]],'Basic Data'!$A:$A,'Basic Data'!$B:$B),"")</f>
        <v>TQGXIIPL</v>
      </c>
      <c r="I921" s="35" t="str">
        <f>IFERROR(_xlfn.XLOOKUP(Table6[[#This Row],[Affected WTG]],'Basic Data'!$A:$A,'Basic Data'!$C:$C),"")</f>
        <v>GEDA</v>
      </c>
      <c r="J921" s="260">
        <f>IFERROR(_xlfn.XLOOKUP(Table6[[#This Row],[Affected WTG]],'Basic Data'!$A:$A,'Basic Data'!$E:$E),"")</f>
        <v>3.846153846153845E-2</v>
      </c>
      <c r="K921" s="102">
        <v>6130</v>
      </c>
      <c r="L921" s="35" t="str">
        <f>IFERROR(_xlfn.XLOOKUP(Table6[[#This Row],[Error Code]],'Basic Data'!$AA:$AA,'Basic Data'!$AB:$AB),"Incorrect Error Code")</f>
        <v>Yaw speed high</v>
      </c>
      <c r="M921" s="35" t="s">
        <v>278</v>
      </c>
      <c r="N921" s="264"/>
      <c r="O921" s="265">
        <v>0.61875000000000002</v>
      </c>
      <c r="P921" s="265">
        <v>0.61944444444444446</v>
      </c>
      <c r="Q921" s="266">
        <v>0.61944444444444446</v>
      </c>
      <c r="R921" s="261">
        <f>IF(Table6[[#This Row],[Work Start TimeStamp]]="","",(Table6[[#This Row],[Work Start TimeStamp]]-Table6[[#This Row],[Fault Start TimeStamp]])*24)</f>
        <v>1.6666666666666607E-2</v>
      </c>
      <c r="S921" s="261">
        <f>(Table6[[#This Row],[Fault Clearance time]]-Table6[[#This Row],[Work Start TimeStamp]])*24</f>
        <v>0</v>
      </c>
      <c r="T921" s="261">
        <f>(Table6[[#This Row],[Fault Clearance time]]-Table6[[#This Row],[Fault Start TimeStamp]])*24</f>
        <v>1.6666666666666607E-2</v>
      </c>
      <c r="U921" s="35" t="s">
        <v>277</v>
      </c>
      <c r="V921" s="102" t="s">
        <v>268</v>
      </c>
      <c r="W921" s="267">
        <f>IFERROR(Table6[[#This Row],[Breakdown Time]]*Table6[[#This Row],[Plant Equivalent Weightage]],"")</f>
        <v>6.4102564102563853E-4</v>
      </c>
      <c r="X921" s="262" t="s">
        <v>269</v>
      </c>
      <c r="Y921" s="263" t="s">
        <v>121</v>
      </c>
      <c r="Z921" s="102">
        <v>36624</v>
      </c>
      <c r="AA921" s="257">
        <f>(Table6[[#This Row],[Paired WTG Generation for loss calculation]]/24)*Table6[[#This Row],[Breakdown Time]]</f>
        <v>25.433333333333245</v>
      </c>
      <c r="AB921" s="102"/>
      <c r="AC921" s="35"/>
      <c r="AD921" s="35"/>
    </row>
    <row r="922" spans="1:30">
      <c r="A922" s="102">
        <f t="shared" si="15"/>
        <v>921</v>
      </c>
      <c r="B922" s="257">
        <f>YEAR(Table6[[#This Row],[Date]])+IF(MONTH(Table6[[#This Row],[Date]])&gt;=4,1,0)</f>
        <v>2026</v>
      </c>
      <c r="C922" s="102">
        <f>YEAR(Table6[[#This Row],[Date]])</f>
        <v>2025</v>
      </c>
      <c r="D922" s="102" t="s">
        <v>265</v>
      </c>
      <c r="E922" s="258">
        <f>Table6[[#This Row],[Date]]-DAY(Table6[[#This Row],[Date]])+1</f>
        <v>45778</v>
      </c>
      <c r="F922" s="259">
        <v>45806</v>
      </c>
      <c r="G922" s="35" t="s">
        <v>118</v>
      </c>
      <c r="H922" s="35" t="str">
        <f>IFERROR(_xlfn.XLOOKUP(Table6[[#This Row],[Affected WTG]],'Basic Data'!$A:$A,'Basic Data'!$B:$B),"")</f>
        <v>TQGXIIPL</v>
      </c>
      <c r="I922" s="35" t="str">
        <f>IFERROR(_xlfn.XLOOKUP(Table6[[#This Row],[Affected WTG]],'Basic Data'!$A:$A,'Basic Data'!$C:$C),"")</f>
        <v>GEDA</v>
      </c>
      <c r="J922" s="260">
        <f>IFERROR(_xlfn.XLOOKUP(Table6[[#This Row],[Affected WTG]],'Basic Data'!$A:$A,'Basic Data'!$E:$E),"")</f>
        <v>3.846153846153845E-2</v>
      </c>
      <c r="K922" s="102">
        <v>6130</v>
      </c>
      <c r="L922" s="35" t="str">
        <f>IFERROR(_xlfn.XLOOKUP(Table6[[#This Row],[Error Code]],'Basic Data'!$AA:$AA,'Basic Data'!$AB:$AB),"Incorrect Error Code")</f>
        <v>Yaw speed high</v>
      </c>
      <c r="M922" s="35" t="s">
        <v>278</v>
      </c>
      <c r="N922" s="264"/>
      <c r="O922" s="265">
        <v>0.72222222222222221</v>
      </c>
      <c r="P922" s="265">
        <v>0.72638888888888886</v>
      </c>
      <c r="Q922" s="266">
        <v>0.72638888888888886</v>
      </c>
      <c r="R922" s="261">
        <f>IF(Table6[[#This Row],[Work Start TimeStamp]]="","",(Table6[[#This Row],[Work Start TimeStamp]]-Table6[[#This Row],[Fault Start TimeStamp]])*24)</f>
        <v>9.9999999999999645E-2</v>
      </c>
      <c r="S922" s="261">
        <f>(Table6[[#This Row],[Fault Clearance time]]-Table6[[#This Row],[Work Start TimeStamp]])*24</f>
        <v>0</v>
      </c>
      <c r="T922" s="261">
        <f>(Table6[[#This Row],[Fault Clearance time]]-Table6[[#This Row],[Fault Start TimeStamp]])*24</f>
        <v>9.9999999999999645E-2</v>
      </c>
      <c r="U922" s="35" t="s">
        <v>277</v>
      </c>
      <c r="V922" s="102" t="s">
        <v>268</v>
      </c>
      <c r="W922" s="267">
        <f>IFERROR(Table6[[#This Row],[Breakdown Time]]*Table6[[#This Row],[Plant Equivalent Weightage]],"")</f>
        <v>3.8461538461538312E-3</v>
      </c>
      <c r="X922" s="262" t="s">
        <v>269</v>
      </c>
      <c r="Y922" s="263" t="s">
        <v>121</v>
      </c>
      <c r="Z922" s="102">
        <v>36624</v>
      </c>
      <c r="AA922" s="257">
        <f>(Table6[[#This Row],[Paired WTG Generation for loss calculation]]/24)*Table6[[#This Row],[Breakdown Time]]</f>
        <v>152.59999999999945</v>
      </c>
      <c r="AB922" s="102"/>
      <c r="AC922" s="35"/>
      <c r="AD922" s="35"/>
    </row>
    <row r="923" spans="1:30">
      <c r="A923" s="102">
        <f t="shared" si="15"/>
        <v>922</v>
      </c>
      <c r="B923" s="257">
        <f>YEAR(Table6[[#This Row],[Date]])+IF(MONTH(Table6[[#This Row],[Date]])&gt;=4,1,0)</f>
        <v>2026</v>
      </c>
      <c r="C923" s="102">
        <f>YEAR(Table6[[#This Row],[Date]])</f>
        <v>2025</v>
      </c>
      <c r="D923" s="102" t="s">
        <v>265</v>
      </c>
      <c r="E923" s="258">
        <f>Table6[[#This Row],[Date]]-DAY(Table6[[#This Row],[Date]])+1</f>
        <v>45778</v>
      </c>
      <c r="F923" s="259">
        <v>45806</v>
      </c>
      <c r="G923" s="35" t="s">
        <v>118</v>
      </c>
      <c r="H923" s="35" t="str">
        <f>IFERROR(_xlfn.XLOOKUP(Table6[[#This Row],[Affected WTG]],'Basic Data'!$A:$A,'Basic Data'!$B:$B),"")</f>
        <v>TQGXIIPL</v>
      </c>
      <c r="I923" s="35" t="str">
        <f>IFERROR(_xlfn.XLOOKUP(Table6[[#This Row],[Affected WTG]],'Basic Data'!$A:$A,'Basic Data'!$C:$C),"")</f>
        <v>GEDA</v>
      </c>
      <c r="J923" s="260">
        <f>IFERROR(_xlfn.XLOOKUP(Table6[[#This Row],[Affected WTG]],'Basic Data'!$A:$A,'Basic Data'!$E:$E),"")</f>
        <v>3.846153846153845E-2</v>
      </c>
      <c r="K923" s="102">
        <v>5550</v>
      </c>
      <c r="L923" s="35" t="str">
        <f>IFERROR(_xlfn.XLOOKUP(Table6[[#This Row],[Error Code]],'Basic Data'!$AA:$AA,'Basic Data'!$AB:$AB),"Incorrect Error Code")</f>
        <v>Low hydraulic oil level</v>
      </c>
      <c r="M923" s="35" t="s">
        <v>266</v>
      </c>
      <c r="N923" s="264"/>
      <c r="O923" s="265">
        <v>0.8520833333333333</v>
      </c>
      <c r="P923" s="265">
        <v>0.91249999999999998</v>
      </c>
      <c r="Q923" s="266">
        <v>1</v>
      </c>
      <c r="R923" s="261">
        <f>IF(Table6[[#This Row],[Work Start TimeStamp]]="","",(Table6[[#This Row],[Work Start TimeStamp]]-Table6[[#This Row],[Fault Start TimeStamp]])*24)</f>
        <v>1.4500000000000002</v>
      </c>
      <c r="S923" s="261">
        <f>(Table6[[#This Row],[Fault Clearance time]]-Table6[[#This Row],[Work Start TimeStamp]])*24</f>
        <v>2.1000000000000005</v>
      </c>
      <c r="T923" s="261">
        <f>(Table6[[#This Row],[Fault Clearance time]]-Table6[[#This Row],[Fault Start TimeStamp]])*24</f>
        <v>3.5500000000000007</v>
      </c>
      <c r="U923" s="35" t="s">
        <v>479</v>
      </c>
      <c r="V923" s="102" t="s">
        <v>268</v>
      </c>
      <c r="W923" s="267">
        <f>IFERROR(Table6[[#This Row],[Breakdown Time]]*Table6[[#This Row],[Plant Equivalent Weightage]],"")</f>
        <v>0.13653846153846153</v>
      </c>
      <c r="X923" s="262" t="s">
        <v>296</v>
      </c>
      <c r="Y923" s="263" t="s">
        <v>121</v>
      </c>
      <c r="Z923" s="102">
        <v>36624</v>
      </c>
      <c r="AA923" s="257">
        <f>(Table6[[#This Row],[Paired WTG Generation for loss calculation]]/24)*Table6[[#This Row],[Breakdown Time]]</f>
        <v>5417.3000000000011</v>
      </c>
      <c r="AB923" s="102"/>
      <c r="AC923" s="35"/>
      <c r="AD923" s="35"/>
    </row>
    <row r="924" spans="1:30">
      <c r="A924" s="102">
        <f t="shared" si="15"/>
        <v>923</v>
      </c>
      <c r="B924" s="257">
        <f>YEAR(Table6[[#This Row],[Date]])+IF(MONTH(Table6[[#This Row],[Date]])&gt;=4,1,0)</f>
        <v>2026</v>
      </c>
      <c r="C924" s="102">
        <f>YEAR(Table6[[#This Row],[Date]])</f>
        <v>2025</v>
      </c>
      <c r="D924" s="102" t="s">
        <v>265</v>
      </c>
      <c r="E924" s="258">
        <f>Table6[[#This Row],[Date]]-DAY(Table6[[#This Row],[Date]])+1</f>
        <v>45778</v>
      </c>
      <c r="F924" s="259">
        <v>45806</v>
      </c>
      <c r="G924" s="35" t="s">
        <v>119</v>
      </c>
      <c r="H924" s="35" t="str">
        <f>IFERROR(_xlfn.XLOOKUP(Table6[[#This Row],[Affected WTG]],'Basic Data'!$A:$A,'Basic Data'!$B:$B),"")</f>
        <v>TQGXIIPL</v>
      </c>
      <c r="I924" s="35" t="str">
        <f>IFERROR(_xlfn.XLOOKUP(Table6[[#This Row],[Affected WTG]],'Basic Data'!$A:$A,'Basic Data'!$C:$C),"")</f>
        <v>GEDA</v>
      </c>
      <c r="J924" s="260">
        <f>IFERROR(_xlfn.XLOOKUP(Table6[[#This Row],[Affected WTG]],'Basic Data'!$A:$A,'Basic Data'!$E:$E),"")</f>
        <v>3.846153846153845E-2</v>
      </c>
      <c r="K924" s="102">
        <v>6605</v>
      </c>
      <c r="L924" s="35" t="str">
        <f>IFERROR(_xlfn.XLOOKUP(Table6[[#This Row],[Error Code]],'Basic Data'!$AA:$AA,'Basic Data'!$AB:$AB),"Incorrect Error Code")</f>
        <v>Wind.dir. diff. level 2</v>
      </c>
      <c r="M924" s="35" t="s">
        <v>278</v>
      </c>
      <c r="N924" s="264"/>
      <c r="O924" s="265">
        <v>0.61875000000000002</v>
      </c>
      <c r="P924" s="265">
        <v>0.62361111111111112</v>
      </c>
      <c r="Q924" s="266">
        <v>0.62361111111111112</v>
      </c>
      <c r="R924" s="261">
        <f>IF(Table6[[#This Row],[Work Start TimeStamp]]="","",(Table6[[#This Row],[Work Start TimeStamp]]-Table6[[#This Row],[Fault Start TimeStamp]])*24)</f>
        <v>0.11666666666666625</v>
      </c>
      <c r="S924" s="261">
        <f>(Table6[[#This Row],[Fault Clearance time]]-Table6[[#This Row],[Work Start TimeStamp]])*24</f>
        <v>0</v>
      </c>
      <c r="T924" s="261">
        <f>(Table6[[#This Row],[Fault Clearance time]]-Table6[[#This Row],[Fault Start TimeStamp]])*24</f>
        <v>0.11666666666666625</v>
      </c>
      <c r="U924" s="35" t="s">
        <v>277</v>
      </c>
      <c r="V924" s="102" t="s">
        <v>268</v>
      </c>
      <c r="W924" s="267">
        <f>IFERROR(Table6[[#This Row],[Breakdown Time]]*Table6[[#This Row],[Plant Equivalent Weightage]],"")</f>
        <v>4.4871794871794695E-3</v>
      </c>
      <c r="X924" s="262" t="s">
        <v>269</v>
      </c>
      <c r="Y924" s="263" t="s">
        <v>116</v>
      </c>
      <c r="Z924" s="102">
        <v>35336</v>
      </c>
      <c r="AA924" s="257">
        <f>(Table6[[#This Row],[Paired WTG Generation for loss calculation]]/24)*Table6[[#This Row],[Breakdown Time]]</f>
        <v>171.77222222222161</v>
      </c>
      <c r="AB924" s="102"/>
      <c r="AC924" s="35"/>
      <c r="AD924" s="35"/>
    </row>
    <row r="925" spans="1:30">
      <c r="A925" s="102">
        <f t="shared" si="15"/>
        <v>924</v>
      </c>
      <c r="B925" s="257">
        <f>YEAR(Table6[[#This Row],[Date]])+IF(MONTH(Table6[[#This Row],[Date]])&gt;=4,1,0)</f>
        <v>2026</v>
      </c>
      <c r="C925" s="102">
        <f>YEAR(Table6[[#This Row],[Date]])</f>
        <v>2025</v>
      </c>
      <c r="D925" s="102" t="s">
        <v>265</v>
      </c>
      <c r="E925" s="258">
        <f>Table6[[#This Row],[Date]]-DAY(Table6[[#This Row],[Date]])+1</f>
        <v>45778</v>
      </c>
      <c r="F925" s="259">
        <v>45806</v>
      </c>
      <c r="G925" s="35" t="s">
        <v>122</v>
      </c>
      <c r="H925" s="35" t="str">
        <f>IFERROR(_xlfn.XLOOKUP(Table6[[#This Row],[Affected WTG]],'Basic Data'!$A:$A,'Basic Data'!$B:$B),"")</f>
        <v>TQGXIIPL</v>
      </c>
      <c r="I925" s="35" t="str">
        <f>IFERROR(_xlfn.XLOOKUP(Table6[[#This Row],[Affected WTG]],'Basic Data'!$A:$A,'Basic Data'!$C:$C),"")</f>
        <v>GEDA</v>
      </c>
      <c r="J925" s="260">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278</v>
      </c>
      <c r="N925" s="264"/>
      <c r="O925" s="265">
        <v>0.73402777777777772</v>
      </c>
      <c r="P925" s="265">
        <v>0.73472222222222228</v>
      </c>
      <c r="Q925" s="266">
        <v>0.73472222222222228</v>
      </c>
      <c r="R925" s="261">
        <f>IF(Table6[[#This Row],[Work Start TimeStamp]]="","",(Table6[[#This Row],[Work Start TimeStamp]]-Table6[[#This Row],[Fault Start TimeStamp]])*24)</f>
        <v>1.6666666666669272E-2</v>
      </c>
      <c r="S925" s="261">
        <f>(Table6[[#This Row],[Fault Clearance time]]-Table6[[#This Row],[Work Start TimeStamp]])*24</f>
        <v>0</v>
      </c>
      <c r="T925" s="261">
        <f>(Table6[[#This Row],[Fault Clearance time]]-Table6[[#This Row],[Fault Start TimeStamp]])*24</f>
        <v>1.6666666666669272E-2</v>
      </c>
      <c r="U925" s="35" t="s">
        <v>277</v>
      </c>
      <c r="V925" s="102" t="s">
        <v>268</v>
      </c>
      <c r="W925" s="267">
        <f>IFERROR(Table6[[#This Row],[Breakdown Time]]*Table6[[#This Row],[Plant Equivalent Weightage]],"")</f>
        <v>6.4102564102574099E-4</v>
      </c>
      <c r="X925" s="262" t="s">
        <v>269</v>
      </c>
      <c r="Y925" s="263" t="s">
        <v>140</v>
      </c>
      <c r="Z925" s="102">
        <v>36092</v>
      </c>
      <c r="AA925" s="257">
        <f>(Table6[[#This Row],[Paired WTG Generation for loss calculation]]/24)*Table6[[#This Row],[Breakdown Time]]</f>
        <v>25.063888888892805</v>
      </c>
      <c r="AB925" s="102"/>
      <c r="AC925" s="35"/>
      <c r="AD925" s="35"/>
    </row>
    <row r="926" spans="1:30">
      <c r="A926" s="102">
        <f t="shared" si="15"/>
        <v>925</v>
      </c>
      <c r="B926" s="257">
        <f>YEAR(Table6[[#This Row],[Date]])+IF(MONTH(Table6[[#This Row],[Date]])&gt;=4,1,0)</f>
        <v>2026</v>
      </c>
      <c r="C926" s="102">
        <f>YEAR(Table6[[#This Row],[Date]])</f>
        <v>2025</v>
      </c>
      <c r="D926" s="102" t="s">
        <v>265</v>
      </c>
      <c r="E926" s="258">
        <f>Table6[[#This Row],[Date]]-DAY(Table6[[#This Row],[Date]])+1</f>
        <v>45778</v>
      </c>
      <c r="F926" s="259">
        <v>45806</v>
      </c>
      <c r="G926" s="35" t="s">
        <v>125</v>
      </c>
      <c r="H926" s="35" t="str">
        <f>IFERROR(_xlfn.XLOOKUP(Table6[[#This Row],[Affected WTG]],'Basic Data'!$A:$A,'Basic Data'!$B:$B),"")</f>
        <v>TQGXIIPL</v>
      </c>
      <c r="I926" s="35" t="str">
        <f>IFERROR(_xlfn.XLOOKUP(Table6[[#This Row],[Affected WTG]],'Basic Data'!$A:$A,'Basic Data'!$C:$C),"")</f>
        <v>GEDA</v>
      </c>
      <c r="J926" s="260">
        <f>IFERROR(_xlfn.XLOOKUP(Table6[[#This Row],[Affected WTG]],'Basic Data'!$A:$A,'Basic Data'!$E:$E),"")</f>
        <v>3.846153846153845E-2</v>
      </c>
      <c r="K926" s="102">
        <v>6130</v>
      </c>
      <c r="L926" s="35" t="str">
        <f>IFERROR(_xlfn.XLOOKUP(Table6[[#This Row],[Error Code]],'Basic Data'!$AA:$AA,'Basic Data'!$AB:$AB),"Incorrect Error Code")</f>
        <v>Yaw speed high</v>
      </c>
      <c r="M926" s="35" t="s">
        <v>278</v>
      </c>
      <c r="N926" s="264"/>
      <c r="O926" s="265">
        <v>0.65416666666666667</v>
      </c>
      <c r="P926" s="265">
        <v>0.65833333333333333</v>
      </c>
      <c r="Q926" s="266">
        <v>0.65833333333333333</v>
      </c>
      <c r="R926" s="261">
        <f>IF(Table6[[#This Row],[Work Start TimeStamp]]="","",(Table6[[#This Row],[Work Start TimeStamp]]-Table6[[#This Row],[Fault Start TimeStamp]])*24)</f>
        <v>9.9999999999999645E-2</v>
      </c>
      <c r="S926" s="261">
        <f>(Table6[[#This Row],[Fault Clearance time]]-Table6[[#This Row],[Work Start TimeStamp]])*24</f>
        <v>0</v>
      </c>
      <c r="T926" s="261">
        <f>(Table6[[#This Row],[Fault Clearance time]]-Table6[[#This Row],[Fault Start TimeStamp]])*24</f>
        <v>9.9999999999999645E-2</v>
      </c>
      <c r="U926" s="35" t="s">
        <v>277</v>
      </c>
      <c r="V926" s="102" t="s">
        <v>268</v>
      </c>
      <c r="W926" s="267">
        <f>IFERROR(Table6[[#This Row],[Breakdown Time]]*Table6[[#This Row],[Plant Equivalent Weightage]],"")</f>
        <v>3.8461538461538312E-3</v>
      </c>
      <c r="X926" s="262" t="s">
        <v>269</v>
      </c>
      <c r="Y926" s="263" t="s">
        <v>126</v>
      </c>
      <c r="Z926" s="102">
        <v>35861</v>
      </c>
      <c r="AA926" s="257">
        <f>(Table6[[#This Row],[Paired WTG Generation for loss calculation]]/24)*Table6[[#This Row],[Breakdown Time]]</f>
        <v>149.42083333333281</v>
      </c>
      <c r="AB926" s="102"/>
      <c r="AC926" s="35"/>
      <c r="AD926" s="35"/>
    </row>
    <row r="927" spans="1:30">
      <c r="A927" s="102">
        <f t="shared" si="15"/>
        <v>926</v>
      </c>
      <c r="B927" s="257">
        <f>YEAR(Table6[[#This Row],[Date]])+IF(MONTH(Table6[[#This Row],[Date]])&gt;=4,1,0)</f>
        <v>2026</v>
      </c>
      <c r="C927" s="102">
        <f>YEAR(Table6[[#This Row],[Date]])</f>
        <v>2025</v>
      </c>
      <c r="D927" s="102" t="s">
        <v>265</v>
      </c>
      <c r="E927" s="258">
        <f>Table6[[#This Row],[Date]]-DAY(Table6[[#This Row],[Date]])+1</f>
        <v>45778</v>
      </c>
      <c r="F927" s="259">
        <v>45806</v>
      </c>
      <c r="G927" s="35" t="s">
        <v>126</v>
      </c>
      <c r="H927" s="35" t="str">
        <f>IFERROR(_xlfn.XLOOKUP(Table6[[#This Row],[Affected WTG]],'Basic Data'!$A:$A,'Basic Data'!$B:$B),"")</f>
        <v>TQGXIIPL</v>
      </c>
      <c r="I927" s="35" t="str">
        <f>IFERROR(_xlfn.XLOOKUP(Table6[[#This Row],[Affected WTG]],'Basic Data'!$A:$A,'Basic Data'!$C:$C),"")</f>
        <v>GEDA</v>
      </c>
      <c r="J927" s="260">
        <f>IFERROR(_xlfn.XLOOKUP(Table6[[#This Row],[Affected WTG]],'Basic Data'!$A:$A,'Basic Data'!$E:$E),"")</f>
        <v>3.846153846153845E-2</v>
      </c>
      <c r="K927" s="102">
        <v>1700</v>
      </c>
      <c r="L927" s="35" t="str">
        <f>IFERROR(_xlfn.XLOOKUP(Table6[[#This Row],[Error Code]],'Basic Data'!$AA:$AA,'Basic Data'!$AB:$AB),"Incorrect Error Code")</f>
        <v>High temp. gear bearing 1</v>
      </c>
      <c r="M927" s="35" t="s">
        <v>266</v>
      </c>
      <c r="N927" s="264"/>
      <c r="O927" s="265">
        <v>0.67847222222222225</v>
      </c>
      <c r="P927" s="265">
        <v>0.68194444444444446</v>
      </c>
      <c r="Q927" s="266">
        <v>0.68194444444444446</v>
      </c>
      <c r="R927" s="261">
        <f>IF(Table6[[#This Row],[Work Start TimeStamp]]="","",(Table6[[#This Row],[Work Start TimeStamp]]-Table6[[#This Row],[Fault Start TimeStamp]])*24)</f>
        <v>8.3333333333333037E-2</v>
      </c>
      <c r="S927" s="261">
        <f>(Table6[[#This Row],[Fault Clearance time]]-Table6[[#This Row],[Work Start TimeStamp]])*24</f>
        <v>0</v>
      </c>
      <c r="T927" s="261">
        <f>(Table6[[#This Row],[Fault Clearance time]]-Table6[[#This Row],[Fault Start TimeStamp]])*24</f>
        <v>8.3333333333333037E-2</v>
      </c>
      <c r="U927" s="35" t="s">
        <v>267</v>
      </c>
      <c r="V927" s="102" t="s">
        <v>268</v>
      </c>
      <c r="W927" s="267">
        <f>IFERROR(Table6[[#This Row],[Breakdown Time]]*Table6[[#This Row],[Plant Equivalent Weightage]],"")</f>
        <v>3.2051282051281929E-3</v>
      </c>
      <c r="X927" s="262" t="s">
        <v>296</v>
      </c>
      <c r="Y927" s="263" t="s">
        <v>128</v>
      </c>
      <c r="Z927" s="102">
        <v>36054</v>
      </c>
      <c r="AA927" s="257">
        <f>(Table6[[#This Row],[Paired WTG Generation for loss calculation]]/24)*Table6[[#This Row],[Breakdown Time]]</f>
        <v>125.18749999999956</v>
      </c>
      <c r="AB927" s="102"/>
      <c r="AC927" s="35"/>
      <c r="AD927" s="35"/>
    </row>
    <row r="928" spans="1:30">
      <c r="A928" s="102">
        <f t="shared" si="15"/>
        <v>927</v>
      </c>
      <c r="B928" s="257">
        <f>YEAR(Table6[[#This Row],[Date]])+IF(MONTH(Table6[[#This Row],[Date]])&gt;=4,1,0)</f>
        <v>2026</v>
      </c>
      <c r="C928" s="102">
        <f>YEAR(Table6[[#This Row],[Date]])</f>
        <v>2025</v>
      </c>
      <c r="D928" s="102" t="s">
        <v>265</v>
      </c>
      <c r="E928" s="258">
        <f>Table6[[#This Row],[Date]]-DAY(Table6[[#This Row],[Date]])+1</f>
        <v>45778</v>
      </c>
      <c r="F928" s="259">
        <v>45806</v>
      </c>
      <c r="G928" s="35" t="s">
        <v>133</v>
      </c>
      <c r="H928" s="35" t="str">
        <f>IFERROR(_xlfn.XLOOKUP(Table6[[#This Row],[Affected WTG]],'Basic Data'!$A:$A,'Basic Data'!$B:$B),"")</f>
        <v>TQGXIIPL</v>
      </c>
      <c r="I928" s="35" t="str">
        <f>IFERROR(_xlfn.XLOOKUP(Table6[[#This Row],[Affected WTG]],'Basic Data'!$A:$A,'Basic Data'!$C:$C),"")</f>
        <v>GEDA</v>
      </c>
      <c r="J928" s="260">
        <f>IFERROR(_xlfn.XLOOKUP(Table6[[#This Row],[Affected WTG]],'Basic Data'!$A:$A,'Basic Data'!$E:$E),"")</f>
        <v>3.846153846153845E-2</v>
      </c>
      <c r="K928" s="102">
        <v>6605</v>
      </c>
      <c r="L928" s="35" t="str">
        <f>IFERROR(_xlfn.XLOOKUP(Table6[[#This Row],[Error Code]],'Basic Data'!$AA:$AA,'Basic Data'!$AB:$AB),"Incorrect Error Code")</f>
        <v>Wind.dir. diff. level 2</v>
      </c>
      <c r="M928" s="35" t="s">
        <v>278</v>
      </c>
      <c r="N928" s="264"/>
      <c r="O928" s="265">
        <v>0.63194444444444442</v>
      </c>
      <c r="P928" s="265">
        <v>0.63263888888888886</v>
      </c>
      <c r="Q928" s="266">
        <v>0.63263888888888886</v>
      </c>
      <c r="R928" s="261">
        <f>IF(Table6[[#This Row],[Work Start TimeStamp]]="","",(Table6[[#This Row],[Work Start TimeStamp]]-Table6[[#This Row],[Fault Start TimeStamp]])*24)</f>
        <v>1.6666666666666607E-2</v>
      </c>
      <c r="S928" s="261">
        <f>(Table6[[#This Row],[Fault Clearance time]]-Table6[[#This Row],[Work Start TimeStamp]])*24</f>
        <v>0</v>
      </c>
      <c r="T928" s="261">
        <f>(Table6[[#This Row],[Fault Clearance time]]-Table6[[#This Row],[Fault Start TimeStamp]])*24</f>
        <v>1.6666666666666607E-2</v>
      </c>
      <c r="U928" s="35" t="s">
        <v>277</v>
      </c>
      <c r="V928" s="102" t="s">
        <v>268</v>
      </c>
      <c r="W928" s="267">
        <f>IFERROR(Table6[[#This Row],[Breakdown Time]]*Table6[[#This Row],[Plant Equivalent Weightage]],"")</f>
        <v>6.4102564102563853E-4</v>
      </c>
      <c r="X928" s="262" t="s">
        <v>269</v>
      </c>
      <c r="Y928" s="263" t="s">
        <v>121</v>
      </c>
      <c r="Z928" s="102">
        <v>36624</v>
      </c>
      <c r="AA928" s="257">
        <f>(Table6[[#This Row],[Paired WTG Generation for loss calculation]]/24)*Table6[[#This Row],[Breakdown Time]]</f>
        <v>25.433333333333245</v>
      </c>
      <c r="AB928" s="102"/>
      <c r="AC928" s="35"/>
      <c r="AD928" s="35"/>
    </row>
    <row r="929" spans="1:30">
      <c r="A929" s="102">
        <f t="shared" si="15"/>
        <v>928</v>
      </c>
      <c r="B929" s="257">
        <f>YEAR(Table6[[#This Row],[Date]])+IF(MONTH(Table6[[#This Row],[Date]])&gt;=4,1,0)</f>
        <v>2026</v>
      </c>
      <c r="C929" s="102">
        <f>YEAR(Table6[[#This Row],[Date]])</f>
        <v>2025</v>
      </c>
      <c r="D929" s="102" t="s">
        <v>265</v>
      </c>
      <c r="E929" s="258">
        <f>Table6[[#This Row],[Date]]-DAY(Table6[[#This Row],[Date]])+1</f>
        <v>45778</v>
      </c>
      <c r="F929" s="259">
        <v>45806</v>
      </c>
      <c r="G929" s="35" t="s">
        <v>134</v>
      </c>
      <c r="H929" s="35" t="str">
        <f>IFERROR(_xlfn.XLOOKUP(Table6[[#This Row],[Affected WTG]],'Basic Data'!$A:$A,'Basic Data'!$B:$B),"")</f>
        <v>TQGXIIPL</v>
      </c>
      <c r="I929" s="35" t="str">
        <f>IFERROR(_xlfn.XLOOKUP(Table6[[#This Row],[Affected WTG]],'Basic Data'!$A:$A,'Basic Data'!$C:$C),"")</f>
        <v>GEDA</v>
      </c>
      <c r="J929" s="260">
        <f>IFERROR(_xlfn.XLOOKUP(Table6[[#This Row],[Affected WTG]],'Basic Data'!$A:$A,'Basic Data'!$E:$E),"")</f>
        <v>3.846153846153845E-2</v>
      </c>
      <c r="K929" s="102">
        <v>6130</v>
      </c>
      <c r="L929" s="35" t="str">
        <f>IFERROR(_xlfn.XLOOKUP(Table6[[#This Row],[Error Code]],'Basic Data'!$AA:$AA,'Basic Data'!$AB:$AB),"Incorrect Error Code")</f>
        <v>Yaw speed high</v>
      </c>
      <c r="M929" s="35" t="s">
        <v>278</v>
      </c>
      <c r="N929" s="264"/>
      <c r="O929" s="265">
        <v>0.60069444444444442</v>
      </c>
      <c r="P929" s="265">
        <v>0.60138888888888886</v>
      </c>
      <c r="Q929" s="266">
        <v>0.60138888888888886</v>
      </c>
      <c r="R929" s="261">
        <f>IF(Table6[[#This Row],[Work Start TimeStamp]]="","",(Table6[[#This Row],[Work Start TimeStamp]]-Table6[[#This Row],[Fault Start TimeStamp]])*24)</f>
        <v>1.6666666666666607E-2</v>
      </c>
      <c r="S929" s="261">
        <f>(Table6[[#This Row],[Fault Clearance time]]-Table6[[#This Row],[Work Start TimeStamp]])*24</f>
        <v>0</v>
      </c>
      <c r="T929" s="261">
        <f>(Table6[[#This Row],[Fault Clearance time]]-Table6[[#This Row],[Fault Start TimeStamp]])*24</f>
        <v>1.6666666666666607E-2</v>
      </c>
      <c r="U929" s="35" t="s">
        <v>277</v>
      </c>
      <c r="V929" s="102" t="s">
        <v>268</v>
      </c>
      <c r="W929" s="267">
        <f>IFERROR(Table6[[#This Row],[Breakdown Time]]*Table6[[#This Row],[Plant Equivalent Weightage]],"")</f>
        <v>6.4102564102563853E-4</v>
      </c>
      <c r="X929" s="262" t="s">
        <v>269</v>
      </c>
      <c r="Y929" s="263" t="s">
        <v>138</v>
      </c>
      <c r="Z929" s="102">
        <v>36704</v>
      </c>
      <c r="AA929" s="257">
        <f>(Table6[[#This Row],[Paired WTG Generation for loss calculation]]/24)*Table6[[#This Row],[Breakdown Time]]</f>
        <v>25.488888888888798</v>
      </c>
      <c r="AB929" s="102"/>
      <c r="AC929" s="35"/>
      <c r="AD929" s="35"/>
    </row>
    <row r="930" spans="1:30">
      <c r="A930" s="102">
        <f t="shared" si="15"/>
        <v>929</v>
      </c>
      <c r="B930" s="257">
        <f>YEAR(Table6[[#This Row],[Date]])+IF(MONTH(Table6[[#This Row],[Date]])&gt;=4,1,0)</f>
        <v>2026</v>
      </c>
      <c r="C930" s="102">
        <f>YEAR(Table6[[#This Row],[Date]])</f>
        <v>2025</v>
      </c>
      <c r="D930" s="102" t="s">
        <v>265</v>
      </c>
      <c r="E930" s="258">
        <f>Table6[[#This Row],[Date]]-DAY(Table6[[#This Row],[Date]])+1</f>
        <v>45778</v>
      </c>
      <c r="F930" s="259">
        <v>45806</v>
      </c>
      <c r="G930" s="35" t="s">
        <v>137</v>
      </c>
      <c r="H930" s="35" t="str">
        <f>IFERROR(_xlfn.XLOOKUP(Table6[[#This Row],[Affected WTG]],'Basic Data'!$A:$A,'Basic Data'!$B:$B),"")</f>
        <v>TQGXIIPL</v>
      </c>
      <c r="I930" s="35" t="str">
        <f>IFERROR(_xlfn.XLOOKUP(Table6[[#This Row],[Affected WTG]],'Basic Data'!$A:$A,'Basic Data'!$C:$C),"")</f>
        <v>GEDA</v>
      </c>
      <c r="J930" s="260">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278</v>
      </c>
      <c r="N930" s="264"/>
      <c r="O930" s="265">
        <v>0.73472222222222228</v>
      </c>
      <c r="P930" s="265">
        <v>0.73611111111111116</v>
      </c>
      <c r="Q930" s="266">
        <v>0.73611111111111116</v>
      </c>
      <c r="R930" s="261">
        <f>IF(Table6[[#This Row],[Work Start TimeStamp]]="","",(Table6[[#This Row],[Work Start TimeStamp]]-Table6[[#This Row],[Fault Start TimeStamp]])*24)</f>
        <v>3.3333333333333215E-2</v>
      </c>
      <c r="S930" s="261">
        <f>(Table6[[#This Row],[Fault Clearance time]]-Table6[[#This Row],[Work Start TimeStamp]])*24</f>
        <v>0</v>
      </c>
      <c r="T930" s="261">
        <f>(Table6[[#This Row],[Fault Clearance time]]-Table6[[#This Row],[Fault Start TimeStamp]])*24</f>
        <v>3.3333333333333215E-2</v>
      </c>
      <c r="U930" s="35" t="s">
        <v>277</v>
      </c>
      <c r="V930" s="102" t="s">
        <v>268</v>
      </c>
      <c r="W930" s="267">
        <f>IFERROR(Table6[[#This Row],[Breakdown Time]]*Table6[[#This Row],[Plant Equivalent Weightage]],"")</f>
        <v>1.2820512820512771E-3</v>
      </c>
      <c r="X930" s="262" t="s">
        <v>269</v>
      </c>
      <c r="Y930" s="263" t="s">
        <v>125</v>
      </c>
      <c r="Z930" s="102">
        <v>35836</v>
      </c>
      <c r="AA930" s="257">
        <f>(Table6[[#This Row],[Paired WTG Generation for loss calculation]]/24)*Table6[[#This Row],[Breakdown Time]]</f>
        <v>49.772222222222048</v>
      </c>
      <c r="AB930" s="102"/>
      <c r="AC930" s="35"/>
      <c r="AD930" s="35"/>
    </row>
    <row r="931" spans="1:30">
      <c r="A931" s="102">
        <f t="shared" si="15"/>
        <v>930</v>
      </c>
      <c r="B931" s="257">
        <f>YEAR(Table6[[#This Row],[Date]])+IF(MONTH(Table6[[#This Row],[Date]])&gt;=4,1,0)</f>
        <v>2026</v>
      </c>
      <c r="C931" s="102">
        <f>YEAR(Table6[[#This Row],[Date]])</f>
        <v>2025</v>
      </c>
      <c r="D931" s="102" t="s">
        <v>265</v>
      </c>
      <c r="E931" s="258">
        <f>Table6[[#This Row],[Date]]-DAY(Table6[[#This Row],[Date]])+1</f>
        <v>45778</v>
      </c>
      <c r="F931" s="259">
        <v>45806</v>
      </c>
      <c r="G931" s="35" t="s">
        <v>137</v>
      </c>
      <c r="H931" s="35" t="str">
        <f>IFERROR(_xlfn.XLOOKUP(Table6[[#This Row],[Affected WTG]],'Basic Data'!$A:$A,'Basic Data'!$B:$B),"")</f>
        <v>TQGXIIPL</v>
      </c>
      <c r="I931" s="35" t="str">
        <f>IFERROR(_xlfn.XLOOKUP(Table6[[#This Row],[Affected WTG]],'Basic Data'!$A:$A,'Basic Data'!$C:$C),"")</f>
        <v>GEDA</v>
      </c>
      <c r="J931" s="260">
        <f>IFERROR(_xlfn.XLOOKUP(Table6[[#This Row],[Affected WTG]],'Basic Data'!$A:$A,'Basic Data'!$E:$E),"")</f>
        <v>3.846153846153845E-2</v>
      </c>
      <c r="K931" s="102">
        <v>665</v>
      </c>
      <c r="L931" s="35" t="str">
        <f>IFERROR(_xlfn.XLOOKUP(Table6[[#This Row],[Error Code]],'Basic Data'!$AA:$AA,'Basic Data'!$AB:$AB),"Incorrect Error Code")</f>
        <v>Pitch error</v>
      </c>
      <c r="M931" s="35" t="s">
        <v>278</v>
      </c>
      <c r="N931" s="264"/>
      <c r="O931" s="265">
        <v>0.74097222222222225</v>
      </c>
      <c r="P931" s="265">
        <v>0.74305555555555558</v>
      </c>
      <c r="Q931" s="266">
        <v>0.74305555555555558</v>
      </c>
      <c r="R931" s="261">
        <f>IF(Table6[[#This Row],[Work Start TimeStamp]]="","",(Table6[[#This Row],[Work Start TimeStamp]]-Table6[[#This Row],[Fault Start TimeStamp]])*24)</f>
        <v>4.9999999999999822E-2</v>
      </c>
      <c r="S931" s="261">
        <f>(Table6[[#This Row],[Fault Clearance time]]-Table6[[#This Row],[Work Start TimeStamp]])*24</f>
        <v>0</v>
      </c>
      <c r="T931" s="261">
        <f>(Table6[[#This Row],[Fault Clearance time]]-Table6[[#This Row],[Fault Start TimeStamp]])*24</f>
        <v>4.9999999999999822E-2</v>
      </c>
      <c r="U931" s="35" t="s">
        <v>277</v>
      </c>
      <c r="V931" s="102" t="s">
        <v>268</v>
      </c>
      <c r="W931" s="267">
        <f>IFERROR(Table6[[#This Row],[Breakdown Time]]*Table6[[#This Row],[Plant Equivalent Weightage]],"")</f>
        <v>1.9230769230769156E-3</v>
      </c>
      <c r="X931" s="262" t="s">
        <v>269</v>
      </c>
      <c r="Y931" s="263" t="s">
        <v>125</v>
      </c>
      <c r="Z931" s="102">
        <v>35836</v>
      </c>
      <c r="AA931" s="257">
        <f>(Table6[[#This Row],[Paired WTG Generation for loss calculation]]/24)*Table6[[#This Row],[Breakdown Time]]</f>
        <v>74.658333333333076</v>
      </c>
      <c r="AB931" s="102"/>
      <c r="AC931" s="35"/>
      <c r="AD931" s="35"/>
    </row>
    <row r="932" spans="1:30">
      <c r="A932" s="102">
        <f t="shared" si="15"/>
        <v>931</v>
      </c>
      <c r="B932" s="257">
        <f>YEAR(Table6[[#This Row],[Date]])+IF(MONTH(Table6[[#This Row],[Date]])&gt;=4,1,0)</f>
        <v>2026</v>
      </c>
      <c r="C932" s="102">
        <f>YEAR(Table6[[#This Row],[Date]])</f>
        <v>2025</v>
      </c>
      <c r="D932" s="102" t="s">
        <v>265</v>
      </c>
      <c r="E932" s="258">
        <f>Table6[[#This Row],[Date]]-DAY(Table6[[#This Row],[Date]])+1</f>
        <v>45778</v>
      </c>
      <c r="F932" s="259">
        <v>45807</v>
      </c>
      <c r="G932" s="35" t="s">
        <v>115</v>
      </c>
      <c r="H932" s="35" t="str">
        <f>IFERROR(_xlfn.XLOOKUP(Table6[[#This Row],[Affected WTG]],'Basic Data'!$A:$A,'Basic Data'!$B:$B),"")</f>
        <v>TQGXIIPL</v>
      </c>
      <c r="I932" s="35" t="str">
        <f>IFERROR(_xlfn.XLOOKUP(Table6[[#This Row],[Affected WTG]],'Basic Data'!$A:$A,'Basic Data'!$C:$C),"")</f>
        <v>GEDA</v>
      </c>
      <c r="J932" s="260">
        <f>IFERROR(_xlfn.XLOOKUP(Table6[[#This Row],[Affected WTG]],'Basic Data'!$A:$A,'Basic Data'!$E:$E),"")</f>
        <v>3.846153846153845E-2</v>
      </c>
      <c r="K932" s="102">
        <v>175</v>
      </c>
      <c r="L932" s="35" t="str">
        <f>IFERROR(_xlfn.XLOOKUP(Table6[[#This Row],[Error Code]],'Basic Data'!$AA:$AA,'Basic Data'!$AB:$AB),"Incorrect Error Code")</f>
        <v>SLC error</v>
      </c>
      <c r="M932" s="35" t="s">
        <v>266</v>
      </c>
      <c r="N932" s="264"/>
      <c r="O932" s="265">
        <v>0.49444444444444446</v>
      </c>
      <c r="P932" s="265">
        <v>0.5</v>
      </c>
      <c r="Q932" s="266">
        <v>0.5</v>
      </c>
      <c r="R932" s="261">
        <f>IF(Table6[[#This Row],[Work Start TimeStamp]]="","",(Table6[[#This Row],[Work Start TimeStamp]]-Table6[[#This Row],[Fault Start TimeStamp]])*24)</f>
        <v>0.13333333333333286</v>
      </c>
      <c r="S932" s="261">
        <f>(Table6[[#This Row],[Fault Clearance time]]-Table6[[#This Row],[Work Start TimeStamp]])*24</f>
        <v>0</v>
      </c>
      <c r="T932" s="261">
        <f>(Table6[[#This Row],[Fault Clearance time]]-Table6[[#This Row],[Fault Start TimeStamp]])*24</f>
        <v>0.13333333333333286</v>
      </c>
      <c r="U932" s="35" t="s">
        <v>267</v>
      </c>
      <c r="V932" s="102" t="s">
        <v>268</v>
      </c>
      <c r="W932" s="267">
        <f>IFERROR(Table6[[#This Row],[Breakdown Time]]*Table6[[#This Row],[Plant Equivalent Weightage]],"")</f>
        <v>5.1282051282051083E-3</v>
      </c>
      <c r="X932" s="262" t="s">
        <v>296</v>
      </c>
      <c r="Y932" s="263" t="s">
        <v>140</v>
      </c>
      <c r="Z932" s="102">
        <v>56413</v>
      </c>
      <c r="AA932" s="257">
        <f>(Table6[[#This Row],[Paired WTG Generation for loss calculation]]/24)*Table6[[#This Row],[Breakdown Time]]</f>
        <v>313.40555555555443</v>
      </c>
      <c r="AB932" s="102"/>
      <c r="AC932" s="35"/>
      <c r="AD932" s="35"/>
    </row>
    <row r="933" spans="1:30">
      <c r="A933" s="102">
        <f t="shared" si="15"/>
        <v>932</v>
      </c>
      <c r="B933" s="257">
        <f>YEAR(Table6[[#This Row],[Date]])+IF(MONTH(Table6[[#This Row],[Date]])&gt;=4,1,0)</f>
        <v>2026</v>
      </c>
      <c r="C933" s="102">
        <f>YEAR(Table6[[#This Row],[Date]])</f>
        <v>2025</v>
      </c>
      <c r="D933" s="102" t="s">
        <v>265</v>
      </c>
      <c r="E933" s="258">
        <f>Table6[[#This Row],[Date]]-DAY(Table6[[#This Row],[Date]])+1</f>
        <v>45778</v>
      </c>
      <c r="F933" s="259">
        <v>45807</v>
      </c>
      <c r="G933" s="35" t="s">
        <v>115</v>
      </c>
      <c r="H933" s="35" t="str">
        <f>IFERROR(_xlfn.XLOOKUP(Table6[[#This Row],[Affected WTG]],'Basic Data'!$A:$A,'Basic Data'!$B:$B),"")</f>
        <v>TQGXIIPL</v>
      </c>
      <c r="I933" s="35" t="str">
        <f>IFERROR(_xlfn.XLOOKUP(Table6[[#This Row],[Affected WTG]],'Basic Data'!$A:$A,'Basic Data'!$C:$C),"")</f>
        <v>GEDA</v>
      </c>
      <c r="J933" s="260">
        <f>IFERROR(_xlfn.XLOOKUP(Table6[[#This Row],[Affected WTG]],'Basic Data'!$A:$A,'Basic Data'!$E:$E),"")</f>
        <v>3.846153846153845E-2</v>
      </c>
      <c r="K933" s="102">
        <v>6130</v>
      </c>
      <c r="L933" s="35" t="str">
        <f>IFERROR(_xlfn.XLOOKUP(Table6[[#This Row],[Error Code]],'Basic Data'!$AA:$AA,'Basic Data'!$AB:$AB),"Incorrect Error Code")</f>
        <v>Yaw speed high</v>
      </c>
      <c r="M933" s="35" t="s">
        <v>278</v>
      </c>
      <c r="N933" s="264"/>
      <c r="O933" s="265">
        <v>0.64097222222222228</v>
      </c>
      <c r="P933" s="265">
        <v>0.64513888888888893</v>
      </c>
      <c r="Q933" s="266">
        <v>0.64513888888888893</v>
      </c>
      <c r="R933" s="261">
        <f>IF(Table6[[#This Row],[Work Start TimeStamp]]="","",(Table6[[#This Row],[Work Start TimeStamp]]-Table6[[#This Row],[Fault Start TimeStamp]])*24)</f>
        <v>9.9999999999999645E-2</v>
      </c>
      <c r="S933" s="261">
        <f>(Table6[[#This Row],[Fault Clearance time]]-Table6[[#This Row],[Work Start TimeStamp]])*24</f>
        <v>0</v>
      </c>
      <c r="T933" s="261">
        <f>(Table6[[#This Row],[Fault Clearance time]]-Table6[[#This Row],[Fault Start TimeStamp]])*24</f>
        <v>9.9999999999999645E-2</v>
      </c>
      <c r="U933" s="35" t="s">
        <v>277</v>
      </c>
      <c r="V933" s="102" t="s">
        <v>268</v>
      </c>
      <c r="W933" s="267">
        <f>IFERROR(Table6[[#This Row],[Breakdown Time]]*Table6[[#This Row],[Plant Equivalent Weightage]],"")</f>
        <v>3.8461538461538312E-3</v>
      </c>
      <c r="X933" s="262" t="s">
        <v>296</v>
      </c>
      <c r="Y933" s="263" t="s">
        <v>140</v>
      </c>
      <c r="Z933" s="102">
        <v>56413</v>
      </c>
      <c r="AA933" s="257">
        <f>(Table6[[#This Row],[Paired WTG Generation for loss calculation]]/24)*Table6[[#This Row],[Breakdown Time]]</f>
        <v>235.05416666666582</v>
      </c>
      <c r="AB933" s="102"/>
      <c r="AC933" s="35"/>
      <c r="AD933" s="35"/>
    </row>
    <row r="934" spans="1:30">
      <c r="A934" s="102">
        <f t="shared" si="15"/>
        <v>933</v>
      </c>
      <c r="B934" s="257">
        <f>YEAR(Table6[[#This Row],[Date]])+IF(MONTH(Table6[[#This Row],[Date]])&gt;=4,1,0)</f>
        <v>2026</v>
      </c>
      <c r="C934" s="102">
        <f>YEAR(Table6[[#This Row],[Date]])</f>
        <v>2025</v>
      </c>
      <c r="D934" s="102" t="s">
        <v>265</v>
      </c>
      <c r="E934" s="258">
        <f>Table6[[#This Row],[Date]]-DAY(Table6[[#This Row],[Date]])+1</f>
        <v>45778</v>
      </c>
      <c r="F934" s="259">
        <v>45807</v>
      </c>
      <c r="G934" s="35" t="s">
        <v>118</v>
      </c>
      <c r="H934" s="35" t="str">
        <f>IFERROR(_xlfn.XLOOKUP(Table6[[#This Row],[Affected WTG]],'Basic Data'!$A:$A,'Basic Data'!$B:$B),"")</f>
        <v>TQGXIIPL</v>
      </c>
      <c r="I934" s="35" t="str">
        <f>IFERROR(_xlfn.XLOOKUP(Table6[[#This Row],[Affected WTG]],'Basic Data'!$A:$A,'Basic Data'!$C:$C),"")</f>
        <v>GEDA</v>
      </c>
      <c r="J934" s="260">
        <f>IFERROR(_xlfn.XLOOKUP(Table6[[#This Row],[Affected WTG]],'Basic Data'!$A:$A,'Basic Data'!$E:$E),"")</f>
        <v>3.846153846153845E-2</v>
      </c>
      <c r="K934" s="102">
        <v>5550</v>
      </c>
      <c r="L934" s="35" t="str">
        <f>IFERROR(_xlfn.XLOOKUP(Table6[[#This Row],[Error Code]],'Basic Data'!$AA:$AA,'Basic Data'!$AB:$AB),"Incorrect Error Code")</f>
        <v>Low hydraulic oil level</v>
      </c>
      <c r="M934" s="35" t="s">
        <v>266</v>
      </c>
      <c r="N934" s="264"/>
      <c r="O934" s="265">
        <v>0</v>
      </c>
      <c r="P934" s="265">
        <v>1.2500000000000001E-2</v>
      </c>
      <c r="Q934" s="266">
        <v>1.2500000000000001E-2</v>
      </c>
      <c r="R934" s="261">
        <f>IF(Table6[[#This Row],[Work Start TimeStamp]]="","",(Table6[[#This Row],[Work Start TimeStamp]]-Table6[[#This Row],[Fault Start TimeStamp]])*24)</f>
        <v>0.30000000000000004</v>
      </c>
      <c r="S934" s="261">
        <f>(Table6[[#This Row],[Fault Clearance time]]-Table6[[#This Row],[Work Start TimeStamp]])*24</f>
        <v>0</v>
      </c>
      <c r="T934" s="261">
        <f>(Table6[[#This Row],[Fault Clearance time]]-Table6[[#This Row],[Fault Start TimeStamp]])*24</f>
        <v>0.30000000000000004</v>
      </c>
      <c r="U934" s="35" t="s">
        <v>480</v>
      </c>
      <c r="V934" s="102" t="s">
        <v>268</v>
      </c>
      <c r="W934" s="267">
        <f>IFERROR(Table6[[#This Row],[Breakdown Time]]*Table6[[#This Row],[Plant Equivalent Weightage]],"")</f>
        <v>1.1538461538461537E-2</v>
      </c>
      <c r="X934" s="262" t="s">
        <v>296</v>
      </c>
      <c r="Y934" s="263" t="s">
        <v>121</v>
      </c>
      <c r="Z934" s="102">
        <v>52504</v>
      </c>
      <c r="AA934" s="257">
        <f>(Table6[[#This Row],[Paired WTG Generation for loss calculation]]/24)*Table6[[#This Row],[Breakdown Time]]</f>
        <v>656.30000000000007</v>
      </c>
      <c r="AB934" s="102"/>
      <c r="AC934" s="35"/>
      <c r="AD934" s="35"/>
    </row>
    <row r="935" spans="1:30">
      <c r="A935" s="102">
        <f t="shared" si="15"/>
        <v>934</v>
      </c>
      <c r="B935" s="257">
        <f>YEAR(Table6[[#This Row],[Date]])+IF(MONTH(Table6[[#This Row],[Date]])&gt;=4,1,0)</f>
        <v>2026</v>
      </c>
      <c r="C935" s="102">
        <f>YEAR(Table6[[#This Row],[Date]])</f>
        <v>2025</v>
      </c>
      <c r="D935" s="102" t="s">
        <v>265</v>
      </c>
      <c r="E935" s="258">
        <f>Table6[[#This Row],[Date]]-DAY(Table6[[#This Row],[Date]])+1</f>
        <v>45778</v>
      </c>
      <c r="F935" s="259">
        <v>45807</v>
      </c>
      <c r="G935" s="35" t="s">
        <v>118</v>
      </c>
      <c r="H935" s="35" t="str">
        <f>IFERROR(_xlfn.XLOOKUP(Table6[[#This Row],[Affected WTG]],'Basic Data'!$A:$A,'Basic Data'!$B:$B),"")</f>
        <v>TQGXIIPL</v>
      </c>
      <c r="I935" s="35" t="str">
        <f>IFERROR(_xlfn.XLOOKUP(Table6[[#This Row],[Affected WTG]],'Basic Data'!$A:$A,'Basic Data'!$C:$C),"")</f>
        <v>GEDA</v>
      </c>
      <c r="J935" s="260">
        <f>IFERROR(_xlfn.XLOOKUP(Table6[[#This Row],[Affected WTG]],'Basic Data'!$A:$A,'Basic Data'!$E:$E),"")</f>
        <v>3.846153846153845E-2</v>
      </c>
      <c r="K935" s="102">
        <v>6130</v>
      </c>
      <c r="L935" s="35" t="str">
        <f>IFERROR(_xlfn.XLOOKUP(Table6[[#This Row],[Error Code]],'Basic Data'!$AA:$AA,'Basic Data'!$AB:$AB),"Incorrect Error Code")</f>
        <v>Yaw speed high</v>
      </c>
      <c r="M935" s="35" t="s">
        <v>278</v>
      </c>
      <c r="N935" s="264"/>
      <c r="O935" s="265">
        <v>0.43541666666666667</v>
      </c>
      <c r="P935" s="265">
        <v>0.44097222222222221</v>
      </c>
      <c r="Q935" s="266">
        <v>0.44097222222222221</v>
      </c>
      <c r="R935" s="261">
        <f>IF(Table6[[#This Row],[Work Start TimeStamp]]="","",(Table6[[#This Row],[Work Start TimeStamp]]-Table6[[#This Row],[Fault Start TimeStamp]])*24)</f>
        <v>0.13333333333333286</v>
      </c>
      <c r="S935" s="261">
        <f>(Table6[[#This Row],[Fault Clearance time]]-Table6[[#This Row],[Work Start TimeStamp]])*24</f>
        <v>0</v>
      </c>
      <c r="T935" s="261">
        <f>(Table6[[#This Row],[Fault Clearance time]]-Table6[[#This Row],[Fault Start TimeStamp]])*24</f>
        <v>0.13333333333333286</v>
      </c>
      <c r="U935" s="35" t="s">
        <v>277</v>
      </c>
      <c r="V935" s="102" t="s">
        <v>268</v>
      </c>
      <c r="W935" s="267">
        <f>IFERROR(Table6[[#This Row],[Breakdown Time]]*Table6[[#This Row],[Plant Equivalent Weightage]],"")</f>
        <v>5.1282051282051083E-3</v>
      </c>
      <c r="X935" s="262" t="s">
        <v>269</v>
      </c>
      <c r="Y935" s="263" t="s">
        <v>121</v>
      </c>
      <c r="Z935" s="102">
        <v>52504</v>
      </c>
      <c r="AA935" s="257">
        <f>(Table6[[#This Row],[Paired WTG Generation for loss calculation]]/24)*Table6[[#This Row],[Breakdown Time]]</f>
        <v>291.68888888888785</v>
      </c>
      <c r="AB935" s="102"/>
      <c r="AC935" s="35"/>
      <c r="AD935" s="35"/>
    </row>
    <row r="936" spans="1:30">
      <c r="A936" s="102">
        <f t="shared" si="15"/>
        <v>935</v>
      </c>
      <c r="B936" s="257">
        <f>YEAR(Table6[[#This Row],[Date]])+IF(MONTH(Table6[[#This Row],[Date]])&gt;=4,1,0)</f>
        <v>2026</v>
      </c>
      <c r="C936" s="102">
        <f>YEAR(Table6[[#This Row],[Date]])</f>
        <v>2025</v>
      </c>
      <c r="D936" s="102" t="s">
        <v>265</v>
      </c>
      <c r="E936" s="258">
        <f>Table6[[#This Row],[Date]]-DAY(Table6[[#This Row],[Date]])+1</f>
        <v>45778</v>
      </c>
      <c r="F936" s="259">
        <v>45807</v>
      </c>
      <c r="G936" s="35" t="s">
        <v>118</v>
      </c>
      <c r="H936" s="35" t="str">
        <f>IFERROR(_xlfn.XLOOKUP(Table6[[#This Row],[Affected WTG]],'Basic Data'!$A:$A,'Basic Data'!$B:$B),"")</f>
        <v>TQGXIIPL</v>
      </c>
      <c r="I936" s="35" t="str">
        <f>IFERROR(_xlfn.XLOOKUP(Table6[[#This Row],[Affected WTG]],'Basic Data'!$A:$A,'Basic Data'!$C:$C),"")</f>
        <v>GEDA</v>
      </c>
      <c r="J936" s="260">
        <f>IFERROR(_xlfn.XLOOKUP(Table6[[#This Row],[Affected WTG]],'Basic Data'!$A:$A,'Basic Data'!$E:$E),"")</f>
        <v>3.846153846153845E-2</v>
      </c>
      <c r="K936" s="102">
        <v>55</v>
      </c>
      <c r="L936" s="35" t="str">
        <f>IFERROR(_xlfn.XLOOKUP(Table6[[#This Row],[Error Code]],'Basic Data'!$AA:$AA,'Basic Data'!$AB:$AB),"Incorrect Error Code")</f>
        <v>WTG shut down</v>
      </c>
      <c r="M936" s="35" t="s">
        <v>266</v>
      </c>
      <c r="N936" s="264"/>
      <c r="O936" s="265">
        <v>0.79722222222222228</v>
      </c>
      <c r="P936" s="265">
        <v>0.81874999999999998</v>
      </c>
      <c r="Q936" s="266">
        <v>0.81874999999999998</v>
      </c>
      <c r="R936" s="261">
        <f>IF(Table6[[#This Row],[Work Start TimeStamp]]="","",(Table6[[#This Row],[Work Start TimeStamp]]-Table6[[#This Row],[Fault Start TimeStamp]])*24)</f>
        <v>0.51666666666666483</v>
      </c>
      <c r="S936" s="261">
        <f>(Table6[[#This Row],[Fault Clearance time]]-Table6[[#This Row],[Work Start TimeStamp]])*24</f>
        <v>0</v>
      </c>
      <c r="T936" s="261">
        <f>(Table6[[#This Row],[Fault Clearance time]]-Table6[[#This Row],[Fault Start TimeStamp]])*24</f>
        <v>0.51666666666666483</v>
      </c>
      <c r="U936" s="35" t="s">
        <v>481</v>
      </c>
      <c r="V936" s="102" t="s">
        <v>268</v>
      </c>
      <c r="W936" s="267">
        <f>IFERROR(Table6[[#This Row],[Breakdown Time]]*Table6[[#This Row],[Plant Equivalent Weightage]],"")</f>
        <v>1.9871794871794794E-2</v>
      </c>
      <c r="X936" s="262" t="s">
        <v>296</v>
      </c>
      <c r="Y936" s="263" t="s">
        <v>121</v>
      </c>
      <c r="Z936" s="102">
        <v>52504</v>
      </c>
      <c r="AA936" s="257">
        <f>(Table6[[#This Row],[Paired WTG Generation for loss calculation]]/24)*Table6[[#This Row],[Breakdown Time]]</f>
        <v>1130.2944444444404</v>
      </c>
      <c r="AB936" s="102"/>
      <c r="AC936" s="35"/>
      <c r="AD936" s="35"/>
    </row>
    <row r="937" spans="1:30">
      <c r="A937" s="102">
        <f t="shared" si="15"/>
        <v>936</v>
      </c>
      <c r="B937" s="257">
        <f>YEAR(Table6[[#This Row],[Date]])+IF(MONTH(Table6[[#This Row],[Date]])&gt;=4,1,0)</f>
        <v>2026</v>
      </c>
      <c r="C937" s="102">
        <f>YEAR(Table6[[#This Row],[Date]])</f>
        <v>2025</v>
      </c>
      <c r="D937" s="102" t="s">
        <v>265</v>
      </c>
      <c r="E937" s="258">
        <f>Table6[[#This Row],[Date]]-DAY(Table6[[#This Row],[Date]])+1</f>
        <v>45778</v>
      </c>
      <c r="F937" s="259">
        <v>45807</v>
      </c>
      <c r="G937" s="35" t="s">
        <v>119</v>
      </c>
      <c r="H937" s="35" t="str">
        <f>IFERROR(_xlfn.XLOOKUP(Table6[[#This Row],[Affected WTG]],'Basic Data'!$A:$A,'Basic Data'!$B:$B),"")</f>
        <v>TQGXIIPL</v>
      </c>
      <c r="I937" s="35" t="str">
        <f>IFERROR(_xlfn.XLOOKUP(Table6[[#This Row],[Affected WTG]],'Basic Data'!$A:$A,'Basic Data'!$C:$C),"")</f>
        <v>GEDA</v>
      </c>
      <c r="J937" s="260">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266</v>
      </c>
      <c r="N937" s="264"/>
      <c r="O937" s="265">
        <v>9.2361111111111116E-2</v>
      </c>
      <c r="P937" s="265">
        <v>9.7222222222222224E-2</v>
      </c>
      <c r="Q937" s="266">
        <v>9.7222222222222224E-2</v>
      </c>
      <c r="R937" s="261">
        <f>IF(Table6[[#This Row],[Work Start TimeStamp]]="","",(Table6[[#This Row],[Work Start TimeStamp]]-Table6[[#This Row],[Fault Start TimeStamp]])*24)</f>
        <v>0.11666666666666659</v>
      </c>
      <c r="S937" s="261">
        <f>(Table6[[#This Row],[Fault Clearance time]]-Table6[[#This Row],[Work Start TimeStamp]])*24</f>
        <v>0</v>
      </c>
      <c r="T937" s="261">
        <f>(Table6[[#This Row],[Fault Clearance time]]-Table6[[#This Row],[Fault Start TimeStamp]])*24</f>
        <v>0.11666666666666659</v>
      </c>
      <c r="U937" s="35" t="s">
        <v>267</v>
      </c>
      <c r="V937" s="102" t="s">
        <v>268</v>
      </c>
      <c r="W937" s="267">
        <f>IFERROR(Table6[[#This Row],[Breakdown Time]]*Table6[[#This Row],[Plant Equivalent Weightage]],"")</f>
        <v>4.4871794871794825E-3</v>
      </c>
      <c r="X937" s="262" t="s">
        <v>296</v>
      </c>
      <c r="Y937" s="263" t="s">
        <v>116</v>
      </c>
      <c r="Z937" s="102">
        <v>56778</v>
      </c>
      <c r="AA937" s="257">
        <f>(Table6[[#This Row],[Paired WTG Generation for loss calculation]]/24)*Table6[[#This Row],[Breakdown Time]]</f>
        <v>276.00416666666649</v>
      </c>
      <c r="AB937" s="102"/>
      <c r="AC937" s="35"/>
      <c r="AD937" s="35"/>
    </row>
    <row r="938" spans="1:30">
      <c r="A938" s="102">
        <f t="shared" si="15"/>
        <v>937</v>
      </c>
      <c r="B938" s="257">
        <f>YEAR(Table6[[#This Row],[Date]])+IF(MONTH(Table6[[#This Row],[Date]])&gt;=4,1,0)</f>
        <v>2026</v>
      </c>
      <c r="C938" s="102">
        <f>YEAR(Table6[[#This Row],[Date]])</f>
        <v>2025</v>
      </c>
      <c r="D938" s="102" t="s">
        <v>265</v>
      </c>
      <c r="E938" s="258">
        <f>Table6[[#This Row],[Date]]-DAY(Table6[[#This Row],[Date]])+1</f>
        <v>45778</v>
      </c>
      <c r="F938" s="259">
        <v>45807</v>
      </c>
      <c r="G938" s="35" t="s">
        <v>119</v>
      </c>
      <c r="H938" s="35" t="str">
        <f>IFERROR(_xlfn.XLOOKUP(Table6[[#This Row],[Affected WTG]],'Basic Data'!$A:$A,'Basic Data'!$B:$B),"")</f>
        <v>TQGXIIPL</v>
      </c>
      <c r="I938" s="35" t="str">
        <f>IFERROR(_xlfn.XLOOKUP(Table6[[#This Row],[Affected WTG]],'Basic Data'!$A:$A,'Basic Data'!$C:$C),"")</f>
        <v>GEDA</v>
      </c>
      <c r="J938" s="260">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266</v>
      </c>
      <c r="N938" s="264"/>
      <c r="O938" s="265">
        <v>0.61388888888888893</v>
      </c>
      <c r="P938" s="265">
        <v>0.63888888888888884</v>
      </c>
      <c r="Q938" s="266">
        <v>0.63888888888888884</v>
      </c>
      <c r="R938" s="261">
        <f>IF(Table6[[#This Row],[Work Start TimeStamp]]="","",(Table6[[#This Row],[Work Start TimeStamp]]-Table6[[#This Row],[Fault Start TimeStamp]])*24)</f>
        <v>0.59999999999999787</v>
      </c>
      <c r="S938" s="261">
        <f>(Table6[[#This Row],[Fault Clearance time]]-Table6[[#This Row],[Work Start TimeStamp]])*24</f>
        <v>0</v>
      </c>
      <c r="T938" s="261">
        <f>(Table6[[#This Row],[Fault Clearance time]]-Table6[[#This Row],[Fault Start TimeStamp]])*24</f>
        <v>0.59999999999999787</v>
      </c>
      <c r="U938" s="35" t="s">
        <v>482</v>
      </c>
      <c r="V938" s="102" t="s">
        <v>268</v>
      </c>
      <c r="W938" s="267">
        <f>IFERROR(Table6[[#This Row],[Breakdown Time]]*Table6[[#This Row],[Plant Equivalent Weightage]],"")</f>
        <v>2.3076923076922988E-2</v>
      </c>
      <c r="X938" s="262" t="s">
        <v>296</v>
      </c>
      <c r="Y938" s="263" t="s">
        <v>116</v>
      </c>
      <c r="Z938" s="102">
        <v>56778</v>
      </c>
      <c r="AA938" s="257">
        <f>(Table6[[#This Row],[Paired WTG Generation for loss calculation]]/24)*Table6[[#This Row],[Breakdown Time]]</f>
        <v>1419.449999999995</v>
      </c>
      <c r="AB938" s="102"/>
      <c r="AC938" s="35"/>
      <c r="AD938" s="35"/>
    </row>
    <row r="939" spans="1:30">
      <c r="A939" s="102">
        <f t="shared" si="15"/>
        <v>938</v>
      </c>
      <c r="B939" s="257">
        <f>YEAR(Table6[[#This Row],[Date]])+IF(MONTH(Table6[[#This Row],[Date]])&gt;=4,1,0)</f>
        <v>2026</v>
      </c>
      <c r="C939" s="102">
        <f>YEAR(Table6[[#This Row],[Date]])</f>
        <v>2025</v>
      </c>
      <c r="D939" s="102" t="s">
        <v>265</v>
      </c>
      <c r="E939" s="258">
        <f>Table6[[#This Row],[Date]]-DAY(Table6[[#This Row],[Date]])+1</f>
        <v>45778</v>
      </c>
      <c r="F939" s="259">
        <v>45807</v>
      </c>
      <c r="G939" s="35" t="s">
        <v>119</v>
      </c>
      <c r="H939" s="35" t="str">
        <f>IFERROR(_xlfn.XLOOKUP(Table6[[#This Row],[Affected WTG]],'Basic Data'!$A:$A,'Basic Data'!$B:$B),"")</f>
        <v>TQGXIIPL</v>
      </c>
      <c r="I939" s="35" t="str">
        <f>IFERROR(_xlfn.XLOOKUP(Table6[[#This Row],[Affected WTG]],'Basic Data'!$A:$A,'Basic Data'!$C:$C),"")</f>
        <v>GEDA</v>
      </c>
      <c r="J939" s="260">
        <f>IFERROR(_xlfn.XLOOKUP(Table6[[#This Row],[Affected WTG]],'Basic Data'!$A:$A,'Basic Data'!$E:$E),"")</f>
        <v>3.846153846153845E-2</v>
      </c>
      <c r="K939" s="102">
        <v>6130</v>
      </c>
      <c r="L939" s="35" t="str">
        <f>IFERROR(_xlfn.XLOOKUP(Table6[[#This Row],[Error Code]],'Basic Data'!$AA:$AA,'Basic Data'!$AB:$AB),"Incorrect Error Code")</f>
        <v>Yaw speed high</v>
      </c>
      <c r="M939" s="35" t="s">
        <v>278</v>
      </c>
      <c r="N939" s="264"/>
      <c r="O939" s="265">
        <v>0.70833333333333337</v>
      </c>
      <c r="P939" s="265">
        <v>0.71180555555555558</v>
      </c>
      <c r="Q939" s="266">
        <v>0.71180555555555558</v>
      </c>
      <c r="R939" s="261">
        <f>IF(Table6[[#This Row],[Work Start TimeStamp]]="","",(Table6[[#This Row],[Work Start TimeStamp]]-Table6[[#This Row],[Fault Start TimeStamp]])*24)</f>
        <v>8.3333333333333037E-2</v>
      </c>
      <c r="S939" s="261">
        <f>(Table6[[#This Row],[Fault Clearance time]]-Table6[[#This Row],[Work Start TimeStamp]])*24</f>
        <v>0</v>
      </c>
      <c r="T939" s="261">
        <f>(Table6[[#This Row],[Fault Clearance time]]-Table6[[#This Row],[Fault Start TimeStamp]])*24</f>
        <v>8.3333333333333037E-2</v>
      </c>
      <c r="U939" s="35" t="s">
        <v>277</v>
      </c>
      <c r="V939" s="102" t="s">
        <v>268</v>
      </c>
      <c r="W939" s="267">
        <f>IFERROR(Table6[[#This Row],[Breakdown Time]]*Table6[[#This Row],[Plant Equivalent Weightage]],"")</f>
        <v>3.2051282051281929E-3</v>
      </c>
      <c r="X939" s="262" t="s">
        <v>269</v>
      </c>
      <c r="Y939" s="263" t="s">
        <v>116</v>
      </c>
      <c r="Z939" s="102">
        <v>56778</v>
      </c>
      <c r="AA939" s="257">
        <f>(Table6[[#This Row],[Paired WTG Generation for loss calculation]]/24)*Table6[[#This Row],[Breakdown Time]]</f>
        <v>197.14583333333263</v>
      </c>
      <c r="AB939" s="102"/>
      <c r="AC939" s="35"/>
      <c r="AD939" s="35"/>
    </row>
    <row r="940" spans="1:30">
      <c r="A940" s="102">
        <f t="shared" si="15"/>
        <v>939</v>
      </c>
      <c r="B940" s="257">
        <f>YEAR(Table6[[#This Row],[Date]])+IF(MONTH(Table6[[#This Row],[Date]])&gt;=4,1,0)</f>
        <v>2026</v>
      </c>
      <c r="C940" s="102">
        <f>YEAR(Table6[[#This Row],[Date]])</f>
        <v>2025</v>
      </c>
      <c r="D940" s="102" t="s">
        <v>265</v>
      </c>
      <c r="E940" s="258">
        <f>Table6[[#This Row],[Date]]-DAY(Table6[[#This Row],[Date]])+1</f>
        <v>45778</v>
      </c>
      <c r="F940" s="259">
        <v>45807</v>
      </c>
      <c r="G940" s="35" t="s">
        <v>121</v>
      </c>
      <c r="H940" s="35" t="str">
        <f>IFERROR(_xlfn.XLOOKUP(Table6[[#This Row],[Affected WTG]],'Basic Data'!$A:$A,'Basic Data'!$B:$B),"")</f>
        <v>TQGXIIPL</v>
      </c>
      <c r="I940" s="35" t="str">
        <f>IFERROR(_xlfn.XLOOKUP(Table6[[#This Row],[Affected WTG]],'Basic Data'!$A:$A,'Basic Data'!$C:$C),"")</f>
        <v>GEDA</v>
      </c>
      <c r="J940" s="260">
        <f>IFERROR(_xlfn.XLOOKUP(Table6[[#This Row],[Affected WTG]],'Basic Data'!$A:$A,'Basic Data'!$E:$E),"")</f>
        <v>3.846153846153845E-2</v>
      </c>
      <c r="K940" s="102">
        <v>55</v>
      </c>
      <c r="L940" s="35" t="str">
        <f>IFERROR(_xlfn.XLOOKUP(Table6[[#This Row],[Error Code]],'Basic Data'!$AA:$AA,'Basic Data'!$AB:$AB),"Incorrect Error Code")</f>
        <v>WTG shut down</v>
      </c>
      <c r="M940" s="35" t="s">
        <v>266</v>
      </c>
      <c r="N940" s="264"/>
      <c r="O940" s="265">
        <v>0.79722222222222228</v>
      </c>
      <c r="P940" s="265">
        <v>0.81874999999999998</v>
      </c>
      <c r="Q940" s="266">
        <v>0.81874999999999998</v>
      </c>
      <c r="R940" s="261">
        <f>IF(Table6[[#This Row],[Work Start TimeStamp]]="","",(Table6[[#This Row],[Work Start TimeStamp]]-Table6[[#This Row],[Fault Start TimeStamp]])*24)</f>
        <v>0.51666666666666483</v>
      </c>
      <c r="S940" s="261">
        <f>(Table6[[#This Row],[Fault Clearance time]]-Table6[[#This Row],[Work Start TimeStamp]])*24</f>
        <v>0</v>
      </c>
      <c r="T940" s="261">
        <f>(Table6[[#This Row],[Fault Clearance time]]-Table6[[#This Row],[Fault Start TimeStamp]])*24</f>
        <v>0.51666666666666483</v>
      </c>
      <c r="U940" s="35" t="s">
        <v>481</v>
      </c>
      <c r="V940" s="102" t="s">
        <v>268</v>
      </c>
      <c r="W940" s="267">
        <f>IFERROR(Table6[[#This Row],[Breakdown Time]]*Table6[[#This Row],[Plant Equivalent Weightage]],"")</f>
        <v>1.9871794871794794E-2</v>
      </c>
      <c r="X940" s="262" t="s">
        <v>296</v>
      </c>
      <c r="Y940" s="263" t="s">
        <v>118</v>
      </c>
      <c r="Z940" s="102">
        <v>51855</v>
      </c>
      <c r="AA940" s="257">
        <f>(Table6[[#This Row],[Paired WTG Generation for loss calculation]]/24)*Table6[[#This Row],[Breakdown Time]]</f>
        <v>1116.3229166666626</v>
      </c>
      <c r="AB940" s="102"/>
      <c r="AC940" s="35"/>
      <c r="AD940" s="35"/>
    </row>
    <row r="941" spans="1:30">
      <c r="A941" s="102">
        <f t="shared" si="15"/>
        <v>940</v>
      </c>
      <c r="B941" s="257">
        <f>YEAR(Table6[[#This Row],[Date]])+IF(MONTH(Table6[[#This Row],[Date]])&gt;=4,1,0)</f>
        <v>2026</v>
      </c>
      <c r="C941" s="102">
        <f>YEAR(Table6[[#This Row],[Date]])</f>
        <v>2025</v>
      </c>
      <c r="D941" s="102" t="s">
        <v>265</v>
      </c>
      <c r="E941" s="258">
        <f>Table6[[#This Row],[Date]]-DAY(Table6[[#This Row],[Date]])+1</f>
        <v>45778</v>
      </c>
      <c r="F941" s="259">
        <v>45807</v>
      </c>
      <c r="G941" s="35" t="s">
        <v>122</v>
      </c>
      <c r="H941" s="35" t="str">
        <f>IFERROR(_xlfn.XLOOKUP(Table6[[#This Row],[Affected WTG]],'Basic Data'!$A:$A,'Basic Data'!$B:$B),"")</f>
        <v>TQGXIIPL</v>
      </c>
      <c r="I941" s="35" t="str">
        <f>IFERROR(_xlfn.XLOOKUP(Table6[[#This Row],[Affected WTG]],'Basic Data'!$A:$A,'Basic Data'!$C:$C),"")</f>
        <v>GEDA</v>
      </c>
      <c r="J941" s="260">
        <f>IFERROR(_xlfn.XLOOKUP(Table6[[#This Row],[Affected WTG]],'Basic Data'!$A:$A,'Basic Data'!$E:$E),"")</f>
        <v>3.846153846153845E-2</v>
      </c>
      <c r="K941" s="102">
        <v>665</v>
      </c>
      <c r="L941" s="35" t="str">
        <f>IFERROR(_xlfn.XLOOKUP(Table6[[#This Row],[Error Code]],'Basic Data'!$AA:$AA,'Basic Data'!$AB:$AB),"Incorrect Error Code")</f>
        <v>Pitch error</v>
      </c>
      <c r="M941" s="35" t="s">
        <v>266</v>
      </c>
      <c r="N941" s="264"/>
      <c r="O941" s="265">
        <v>0.32013888888888886</v>
      </c>
      <c r="P941" s="265">
        <v>0.32361111111111113</v>
      </c>
      <c r="Q941" s="266">
        <v>0.32361111111111113</v>
      </c>
      <c r="R941" s="261">
        <f>IF(Table6[[#This Row],[Work Start TimeStamp]]="","",(Table6[[#This Row],[Work Start TimeStamp]]-Table6[[#This Row],[Fault Start TimeStamp]])*24)</f>
        <v>8.333333333333437E-2</v>
      </c>
      <c r="S941" s="261">
        <f>(Table6[[#This Row],[Fault Clearance time]]-Table6[[#This Row],[Work Start TimeStamp]])*24</f>
        <v>0</v>
      </c>
      <c r="T941" s="261">
        <f>(Table6[[#This Row],[Fault Clearance time]]-Table6[[#This Row],[Fault Start TimeStamp]])*24</f>
        <v>8.333333333333437E-2</v>
      </c>
      <c r="U941" s="35" t="s">
        <v>267</v>
      </c>
      <c r="V941" s="102" t="s">
        <v>268</v>
      </c>
      <c r="W941" s="267">
        <f>IFERROR(Table6[[#This Row],[Breakdown Time]]*Table6[[#This Row],[Plant Equivalent Weightage]],"")</f>
        <v>3.205128205128244E-3</v>
      </c>
      <c r="X941" s="262" t="s">
        <v>296</v>
      </c>
      <c r="Y941" s="263" t="s">
        <v>140</v>
      </c>
      <c r="Z941" s="102">
        <v>56413</v>
      </c>
      <c r="AA941" s="257">
        <f>(Table6[[#This Row],[Paired WTG Generation for loss calculation]]/24)*Table6[[#This Row],[Breakdown Time]]</f>
        <v>195.87847222222464</v>
      </c>
      <c r="AB941" s="102"/>
      <c r="AC941" s="35"/>
      <c r="AD941" s="35"/>
    </row>
    <row r="942" spans="1:30">
      <c r="A942" s="102">
        <f t="shared" si="15"/>
        <v>941</v>
      </c>
      <c r="B942" s="257">
        <f>YEAR(Table6[[#This Row],[Date]])+IF(MONTH(Table6[[#This Row],[Date]])&gt;=4,1,0)</f>
        <v>2026</v>
      </c>
      <c r="C942" s="102">
        <f>YEAR(Table6[[#This Row],[Date]])</f>
        <v>2025</v>
      </c>
      <c r="D942" s="102" t="s">
        <v>265</v>
      </c>
      <c r="E942" s="258">
        <f>Table6[[#This Row],[Date]]-DAY(Table6[[#This Row],[Date]])+1</f>
        <v>45778</v>
      </c>
      <c r="F942" s="259">
        <v>45807</v>
      </c>
      <c r="G942" s="35" t="s">
        <v>122</v>
      </c>
      <c r="H942" s="35" t="str">
        <f>IFERROR(_xlfn.XLOOKUP(Table6[[#This Row],[Affected WTG]],'Basic Data'!$A:$A,'Basic Data'!$B:$B),"")</f>
        <v>TQGXIIPL</v>
      </c>
      <c r="I942" s="35" t="str">
        <f>IFERROR(_xlfn.XLOOKUP(Table6[[#This Row],[Affected WTG]],'Basic Data'!$A:$A,'Basic Data'!$C:$C),"")</f>
        <v>GEDA</v>
      </c>
      <c r="J942" s="260">
        <f>IFERROR(_xlfn.XLOOKUP(Table6[[#This Row],[Affected WTG]],'Basic Data'!$A:$A,'Basic Data'!$E:$E),"")</f>
        <v>3.846153846153845E-2</v>
      </c>
      <c r="K942" s="102">
        <v>6605</v>
      </c>
      <c r="L942" s="35" t="str">
        <f>IFERROR(_xlfn.XLOOKUP(Table6[[#This Row],[Error Code]],'Basic Data'!$AA:$AA,'Basic Data'!$AB:$AB),"Incorrect Error Code")</f>
        <v>Wind.dir. diff. level 2</v>
      </c>
      <c r="M942" s="35" t="s">
        <v>278</v>
      </c>
      <c r="N942" s="264"/>
      <c r="O942" s="265">
        <v>0.35902777777777778</v>
      </c>
      <c r="P942" s="265">
        <v>0.36180555555555555</v>
      </c>
      <c r="Q942" s="266">
        <v>0.36180555555555555</v>
      </c>
      <c r="R942" s="261">
        <f>IF(Table6[[#This Row],[Work Start TimeStamp]]="","",(Table6[[#This Row],[Work Start TimeStamp]]-Table6[[#This Row],[Fault Start TimeStamp]])*24)</f>
        <v>6.666666666666643E-2</v>
      </c>
      <c r="S942" s="261">
        <f>(Table6[[#This Row],[Fault Clearance time]]-Table6[[#This Row],[Work Start TimeStamp]])*24</f>
        <v>0</v>
      </c>
      <c r="T942" s="261">
        <f>(Table6[[#This Row],[Fault Clearance time]]-Table6[[#This Row],[Fault Start TimeStamp]])*24</f>
        <v>6.666666666666643E-2</v>
      </c>
      <c r="U942" s="35" t="s">
        <v>277</v>
      </c>
      <c r="V942" s="102" t="s">
        <v>268</v>
      </c>
      <c r="W942" s="267">
        <f>IFERROR(Table6[[#This Row],[Breakdown Time]]*Table6[[#This Row],[Plant Equivalent Weightage]],"")</f>
        <v>2.5641025641025541E-3</v>
      </c>
      <c r="X942" s="262" t="s">
        <v>296</v>
      </c>
      <c r="Y942" s="263" t="s">
        <v>140</v>
      </c>
      <c r="Z942" s="102">
        <v>56413</v>
      </c>
      <c r="AA942" s="257">
        <f>(Table6[[#This Row],[Paired WTG Generation for loss calculation]]/24)*Table6[[#This Row],[Breakdown Time]]</f>
        <v>156.70277777777721</v>
      </c>
      <c r="AB942" s="102"/>
      <c r="AC942" s="35"/>
      <c r="AD942" s="35"/>
    </row>
    <row r="943" spans="1:30">
      <c r="A943" s="102">
        <f t="shared" si="15"/>
        <v>942</v>
      </c>
      <c r="B943" s="257">
        <f>YEAR(Table6[[#This Row],[Date]])+IF(MONTH(Table6[[#This Row],[Date]])&gt;=4,1,0)</f>
        <v>2026</v>
      </c>
      <c r="C943" s="102">
        <f>YEAR(Table6[[#This Row],[Date]])</f>
        <v>2025</v>
      </c>
      <c r="D943" s="102" t="s">
        <v>265</v>
      </c>
      <c r="E943" s="258">
        <f>Table6[[#This Row],[Date]]-DAY(Table6[[#This Row],[Date]])+1</f>
        <v>45778</v>
      </c>
      <c r="F943" s="259">
        <v>45807</v>
      </c>
      <c r="G943" s="35" t="s">
        <v>122</v>
      </c>
      <c r="H943" s="35" t="str">
        <f>IFERROR(_xlfn.XLOOKUP(Table6[[#This Row],[Affected WTG]],'Basic Data'!$A:$A,'Basic Data'!$B:$B),"")</f>
        <v>TQGXIIPL</v>
      </c>
      <c r="I943" s="35" t="str">
        <f>IFERROR(_xlfn.XLOOKUP(Table6[[#This Row],[Affected WTG]],'Basic Data'!$A:$A,'Basic Data'!$C:$C),"")</f>
        <v>GEDA</v>
      </c>
      <c r="J943" s="260">
        <f>IFERROR(_xlfn.XLOOKUP(Table6[[#This Row],[Affected WTG]],'Basic Data'!$A:$A,'Basic Data'!$E:$E),"")</f>
        <v>3.846153846153845E-2</v>
      </c>
      <c r="K943" s="102">
        <v>6130</v>
      </c>
      <c r="L943" s="35" t="str">
        <f>IFERROR(_xlfn.XLOOKUP(Table6[[#This Row],[Error Code]],'Basic Data'!$AA:$AA,'Basic Data'!$AB:$AB),"Incorrect Error Code")</f>
        <v>Yaw speed high</v>
      </c>
      <c r="M943" s="35" t="s">
        <v>266</v>
      </c>
      <c r="N943" s="264"/>
      <c r="O943" s="265">
        <v>0.5131944444444444</v>
      </c>
      <c r="P943" s="265">
        <v>0.51875000000000004</v>
      </c>
      <c r="Q943" s="266">
        <v>0.51875000000000004</v>
      </c>
      <c r="R943" s="261">
        <f>IF(Table6[[#This Row],[Work Start TimeStamp]]="","",(Table6[[#This Row],[Work Start TimeStamp]]-Table6[[#This Row],[Fault Start TimeStamp]])*24)</f>
        <v>0.13333333333333552</v>
      </c>
      <c r="S943" s="261">
        <f>(Table6[[#This Row],[Fault Clearance time]]-Table6[[#This Row],[Work Start TimeStamp]])*24</f>
        <v>0</v>
      </c>
      <c r="T943" s="261">
        <f>(Table6[[#This Row],[Fault Clearance time]]-Table6[[#This Row],[Fault Start TimeStamp]])*24</f>
        <v>0.13333333333333552</v>
      </c>
      <c r="U943" s="35" t="s">
        <v>267</v>
      </c>
      <c r="V943" s="102" t="s">
        <v>268</v>
      </c>
      <c r="W943" s="267">
        <f>IFERROR(Table6[[#This Row],[Breakdown Time]]*Table6[[#This Row],[Plant Equivalent Weightage]],"")</f>
        <v>5.1282051282052106E-3</v>
      </c>
      <c r="X943" s="262" t="s">
        <v>296</v>
      </c>
      <c r="Y943" s="263" t="s">
        <v>140</v>
      </c>
      <c r="Z943" s="102">
        <v>56413</v>
      </c>
      <c r="AA943" s="257">
        <f>(Table6[[#This Row],[Paired WTG Generation for loss calculation]]/24)*Table6[[#This Row],[Breakdown Time]]</f>
        <v>313.40555555556068</v>
      </c>
      <c r="AB943" s="102"/>
      <c r="AC943" s="35"/>
      <c r="AD943" s="35"/>
    </row>
    <row r="944" spans="1:30">
      <c r="A944" s="102">
        <f t="shared" si="15"/>
        <v>943</v>
      </c>
      <c r="B944" s="257">
        <f>YEAR(Table6[[#This Row],[Date]])+IF(MONTH(Table6[[#This Row],[Date]])&gt;=4,1,0)</f>
        <v>2026</v>
      </c>
      <c r="C944" s="102">
        <f>YEAR(Table6[[#This Row],[Date]])</f>
        <v>2025</v>
      </c>
      <c r="D944" s="102" t="s">
        <v>265</v>
      </c>
      <c r="E944" s="258">
        <f>Table6[[#This Row],[Date]]-DAY(Table6[[#This Row],[Date]])+1</f>
        <v>45778</v>
      </c>
      <c r="F944" s="259">
        <v>45807</v>
      </c>
      <c r="G944" s="35" t="s">
        <v>122</v>
      </c>
      <c r="H944" s="35" t="str">
        <f>IFERROR(_xlfn.XLOOKUP(Table6[[#This Row],[Affected WTG]],'Basic Data'!$A:$A,'Basic Data'!$B:$B),"")</f>
        <v>TQGXIIPL</v>
      </c>
      <c r="I944" s="35" t="str">
        <f>IFERROR(_xlfn.XLOOKUP(Table6[[#This Row],[Affected WTG]],'Basic Data'!$A:$A,'Basic Data'!$C:$C),"")</f>
        <v>GEDA</v>
      </c>
      <c r="J944" s="260">
        <f>IFERROR(_xlfn.XLOOKUP(Table6[[#This Row],[Affected WTG]],'Basic Data'!$A:$A,'Basic Data'!$E:$E),"")</f>
        <v>3.846153846153845E-2</v>
      </c>
      <c r="K944" s="102">
        <v>665</v>
      </c>
      <c r="L944" s="35" t="str">
        <f>IFERROR(_xlfn.XLOOKUP(Table6[[#This Row],[Error Code]],'Basic Data'!$AA:$AA,'Basic Data'!$AB:$AB),"Incorrect Error Code")</f>
        <v>Pitch error</v>
      </c>
      <c r="M944" s="35" t="s">
        <v>266</v>
      </c>
      <c r="N944" s="264"/>
      <c r="O944" s="265">
        <v>0.88611111111111107</v>
      </c>
      <c r="P944" s="265">
        <v>0.89513888888888893</v>
      </c>
      <c r="Q944" s="266">
        <v>0.89513888888888893</v>
      </c>
      <c r="R944" s="261">
        <f>IF(Table6[[#This Row],[Work Start TimeStamp]]="","",(Table6[[#This Row],[Work Start TimeStamp]]-Table6[[#This Row],[Fault Start TimeStamp]])*24)</f>
        <v>0.21666666666666856</v>
      </c>
      <c r="S944" s="261">
        <f>(Table6[[#This Row],[Fault Clearance time]]-Table6[[#This Row],[Work Start TimeStamp]])*24</f>
        <v>0</v>
      </c>
      <c r="T944" s="261">
        <f>(Table6[[#This Row],[Fault Clearance time]]-Table6[[#This Row],[Fault Start TimeStamp]])*24</f>
        <v>0.21666666666666856</v>
      </c>
      <c r="U944" s="35" t="s">
        <v>483</v>
      </c>
      <c r="V944" s="102" t="s">
        <v>268</v>
      </c>
      <c r="W944" s="267">
        <f>IFERROR(Table6[[#This Row],[Breakdown Time]]*Table6[[#This Row],[Plant Equivalent Weightage]],"")</f>
        <v>8.3333333333334043E-3</v>
      </c>
      <c r="X944" s="262" t="s">
        <v>296</v>
      </c>
      <c r="Y944" s="263" t="s">
        <v>140</v>
      </c>
      <c r="Z944" s="102">
        <v>56413</v>
      </c>
      <c r="AA944" s="257">
        <f>(Table6[[#This Row],[Paired WTG Generation for loss calculation]]/24)*Table6[[#This Row],[Breakdown Time]]</f>
        <v>509.28402777778217</v>
      </c>
      <c r="AB944" s="102"/>
      <c r="AC944" s="35"/>
      <c r="AD944" s="35"/>
    </row>
    <row r="945" spans="1:30">
      <c r="A945" s="102">
        <f t="shared" si="15"/>
        <v>944</v>
      </c>
      <c r="B945" s="257">
        <f>YEAR(Table6[[#This Row],[Date]])+IF(MONTH(Table6[[#This Row],[Date]])&gt;=4,1,0)</f>
        <v>2026</v>
      </c>
      <c r="C945" s="102">
        <f>YEAR(Table6[[#This Row],[Date]])</f>
        <v>2025</v>
      </c>
      <c r="D945" s="102" t="s">
        <v>265</v>
      </c>
      <c r="E945" s="258">
        <f>Table6[[#This Row],[Date]]-DAY(Table6[[#This Row],[Date]])+1</f>
        <v>45778</v>
      </c>
      <c r="F945" s="259">
        <v>45807</v>
      </c>
      <c r="G945" s="35" t="s">
        <v>123</v>
      </c>
      <c r="H945" s="35" t="str">
        <f>IFERROR(_xlfn.XLOOKUP(Table6[[#This Row],[Affected WTG]],'Basic Data'!$A:$A,'Basic Data'!$B:$B),"")</f>
        <v>TQGXIIPL</v>
      </c>
      <c r="I945" s="35" t="str">
        <f>IFERROR(_xlfn.XLOOKUP(Table6[[#This Row],[Affected WTG]],'Basic Data'!$A:$A,'Basic Data'!$C:$C),"")</f>
        <v>GEDA</v>
      </c>
      <c r="J945" s="260">
        <f>IFERROR(_xlfn.XLOOKUP(Table6[[#This Row],[Affected WTG]],'Basic Data'!$A:$A,'Basic Data'!$E:$E),"")</f>
        <v>3.846153846153845E-2</v>
      </c>
      <c r="K945" s="102">
        <v>55</v>
      </c>
      <c r="L945" s="35" t="str">
        <f>IFERROR(_xlfn.XLOOKUP(Table6[[#This Row],[Error Code]],'Basic Data'!$AA:$AA,'Basic Data'!$AB:$AB),"Incorrect Error Code")</f>
        <v>WTG shut down</v>
      </c>
      <c r="M945" s="35" t="s">
        <v>266</v>
      </c>
      <c r="N945" s="264"/>
      <c r="O945" s="265">
        <v>0.79791666666666672</v>
      </c>
      <c r="P945" s="265">
        <v>0.81666666666666665</v>
      </c>
      <c r="Q945" s="266">
        <v>0.81666666666666665</v>
      </c>
      <c r="R945" s="261">
        <f>IF(Table6[[#This Row],[Work Start TimeStamp]]="","",(Table6[[#This Row],[Work Start TimeStamp]]-Table6[[#This Row],[Fault Start TimeStamp]])*24)</f>
        <v>0.4499999999999984</v>
      </c>
      <c r="S945" s="261">
        <f>(Table6[[#This Row],[Fault Clearance time]]-Table6[[#This Row],[Work Start TimeStamp]])*24</f>
        <v>0</v>
      </c>
      <c r="T945" s="261">
        <f>(Table6[[#This Row],[Fault Clearance time]]-Table6[[#This Row],[Fault Start TimeStamp]])*24</f>
        <v>0.4499999999999984</v>
      </c>
      <c r="U945" s="35" t="s">
        <v>481</v>
      </c>
      <c r="V945" s="102" t="s">
        <v>268</v>
      </c>
      <c r="W945" s="267">
        <f>IFERROR(Table6[[#This Row],[Breakdown Time]]*Table6[[#This Row],[Plant Equivalent Weightage]],"")</f>
        <v>1.7307692307692239E-2</v>
      </c>
      <c r="X945" s="262" t="s">
        <v>296</v>
      </c>
      <c r="Y945" s="263" t="s">
        <v>117</v>
      </c>
      <c r="Z945" s="102">
        <v>55357</v>
      </c>
      <c r="AA945" s="257">
        <f>(Table6[[#This Row],[Paired WTG Generation for loss calculation]]/24)*Table6[[#This Row],[Breakdown Time]]</f>
        <v>1037.9437499999963</v>
      </c>
      <c r="AB945" s="102"/>
      <c r="AC945" s="35"/>
      <c r="AD945" s="35"/>
    </row>
    <row r="946" spans="1:30">
      <c r="A946" s="102">
        <f t="shared" si="15"/>
        <v>945</v>
      </c>
      <c r="B946" s="257">
        <f>YEAR(Table6[[#This Row],[Date]])+IF(MONTH(Table6[[#This Row],[Date]])&gt;=4,1,0)</f>
        <v>2026</v>
      </c>
      <c r="C946" s="102">
        <f>YEAR(Table6[[#This Row],[Date]])</f>
        <v>2025</v>
      </c>
      <c r="D946" s="102" t="s">
        <v>265</v>
      </c>
      <c r="E946" s="258">
        <f>Table6[[#This Row],[Date]]-DAY(Table6[[#This Row],[Date]])+1</f>
        <v>45778</v>
      </c>
      <c r="F946" s="259">
        <v>45807</v>
      </c>
      <c r="G946" s="35" t="s">
        <v>124</v>
      </c>
      <c r="H946" s="35" t="str">
        <f>IFERROR(_xlfn.XLOOKUP(Table6[[#This Row],[Affected WTG]],'Basic Data'!$A:$A,'Basic Data'!$B:$B),"")</f>
        <v>TQGXIIPL</v>
      </c>
      <c r="I946" s="35" t="str">
        <f>IFERROR(_xlfn.XLOOKUP(Table6[[#This Row],[Affected WTG]],'Basic Data'!$A:$A,'Basic Data'!$C:$C),"")</f>
        <v>GEDA</v>
      </c>
      <c r="J946" s="260">
        <f>IFERROR(_xlfn.XLOOKUP(Table6[[#This Row],[Affected WTG]],'Basic Data'!$A:$A,'Basic Data'!$E:$E),"")</f>
        <v>3.846153846153845E-2</v>
      </c>
      <c r="K946" s="102">
        <v>55</v>
      </c>
      <c r="L946" s="35" t="str">
        <f>IFERROR(_xlfn.XLOOKUP(Table6[[#This Row],[Error Code]],'Basic Data'!$AA:$AA,'Basic Data'!$AB:$AB),"Incorrect Error Code")</f>
        <v>WTG shut down</v>
      </c>
      <c r="M946" s="35" t="s">
        <v>266</v>
      </c>
      <c r="N946" s="264"/>
      <c r="O946" s="265">
        <v>0.79791666666666672</v>
      </c>
      <c r="P946" s="265">
        <v>0.81597222222222221</v>
      </c>
      <c r="Q946" s="266">
        <v>0.81597222222222221</v>
      </c>
      <c r="R946" s="261">
        <f>IF(Table6[[#This Row],[Work Start TimeStamp]]="","",(Table6[[#This Row],[Work Start TimeStamp]]-Table6[[#This Row],[Fault Start TimeStamp]])*24)</f>
        <v>0.43333333333333179</v>
      </c>
      <c r="S946" s="261">
        <f>(Table6[[#This Row],[Fault Clearance time]]-Table6[[#This Row],[Work Start TimeStamp]])*24</f>
        <v>0</v>
      </c>
      <c r="T946" s="261">
        <f>(Table6[[#This Row],[Fault Clearance time]]-Table6[[#This Row],[Fault Start TimeStamp]])*24</f>
        <v>0.43333333333333179</v>
      </c>
      <c r="U946" s="35" t="s">
        <v>481</v>
      </c>
      <c r="V946" s="102" t="s">
        <v>268</v>
      </c>
      <c r="W946" s="267">
        <f>IFERROR(Table6[[#This Row],[Breakdown Time]]*Table6[[#This Row],[Plant Equivalent Weightage]],"")</f>
        <v>1.6666666666666604E-2</v>
      </c>
      <c r="X946" s="262" t="s">
        <v>296</v>
      </c>
      <c r="Y946" s="263" t="s">
        <v>129</v>
      </c>
      <c r="Z946" s="102">
        <v>55209</v>
      </c>
      <c r="AA946" s="257">
        <f>(Table6[[#This Row],[Paired WTG Generation for loss calculation]]/24)*Table6[[#This Row],[Breakdown Time]]</f>
        <v>996.82916666666313</v>
      </c>
      <c r="AB946" s="102"/>
      <c r="AC946" s="35"/>
      <c r="AD946" s="35"/>
    </row>
    <row r="947" spans="1:30">
      <c r="A947" s="102">
        <f t="shared" si="15"/>
        <v>946</v>
      </c>
      <c r="B947" s="257">
        <f>YEAR(Table6[[#This Row],[Date]])+IF(MONTH(Table6[[#This Row],[Date]])&gt;=4,1,0)</f>
        <v>2026</v>
      </c>
      <c r="C947" s="102">
        <f>YEAR(Table6[[#This Row],[Date]])</f>
        <v>2025</v>
      </c>
      <c r="D947" s="102" t="s">
        <v>265</v>
      </c>
      <c r="E947" s="258">
        <f>Table6[[#This Row],[Date]]-DAY(Table6[[#This Row],[Date]])+1</f>
        <v>45778</v>
      </c>
      <c r="F947" s="259">
        <v>45807</v>
      </c>
      <c r="G947" s="35" t="s">
        <v>124</v>
      </c>
      <c r="H947" s="35" t="str">
        <f>IFERROR(_xlfn.XLOOKUP(Table6[[#This Row],[Affected WTG]],'Basic Data'!$A:$A,'Basic Data'!$B:$B),"")</f>
        <v>TQGXIIPL</v>
      </c>
      <c r="I947" s="35" t="str">
        <f>IFERROR(_xlfn.XLOOKUP(Table6[[#This Row],[Affected WTG]],'Basic Data'!$A:$A,'Basic Data'!$C:$C),"")</f>
        <v>GEDA</v>
      </c>
      <c r="J947" s="260">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278</v>
      </c>
      <c r="N947" s="264"/>
      <c r="O947" s="265">
        <v>0.8256944444444444</v>
      </c>
      <c r="P947" s="265">
        <v>0.82708333333333328</v>
      </c>
      <c r="Q947" s="266">
        <v>0.82708333333333328</v>
      </c>
      <c r="R947" s="261">
        <f>IF(Table6[[#This Row],[Work Start TimeStamp]]="","",(Table6[[#This Row],[Work Start TimeStamp]]-Table6[[#This Row],[Fault Start TimeStamp]])*24)</f>
        <v>3.3333333333333215E-2</v>
      </c>
      <c r="S947" s="261">
        <f>(Table6[[#This Row],[Fault Clearance time]]-Table6[[#This Row],[Work Start TimeStamp]])*24</f>
        <v>0</v>
      </c>
      <c r="T947" s="261">
        <f>(Table6[[#This Row],[Fault Clearance time]]-Table6[[#This Row],[Fault Start TimeStamp]])*24</f>
        <v>3.3333333333333215E-2</v>
      </c>
      <c r="U947" s="35" t="s">
        <v>277</v>
      </c>
      <c r="V947" s="102" t="s">
        <v>268</v>
      </c>
      <c r="W947" s="267">
        <f>IFERROR(Table6[[#This Row],[Breakdown Time]]*Table6[[#This Row],[Plant Equivalent Weightage]],"")</f>
        <v>1.2820512820512771E-3</v>
      </c>
      <c r="X947" s="262" t="s">
        <v>269</v>
      </c>
      <c r="Y947" s="263" t="s">
        <v>129</v>
      </c>
      <c r="Z947" s="102">
        <v>55209</v>
      </c>
      <c r="AA947" s="257">
        <f>(Table6[[#This Row],[Paired WTG Generation for loss calculation]]/24)*Table6[[#This Row],[Breakdown Time]]</f>
        <v>76.67916666666639</v>
      </c>
      <c r="AB947" s="102"/>
      <c r="AC947" s="35"/>
      <c r="AD947" s="35"/>
    </row>
    <row r="948" spans="1:30">
      <c r="A948" s="102">
        <f t="shared" si="15"/>
        <v>947</v>
      </c>
      <c r="B948" s="257">
        <f>YEAR(Table6[[#This Row],[Date]])+IF(MONTH(Table6[[#This Row],[Date]])&gt;=4,1,0)</f>
        <v>2026</v>
      </c>
      <c r="C948" s="102">
        <f>YEAR(Table6[[#This Row],[Date]])</f>
        <v>2025</v>
      </c>
      <c r="D948" s="102" t="s">
        <v>265</v>
      </c>
      <c r="E948" s="258">
        <f>Table6[[#This Row],[Date]]-DAY(Table6[[#This Row],[Date]])+1</f>
        <v>45778</v>
      </c>
      <c r="F948" s="259">
        <v>45807</v>
      </c>
      <c r="G948" s="35" t="s">
        <v>126</v>
      </c>
      <c r="H948" s="35" t="str">
        <f>IFERROR(_xlfn.XLOOKUP(Table6[[#This Row],[Affected WTG]],'Basic Data'!$A:$A,'Basic Data'!$B:$B),"")</f>
        <v>TQGXIIPL</v>
      </c>
      <c r="I948" s="35" t="str">
        <f>IFERROR(_xlfn.XLOOKUP(Table6[[#This Row],[Affected WTG]],'Basic Data'!$A:$A,'Basic Data'!$C:$C),"")</f>
        <v>GEDA</v>
      </c>
      <c r="J948" s="260">
        <f>IFERROR(_xlfn.XLOOKUP(Table6[[#This Row],[Affected WTG]],'Basic Data'!$A:$A,'Basic Data'!$E:$E),"")</f>
        <v>3.846153846153845E-2</v>
      </c>
      <c r="K948" s="102">
        <v>1700</v>
      </c>
      <c r="L948" s="35" t="str">
        <f>IFERROR(_xlfn.XLOOKUP(Table6[[#This Row],[Error Code]],'Basic Data'!$AA:$AA,'Basic Data'!$AB:$AB),"Incorrect Error Code")</f>
        <v>High temp. gear bearing 1</v>
      </c>
      <c r="M948" s="35" t="s">
        <v>278</v>
      </c>
      <c r="N948" s="264"/>
      <c r="O948" s="265">
        <v>0.67222222222222228</v>
      </c>
      <c r="P948" s="265">
        <v>0.6743055555555556</v>
      </c>
      <c r="Q948" s="266">
        <v>0.6743055555555556</v>
      </c>
      <c r="R948" s="261">
        <f>IF(Table6[[#This Row],[Work Start TimeStamp]]="","",(Table6[[#This Row],[Work Start TimeStamp]]-Table6[[#This Row],[Fault Start TimeStamp]])*24)</f>
        <v>4.9999999999999822E-2</v>
      </c>
      <c r="S948" s="261">
        <f>(Table6[[#This Row],[Fault Clearance time]]-Table6[[#This Row],[Work Start TimeStamp]])*24</f>
        <v>0</v>
      </c>
      <c r="T948" s="261">
        <f>(Table6[[#This Row],[Fault Clearance time]]-Table6[[#This Row],[Fault Start TimeStamp]])*24</f>
        <v>4.9999999999999822E-2</v>
      </c>
      <c r="U948" s="35" t="s">
        <v>277</v>
      </c>
      <c r="V948" s="102" t="s">
        <v>268</v>
      </c>
      <c r="W948" s="267">
        <f>IFERROR(Table6[[#This Row],[Breakdown Time]]*Table6[[#This Row],[Plant Equivalent Weightage]],"")</f>
        <v>1.9230769230769156E-3</v>
      </c>
      <c r="X948" s="262" t="s">
        <v>269</v>
      </c>
      <c r="Y948" s="263" t="s">
        <v>128</v>
      </c>
      <c r="Z948" s="102">
        <v>55074</v>
      </c>
      <c r="AA948" s="257">
        <f>(Table6[[#This Row],[Paired WTG Generation for loss calculation]]/24)*Table6[[#This Row],[Breakdown Time]]</f>
        <v>114.7374999999996</v>
      </c>
      <c r="AB948" s="102"/>
      <c r="AC948" s="35"/>
      <c r="AD948" s="35"/>
    </row>
    <row r="949" spans="1:30">
      <c r="A949" s="102">
        <f t="shared" si="15"/>
        <v>948</v>
      </c>
      <c r="B949" s="257">
        <f>YEAR(Table6[[#This Row],[Date]])+IF(MONTH(Table6[[#This Row],[Date]])&gt;=4,1,0)</f>
        <v>2026</v>
      </c>
      <c r="C949" s="102">
        <f>YEAR(Table6[[#This Row],[Date]])</f>
        <v>2025</v>
      </c>
      <c r="D949" s="102" t="s">
        <v>265</v>
      </c>
      <c r="E949" s="258">
        <f>Table6[[#This Row],[Date]]-DAY(Table6[[#This Row],[Date]])+1</f>
        <v>45778</v>
      </c>
      <c r="F949" s="259">
        <v>45807</v>
      </c>
      <c r="G949" s="35" t="s">
        <v>126</v>
      </c>
      <c r="H949" s="35" t="str">
        <f>IFERROR(_xlfn.XLOOKUP(Table6[[#This Row],[Affected WTG]],'Basic Data'!$A:$A,'Basic Data'!$B:$B),"")</f>
        <v>TQGXIIPL</v>
      </c>
      <c r="I949" s="35" t="str">
        <f>IFERROR(_xlfn.XLOOKUP(Table6[[#This Row],[Affected WTG]],'Basic Data'!$A:$A,'Basic Data'!$C:$C),"")</f>
        <v>GEDA</v>
      </c>
      <c r="J949" s="260">
        <f>IFERROR(_xlfn.XLOOKUP(Table6[[#This Row],[Affected WTG]],'Basic Data'!$A:$A,'Basic Data'!$E:$E),"")</f>
        <v>3.846153846153845E-2</v>
      </c>
      <c r="K949" s="102">
        <v>1700</v>
      </c>
      <c r="L949" s="35" t="str">
        <f>IFERROR(_xlfn.XLOOKUP(Table6[[#This Row],[Error Code]],'Basic Data'!$AA:$AA,'Basic Data'!$AB:$AB),"Incorrect Error Code")</f>
        <v>High temp. gear bearing 1</v>
      </c>
      <c r="M949" s="35" t="s">
        <v>266</v>
      </c>
      <c r="N949" s="264"/>
      <c r="O949" s="265">
        <v>0.75902777777777775</v>
      </c>
      <c r="P949" s="265">
        <v>0.77013888888888893</v>
      </c>
      <c r="Q949" s="266">
        <v>0.77013888888888893</v>
      </c>
      <c r="R949" s="261">
        <f>IF(Table6[[#This Row],[Work Start TimeStamp]]="","",(Table6[[#This Row],[Work Start TimeStamp]]-Table6[[#This Row],[Fault Start TimeStamp]])*24)</f>
        <v>0.26666666666666838</v>
      </c>
      <c r="S949" s="261">
        <f>(Table6[[#This Row],[Fault Clearance time]]-Table6[[#This Row],[Work Start TimeStamp]])*24</f>
        <v>0</v>
      </c>
      <c r="T949" s="261">
        <f>(Table6[[#This Row],[Fault Clearance time]]-Table6[[#This Row],[Fault Start TimeStamp]])*24</f>
        <v>0.26666666666666838</v>
      </c>
      <c r="U949" s="35" t="s">
        <v>483</v>
      </c>
      <c r="V949" s="102" t="s">
        <v>268</v>
      </c>
      <c r="W949" s="267">
        <f>IFERROR(Table6[[#This Row],[Breakdown Time]]*Table6[[#This Row],[Plant Equivalent Weightage]],"")</f>
        <v>1.0256410256410319E-2</v>
      </c>
      <c r="X949" s="262" t="s">
        <v>296</v>
      </c>
      <c r="Y949" s="263" t="s">
        <v>128</v>
      </c>
      <c r="Z949" s="102">
        <v>55074</v>
      </c>
      <c r="AA949" s="257">
        <f>(Table6[[#This Row],[Paired WTG Generation for loss calculation]]/24)*Table6[[#This Row],[Breakdown Time]]</f>
        <v>611.93333333333726</v>
      </c>
      <c r="AB949" s="102"/>
      <c r="AC949" s="35"/>
      <c r="AD949" s="35"/>
    </row>
    <row r="950" spans="1:30">
      <c r="A950" s="102">
        <f t="shared" si="15"/>
        <v>949</v>
      </c>
      <c r="B950" s="257">
        <f>YEAR(Table6[[#This Row],[Date]])+IF(MONTH(Table6[[#This Row],[Date]])&gt;=4,1,0)</f>
        <v>2026</v>
      </c>
      <c r="C950" s="102">
        <f>YEAR(Table6[[#This Row],[Date]])</f>
        <v>2025</v>
      </c>
      <c r="D950" s="102" t="s">
        <v>265</v>
      </c>
      <c r="E950" s="258">
        <f>Table6[[#This Row],[Date]]-DAY(Table6[[#This Row],[Date]])+1</f>
        <v>45778</v>
      </c>
      <c r="F950" s="259">
        <v>45807</v>
      </c>
      <c r="G950" s="35" t="s">
        <v>126</v>
      </c>
      <c r="H950" s="35" t="str">
        <f>IFERROR(_xlfn.XLOOKUP(Table6[[#This Row],[Affected WTG]],'Basic Data'!$A:$A,'Basic Data'!$B:$B),"")</f>
        <v>TQGXIIPL</v>
      </c>
      <c r="I950" s="35" t="str">
        <f>IFERROR(_xlfn.XLOOKUP(Table6[[#This Row],[Affected WTG]],'Basic Data'!$A:$A,'Basic Data'!$C:$C),"")</f>
        <v>GEDA</v>
      </c>
      <c r="J950" s="260">
        <f>IFERROR(_xlfn.XLOOKUP(Table6[[#This Row],[Affected WTG]],'Basic Data'!$A:$A,'Basic Data'!$E:$E),"")</f>
        <v>3.846153846153845E-2</v>
      </c>
      <c r="K950" s="102">
        <v>55</v>
      </c>
      <c r="L950" s="35" t="str">
        <f>IFERROR(_xlfn.XLOOKUP(Table6[[#This Row],[Error Code]],'Basic Data'!$AA:$AA,'Basic Data'!$AB:$AB),"Incorrect Error Code")</f>
        <v>WTG shut down</v>
      </c>
      <c r="M950" s="35" t="s">
        <v>266</v>
      </c>
      <c r="N950" s="264"/>
      <c r="O950" s="265">
        <v>0.7993055555555556</v>
      </c>
      <c r="P950" s="265">
        <v>0.81388888888888888</v>
      </c>
      <c r="Q950" s="266">
        <v>0.81388888888888888</v>
      </c>
      <c r="R950" s="261">
        <f>IF(Table6[[#This Row],[Work Start TimeStamp]]="","",(Table6[[#This Row],[Work Start TimeStamp]]-Table6[[#This Row],[Fault Start TimeStamp]])*24)</f>
        <v>0.34999999999999876</v>
      </c>
      <c r="S950" s="261">
        <f>(Table6[[#This Row],[Fault Clearance time]]-Table6[[#This Row],[Work Start TimeStamp]])*24</f>
        <v>0</v>
      </c>
      <c r="T950" s="261">
        <f>(Table6[[#This Row],[Fault Clearance time]]-Table6[[#This Row],[Fault Start TimeStamp]])*24</f>
        <v>0.34999999999999876</v>
      </c>
      <c r="U950" s="35" t="s">
        <v>481</v>
      </c>
      <c r="V950" s="102" t="s">
        <v>268</v>
      </c>
      <c r="W950" s="267">
        <f>IFERROR(Table6[[#This Row],[Breakdown Time]]*Table6[[#This Row],[Plant Equivalent Weightage]],"")</f>
        <v>1.346153846153841E-2</v>
      </c>
      <c r="X950" s="262" t="s">
        <v>296</v>
      </c>
      <c r="Y950" s="263" t="s">
        <v>128</v>
      </c>
      <c r="Z950" s="102">
        <v>55074</v>
      </c>
      <c r="AA950" s="257">
        <f>(Table6[[#This Row],[Paired WTG Generation for loss calculation]]/24)*Table6[[#This Row],[Breakdown Time]]</f>
        <v>803.16249999999718</v>
      </c>
      <c r="AB950" s="102"/>
      <c r="AC950" s="35"/>
      <c r="AD950" s="35"/>
    </row>
    <row r="951" spans="1:30">
      <c r="A951" s="102">
        <f t="shared" si="15"/>
        <v>950</v>
      </c>
      <c r="B951" s="257">
        <f>YEAR(Table6[[#This Row],[Date]])+IF(MONTH(Table6[[#This Row],[Date]])&gt;=4,1,0)</f>
        <v>2026</v>
      </c>
      <c r="C951" s="102">
        <f>YEAR(Table6[[#This Row],[Date]])</f>
        <v>2025</v>
      </c>
      <c r="D951" s="102" t="s">
        <v>265</v>
      </c>
      <c r="E951" s="258">
        <f>Table6[[#This Row],[Date]]-DAY(Table6[[#This Row],[Date]])+1</f>
        <v>45778</v>
      </c>
      <c r="F951" s="259">
        <v>45807</v>
      </c>
      <c r="G951" s="35" t="s">
        <v>128</v>
      </c>
      <c r="H951" s="35" t="str">
        <f>IFERROR(_xlfn.XLOOKUP(Table6[[#This Row],[Affected WTG]],'Basic Data'!$A:$A,'Basic Data'!$B:$B),"")</f>
        <v>TQGXIIPL</v>
      </c>
      <c r="I951" s="35" t="str">
        <f>IFERROR(_xlfn.XLOOKUP(Table6[[#This Row],[Affected WTG]],'Basic Data'!$A:$A,'Basic Data'!$C:$C),"")</f>
        <v>GEDA</v>
      </c>
      <c r="J951" s="260">
        <f>IFERROR(_xlfn.XLOOKUP(Table6[[#This Row],[Affected WTG]],'Basic Data'!$A:$A,'Basic Data'!$E:$E),"")</f>
        <v>3.846153846153845E-2</v>
      </c>
      <c r="K951" s="102">
        <v>55</v>
      </c>
      <c r="L951" s="35" t="str">
        <f>IFERROR(_xlfn.XLOOKUP(Table6[[#This Row],[Error Code]],'Basic Data'!$AA:$AA,'Basic Data'!$AB:$AB),"Incorrect Error Code")</f>
        <v>WTG shut down</v>
      </c>
      <c r="M951" s="35" t="s">
        <v>266</v>
      </c>
      <c r="N951" s="264"/>
      <c r="O951" s="265">
        <v>0.7993055555555556</v>
      </c>
      <c r="P951" s="265">
        <v>0.81180555555555556</v>
      </c>
      <c r="Q951" s="266">
        <v>0.81180555555555556</v>
      </c>
      <c r="R951" s="261">
        <f>IF(Table6[[#This Row],[Work Start TimeStamp]]="","",(Table6[[#This Row],[Work Start TimeStamp]]-Table6[[#This Row],[Fault Start TimeStamp]])*24)</f>
        <v>0.29999999999999893</v>
      </c>
      <c r="S951" s="261">
        <f>(Table6[[#This Row],[Fault Clearance time]]-Table6[[#This Row],[Work Start TimeStamp]])*24</f>
        <v>0</v>
      </c>
      <c r="T951" s="261">
        <f>(Table6[[#This Row],[Fault Clearance time]]-Table6[[#This Row],[Fault Start TimeStamp]])*24</f>
        <v>0.29999999999999893</v>
      </c>
      <c r="U951" s="35" t="s">
        <v>481</v>
      </c>
      <c r="V951" s="102" t="s">
        <v>268</v>
      </c>
      <c r="W951" s="267">
        <f>IFERROR(Table6[[#This Row],[Breakdown Time]]*Table6[[#This Row],[Plant Equivalent Weightage]],"")</f>
        <v>1.1538461538461494E-2</v>
      </c>
      <c r="X951" s="262" t="s">
        <v>296</v>
      </c>
      <c r="Y951" s="263" t="s">
        <v>126</v>
      </c>
      <c r="Z951" s="102">
        <v>54494</v>
      </c>
      <c r="AA951" s="257">
        <f>(Table6[[#This Row],[Paired WTG Generation for loss calculation]]/24)*Table6[[#This Row],[Breakdown Time]]</f>
        <v>681.17499999999768</v>
      </c>
      <c r="AB951" s="102"/>
      <c r="AC951" s="35"/>
      <c r="AD951" s="35"/>
    </row>
    <row r="952" spans="1:30">
      <c r="A952" s="102">
        <f t="shared" si="15"/>
        <v>951</v>
      </c>
      <c r="B952" s="257">
        <f>YEAR(Table6[[#This Row],[Date]])+IF(MONTH(Table6[[#This Row],[Date]])&gt;=4,1,0)</f>
        <v>2026</v>
      </c>
      <c r="C952" s="102">
        <f>YEAR(Table6[[#This Row],[Date]])</f>
        <v>2025</v>
      </c>
      <c r="D952" s="102" t="s">
        <v>265</v>
      </c>
      <c r="E952" s="258">
        <f>Table6[[#This Row],[Date]]-DAY(Table6[[#This Row],[Date]])+1</f>
        <v>45778</v>
      </c>
      <c r="F952" s="259">
        <v>45807</v>
      </c>
      <c r="G952" s="35" t="s">
        <v>131</v>
      </c>
      <c r="H952" s="35" t="str">
        <f>IFERROR(_xlfn.XLOOKUP(Table6[[#This Row],[Affected WTG]],'Basic Data'!$A:$A,'Basic Data'!$B:$B),"")</f>
        <v>TQGXIIPL</v>
      </c>
      <c r="I952" s="35" t="str">
        <f>IFERROR(_xlfn.XLOOKUP(Table6[[#This Row],[Affected WTG]],'Basic Data'!$A:$A,'Basic Data'!$C:$C),"")</f>
        <v>GEDA</v>
      </c>
      <c r="J952" s="260">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266</v>
      </c>
      <c r="N952" s="264"/>
      <c r="O952" s="265">
        <v>4.6527777777777779E-2</v>
      </c>
      <c r="P952" s="265">
        <v>0.11180555555555556</v>
      </c>
      <c r="Q952" s="266">
        <v>0.15277777777777779</v>
      </c>
      <c r="R952" s="261">
        <f>IF(Table6[[#This Row],[Work Start TimeStamp]]="","",(Table6[[#This Row],[Work Start TimeStamp]]-Table6[[#This Row],[Fault Start TimeStamp]])*24)</f>
        <v>1.5666666666666669</v>
      </c>
      <c r="S952" s="261">
        <f>(Table6[[#This Row],[Fault Clearance time]]-Table6[[#This Row],[Work Start TimeStamp]])*24</f>
        <v>0.9833333333333335</v>
      </c>
      <c r="T952" s="261">
        <f>(Table6[[#This Row],[Fault Clearance time]]-Table6[[#This Row],[Fault Start TimeStamp]])*24</f>
        <v>2.5500000000000003</v>
      </c>
      <c r="U952" s="35" t="s">
        <v>484</v>
      </c>
      <c r="V952" s="102" t="s">
        <v>268</v>
      </c>
      <c r="W952" s="267">
        <f>IFERROR(Table6[[#This Row],[Breakdown Time]]*Table6[[#This Row],[Plant Equivalent Weightage]],"")</f>
        <v>9.8076923076923062E-2</v>
      </c>
      <c r="X952" s="262" t="s">
        <v>296</v>
      </c>
      <c r="Y952" s="263" t="s">
        <v>136</v>
      </c>
      <c r="Z952" s="102">
        <v>57090</v>
      </c>
      <c r="AA952" s="257">
        <f>(Table6[[#This Row],[Paired WTG Generation for loss calculation]]/24)*Table6[[#This Row],[Breakdown Time]]</f>
        <v>6065.8125000000009</v>
      </c>
      <c r="AB952" s="102"/>
      <c r="AC952" s="35"/>
      <c r="AD952" s="35"/>
    </row>
    <row r="953" spans="1:30">
      <c r="A953" s="102">
        <f t="shared" si="15"/>
        <v>952</v>
      </c>
      <c r="B953" s="257">
        <f>YEAR(Table6[[#This Row],[Date]])+IF(MONTH(Table6[[#This Row],[Date]])&gt;=4,1,0)</f>
        <v>2026</v>
      </c>
      <c r="C953" s="102">
        <f>YEAR(Table6[[#This Row],[Date]])</f>
        <v>2025</v>
      </c>
      <c r="D953" s="102" t="s">
        <v>265</v>
      </c>
      <c r="E953" s="258">
        <f>Table6[[#This Row],[Date]]-DAY(Table6[[#This Row],[Date]])+1</f>
        <v>45778</v>
      </c>
      <c r="F953" s="259">
        <v>45807</v>
      </c>
      <c r="G953" s="35" t="s">
        <v>131</v>
      </c>
      <c r="H953" s="35" t="str">
        <f>IFERROR(_xlfn.XLOOKUP(Table6[[#This Row],[Affected WTG]],'Basic Data'!$A:$A,'Basic Data'!$B:$B),"")</f>
        <v>TQGXIIPL</v>
      </c>
      <c r="I953" s="35" t="str">
        <f>IFERROR(_xlfn.XLOOKUP(Table6[[#This Row],[Affected WTG]],'Basic Data'!$A:$A,'Basic Data'!$C:$C),"")</f>
        <v>GEDA</v>
      </c>
      <c r="J953" s="260">
        <f>IFERROR(_xlfn.XLOOKUP(Table6[[#This Row],[Affected WTG]],'Basic Data'!$A:$A,'Basic Data'!$E:$E),"")</f>
        <v>3.846153846153845E-2</v>
      </c>
      <c r="K953" s="102">
        <v>175</v>
      </c>
      <c r="L953" s="35" t="str">
        <f>IFERROR(_xlfn.XLOOKUP(Table6[[#This Row],[Error Code]],'Basic Data'!$AA:$AA,'Basic Data'!$AB:$AB),"Incorrect Error Code")</f>
        <v>SLC error</v>
      </c>
      <c r="M953" s="35" t="s">
        <v>266</v>
      </c>
      <c r="N953" s="264"/>
      <c r="O953" s="265">
        <v>0.49583333333333335</v>
      </c>
      <c r="P953" s="265">
        <v>0.49861111111111112</v>
      </c>
      <c r="Q953" s="266">
        <v>0.49861111111111112</v>
      </c>
      <c r="R953" s="261">
        <f>IF(Table6[[#This Row],[Work Start TimeStamp]]="","",(Table6[[#This Row],[Work Start TimeStamp]]-Table6[[#This Row],[Fault Start TimeStamp]])*24)</f>
        <v>6.666666666666643E-2</v>
      </c>
      <c r="S953" s="261">
        <f>(Table6[[#This Row],[Fault Clearance time]]-Table6[[#This Row],[Work Start TimeStamp]])*24</f>
        <v>0</v>
      </c>
      <c r="T953" s="261">
        <f>(Table6[[#This Row],[Fault Clearance time]]-Table6[[#This Row],[Fault Start TimeStamp]])*24</f>
        <v>6.666666666666643E-2</v>
      </c>
      <c r="U953" s="35" t="s">
        <v>483</v>
      </c>
      <c r="V953" s="102" t="s">
        <v>268</v>
      </c>
      <c r="W953" s="267">
        <f>IFERROR(Table6[[#This Row],[Breakdown Time]]*Table6[[#This Row],[Plant Equivalent Weightage]],"")</f>
        <v>2.5641025641025541E-3</v>
      </c>
      <c r="X953" s="262" t="s">
        <v>296</v>
      </c>
      <c r="Y953" s="263" t="s">
        <v>136</v>
      </c>
      <c r="Z953" s="102">
        <v>57090</v>
      </c>
      <c r="AA953" s="257">
        <f>(Table6[[#This Row],[Paired WTG Generation for loss calculation]]/24)*Table6[[#This Row],[Breakdown Time]]</f>
        <v>158.58333333333277</v>
      </c>
      <c r="AB953" s="102"/>
      <c r="AC953" s="35"/>
      <c r="AD953" s="35"/>
    </row>
    <row r="954" spans="1:30">
      <c r="A954" s="102">
        <f t="shared" si="15"/>
        <v>953</v>
      </c>
      <c r="B954" s="257">
        <f>YEAR(Table6[[#This Row],[Date]])+IF(MONTH(Table6[[#This Row],[Date]])&gt;=4,1,0)</f>
        <v>2026</v>
      </c>
      <c r="C954" s="102">
        <f>YEAR(Table6[[#This Row],[Date]])</f>
        <v>2025</v>
      </c>
      <c r="D954" s="102" t="s">
        <v>265</v>
      </c>
      <c r="E954" s="258">
        <f>Table6[[#This Row],[Date]]-DAY(Table6[[#This Row],[Date]])+1</f>
        <v>45778</v>
      </c>
      <c r="F954" s="259">
        <v>45807</v>
      </c>
      <c r="G954" s="35" t="s">
        <v>131</v>
      </c>
      <c r="H954" s="35" t="str">
        <f>IFERROR(_xlfn.XLOOKUP(Table6[[#This Row],[Affected WTG]],'Basic Data'!$A:$A,'Basic Data'!$B:$B),"")</f>
        <v>TQGXIIPL</v>
      </c>
      <c r="I954" s="35" t="str">
        <f>IFERROR(_xlfn.XLOOKUP(Table6[[#This Row],[Affected WTG]],'Basic Data'!$A:$A,'Basic Data'!$C:$C),"")</f>
        <v>GEDA</v>
      </c>
      <c r="J954" s="260">
        <f>IFERROR(_xlfn.XLOOKUP(Table6[[#This Row],[Affected WTG]],'Basic Data'!$A:$A,'Basic Data'!$E:$E),"")</f>
        <v>3.846153846153845E-2</v>
      </c>
      <c r="K954" s="102">
        <v>3110</v>
      </c>
      <c r="L954" s="35" t="str">
        <f>IFERROR(_xlfn.XLOOKUP(Table6[[#This Row],[Error Code]],'Basic Data'!$AA:$AA,'Basic Data'!$AB:$AB),"Incorrect Error Code")</f>
        <v>Frequency converter error</v>
      </c>
      <c r="M954" s="35" t="s">
        <v>266</v>
      </c>
      <c r="N954" s="264"/>
      <c r="O954" s="265">
        <v>0.72361111111111109</v>
      </c>
      <c r="P954" s="265">
        <v>0.73611111111111116</v>
      </c>
      <c r="Q954" s="266">
        <v>0.73611111111111116</v>
      </c>
      <c r="R954" s="261">
        <f>IF(Table6[[#This Row],[Work Start TimeStamp]]="","",(Table6[[#This Row],[Work Start TimeStamp]]-Table6[[#This Row],[Fault Start TimeStamp]])*24)</f>
        <v>0.3000000000000016</v>
      </c>
      <c r="S954" s="261">
        <f>(Table6[[#This Row],[Fault Clearance time]]-Table6[[#This Row],[Work Start TimeStamp]])*24</f>
        <v>0</v>
      </c>
      <c r="T954" s="261">
        <f>(Table6[[#This Row],[Fault Clearance time]]-Table6[[#This Row],[Fault Start TimeStamp]])*24</f>
        <v>0.3000000000000016</v>
      </c>
      <c r="U954" s="35" t="s">
        <v>483</v>
      </c>
      <c r="V954" s="102" t="s">
        <v>268</v>
      </c>
      <c r="W954" s="267">
        <f>IFERROR(Table6[[#This Row],[Breakdown Time]]*Table6[[#This Row],[Plant Equivalent Weightage]],"")</f>
        <v>1.1538461538461596E-2</v>
      </c>
      <c r="X954" s="262" t="s">
        <v>296</v>
      </c>
      <c r="Y954" s="263" t="s">
        <v>136</v>
      </c>
      <c r="Z954" s="102">
        <v>57090</v>
      </c>
      <c r="AA954" s="257">
        <f>(Table6[[#This Row],[Paired WTG Generation for loss calculation]]/24)*Table6[[#This Row],[Breakdown Time]]</f>
        <v>713.62500000000375</v>
      </c>
      <c r="AB954" s="102"/>
      <c r="AC954" s="35"/>
      <c r="AD954" s="35"/>
    </row>
    <row r="955" spans="1:30">
      <c r="A955" s="102">
        <f t="shared" si="15"/>
        <v>954</v>
      </c>
      <c r="B955" s="257">
        <f>YEAR(Table6[[#This Row],[Date]])+IF(MONTH(Table6[[#This Row],[Date]])&gt;=4,1,0)</f>
        <v>2026</v>
      </c>
      <c r="C955" s="102">
        <f>YEAR(Table6[[#This Row],[Date]])</f>
        <v>2025</v>
      </c>
      <c r="D955" s="102" t="s">
        <v>265</v>
      </c>
      <c r="E955" s="258">
        <f>Table6[[#This Row],[Date]]-DAY(Table6[[#This Row],[Date]])+1</f>
        <v>45778</v>
      </c>
      <c r="F955" s="259">
        <v>45807</v>
      </c>
      <c r="G955" s="35" t="s">
        <v>132</v>
      </c>
      <c r="H955" s="35" t="str">
        <f>IFERROR(_xlfn.XLOOKUP(Table6[[#This Row],[Affected WTG]],'Basic Data'!$A:$A,'Basic Data'!$B:$B),"")</f>
        <v>TQGXIIPL</v>
      </c>
      <c r="I955" s="35" t="str">
        <f>IFERROR(_xlfn.XLOOKUP(Table6[[#This Row],[Affected WTG]],'Basic Data'!$A:$A,'Basic Data'!$C:$C),"")</f>
        <v>GEDA</v>
      </c>
      <c r="J955" s="260">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266</v>
      </c>
      <c r="N955" s="264"/>
      <c r="O955" s="265">
        <v>0.64236111111111116</v>
      </c>
      <c r="P955" s="265">
        <v>0.65069444444444446</v>
      </c>
      <c r="Q955" s="266">
        <v>0.65069444444444446</v>
      </c>
      <c r="R955" s="261">
        <f>IF(Table6[[#This Row],[Work Start TimeStamp]]="","",(Table6[[#This Row],[Work Start TimeStamp]]-Table6[[#This Row],[Fault Start TimeStamp]])*24)</f>
        <v>0.19999999999999929</v>
      </c>
      <c r="S955" s="261">
        <f>(Table6[[#This Row],[Fault Clearance time]]-Table6[[#This Row],[Work Start TimeStamp]])*24</f>
        <v>0</v>
      </c>
      <c r="T955" s="261">
        <f>(Table6[[#This Row],[Fault Clearance time]]-Table6[[#This Row],[Fault Start TimeStamp]])*24</f>
        <v>0.19999999999999929</v>
      </c>
      <c r="U955" s="35" t="s">
        <v>483</v>
      </c>
      <c r="V955" s="102" t="s">
        <v>268</v>
      </c>
      <c r="W955" s="267">
        <f>IFERROR(Table6[[#This Row],[Breakdown Time]]*Table6[[#This Row],[Plant Equivalent Weightage]],"")</f>
        <v>7.6923076923076624E-3</v>
      </c>
      <c r="X955" s="262" t="s">
        <v>296</v>
      </c>
      <c r="Y955" s="263" t="s">
        <v>120</v>
      </c>
      <c r="Z955" s="102">
        <v>55099</v>
      </c>
      <c r="AA955" s="257">
        <f>(Table6[[#This Row],[Paired WTG Generation for loss calculation]]/24)*Table6[[#This Row],[Breakdown Time]]</f>
        <v>459.15833333333165</v>
      </c>
      <c r="AB955" s="102"/>
      <c r="AC955" s="35"/>
      <c r="AD955" s="35"/>
    </row>
    <row r="956" spans="1:30">
      <c r="A956" s="102">
        <f t="shared" si="15"/>
        <v>955</v>
      </c>
      <c r="B956" s="257">
        <f>YEAR(Table6[[#This Row],[Date]])+IF(MONTH(Table6[[#This Row],[Date]])&gt;=4,1,0)</f>
        <v>2026</v>
      </c>
      <c r="C956" s="102">
        <f>YEAR(Table6[[#This Row],[Date]])</f>
        <v>2025</v>
      </c>
      <c r="D956" s="102" t="s">
        <v>265</v>
      </c>
      <c r="E956" s="258">
        <f>Table6[[#This Row],[Date]]-DAY(Table6[[#This Row],[Date]])+1</f>
        <v>45778</v>
      </c>
      <c r="F956" s="259">
        <v>45807</v>
      </c>
      <c r="G956" s="35" t="s">
        <v>133</v>
      </c>
      <c r="H956" s="35" t="str">
        <f>IFERROR(_xlfn.XLOOKUP(Table6[[#This Row],[Affected WTG]],'Basic Data'!$A:$A,'Basic Data'!$B:$B),"")</f>
        <v>TQGXIIPL</v>
      </c>
      <c r="I956" s="35" t="str">
        <f>IFERROR(_xlfn.XLOOKUP(Table6[[#This Row],[Affected WTG]],'Basic Data'!$A:$A,'Basic Data'!$C:$C),"")</f>
        <v>GEDA</v>
      </c>
      <c r="J956" s="260">
        <f>IFERROR(_xlfn.XLOOKUP(Table6[[#This Row],[Affected WTG]],'Basic Data'!$A:$A,'Basic Data'!$E:$E),"")</f>
        <v>3.846153846153845E-2</v>
      </c>
      <c r="K956" s="102">
        <v>6605</v>
      </c>
      <c r="L956" s="35" t="str">
        <f>IFERROR(_xlfn.XLOOKUP(Table6[[#This Row],[Error Code]],'Basic Data'!$AA:$AA,'Basic Data'!$AB:$AB),"Incorrect Error Code")</f>
        <v>Wind.dir. diff. level 2</v>
      </c>
      <c r="M956" s="35" t="s">
        <v>278</v>
      </c>
      <c r="N956" s="264"/>
      <c r="O956" s="265">
        <v>0.55208333333333337</v>
      </c>
      <c r="P956" s="265">
        <v>0.55277777777777781</v>
      </c>
      <c r="Q956" s="266">
        <v>0.55277777777777781</v>
      </c>
      <c r="R956" s="261">
        <f>IF(Table6[[#This Row],[Work Start TimeStamp]]="","",(Table6[[#This Row],[Work Start TimeStamp]]-Table6[[#This Row],[Fault Start TimeStamp]])*24)</f>
        <v>1.6666666666666607E-2</v>
      </c>
      <c r="S956" s="261">
        <f>(Table6[[#This Row],[Fault Clearance time]]-Table6[[#This Row],[Work Start TimeStamp]])*24</f>
        <v>0</v>
      </c>
      <c r="T956" s="261">
        <f>(Table6[[#This Row],[Fault Clearance time]]-Table6[[#This Row],[Fault Start TimeStamp]])*24</f>
        <v>1.6666666666666607E-2</v>
      </c>
      <c r="U956" s="35" t="s">
        <v>277</v>
      </c>
      <c r="V956" s="102" t="s">
        <v>268</v>
      </c>
      <c r="W956" s="267">
        <f>IFERROR(Table6[[#This Row],[Breakdown Time]]*Table6[[#This Row],[Plant Equivalent Weightage]],"")</f>
        <v>6.4102564102563853E-4</v>
      </c>
      <c r="X956" s="262" t="s">
        <v>269</v>
      </c>
      <c r="Y956" s="263" t="s">
        <v>121</v>
      </c>
      <c r="Z956" s="102">
        <v>52504</v>
      </c>
      <c r="AA956" s="257">
        <f>(Table6[[#This Row],[Paired WTG Generation for loss calculation]]/24)*Table6[[#This Row],[Breakdown Time]]</f>
        <v>36.461111111110981</v>
      </c>
      <c r="AB956" s="102"/>
      <c r="AC956" s="35"/>
      <c r="AD956" s="35"/>
    </row>
    <row r="957" spans="1:30">
      <c r="A957" s="102">
        <f t="shared" si="15"/>
        <v>956</v>
      </c>
      <c r="B957" s="257">
        <f>YEAR(Table6[[#This Row],[Date]])+IF(MONTH(Table6[[#This Row],[Date]])&gt;=4,1,0)</f>
        <v>2026</v>
      </c>
      <c r="C957" s="102">
        <f>YEAR(Table6[[#This Row],[Date]])</f>
        <v>2025</v>
      </c>
      <c r="D957" s="102" t="s">
        <v>265</v>
      </c>
      <c r="E957" s="258">
        <f>Table6[[#This Row],[Date]]-DAY(Table6[[#This Row],[Date]])+1</f>
        <v>45778</v>
      </c>
      <c r="F957" s="259">
        <v>45807</v>
      </c>
      <c r="G957" s="35" t="s">
        <v>133</v>
      </c>
      <c r="H957" s="35" t="str">
        <f>IFERROR(_xlfn.XLOOKUP(Table6[[#This Row],[Affected WTG]],'Basic Data'!$A:$A,'Basic Data'!$B:$B),"")</f>
        <v>TQGXIIPL</v>
      </c>
      <c r="I957" s="35" t="str">
        <f>IFERROR(_xlfn.XLOOKUP(Table6[[#This Row],[Affected WTG]],'Basic Data'!$A:$A,'Basic Data'!$C:$C),"")</f>
        <v>GEDA</v>
      </c>
      <c r="J957" s="260">
        <f>IFERROR(_xlfn.XLOOKUP(Table6[[#This Row],[Affected WTG]],'Basic Data'!$A:$A,'Basic Data'!$E:$E),"")</f>
        <v>3.846153846153845E-2</v>
      </c>
      <c r="K957" s="102">
        <v>1700</v>
      </c>
      <c r="L957" s="35" t="str">
        <f>IFERROR(_xlfn.XLOOKUP(Table6[[#This Row],[Error Code]],'Basic Data'!$AA:$AA,'Basic Data'!$AB:$AB),"Incorrect Error Code")</f>
        <v>High temp. gear bearing 1</v>
      </c>
      <c r="M957" s="35" t="s">
        <v>278</v>
      </c>
      <c r="N957" s="264"/>
      <c r="O957" s="265">
        <v>0.65138888888888891</v>
      </c>
      <c r="P957" s="265">
        <v>0.65277777777777779</v>
      </c>
      <c r="Q957" s="266">
        <v>0.65277777777777779</v>
      </c>
      <c r="R957" s="261">
        <f>IF(Table6[[#This Row],[Work Start TimeStamp]]="","",(Table6[[#This Row],[Work Start TimeStamp]]-Table6[[#This Row],[Fault Start TimeStamp]])*24)</f>
        <v>3.3333333333333215E-2</v>
      </c>
      <c r="S957" s="261">
        <f>(Table6[[#This Row],[Fault Clearance time]]-Table6[[#This Row],[Work Start TimeStamp]])*24</f>
        <v>0</v>
      </c>
      <c r="T957" s="261">
        <f>(Table6[[#This Row],[Fault Clearance time]]-Table6[[#This Row],[Fault Start TimeStamp]])*24</f>
        <v>3.3333333333333215E-2</v>
      </c>
      <c r="U957" s="35" t="s">
        <v>277</v>
      </c>
      <c r="V957" s="102" t="s">
        <v>268</v>
      </c>
      <c r="W957" s="267">
        <f>IFERROR(Table6[[#This Row],[Breakdown Time]]*Table6[[#This Row],[Plant Equivalent Weightage]],"")</f>
        <v>1.2820512820512771E-3</v>
      </c>
      <c r="X957" s="262" t="s">
        <v>269</v>
      </c>
      <c r="Y957" s="263" t="s">
        <v>121</v>
      </c>
      <c r="Z957" s="102">
        <v>52504</v>
      </c>
      <c r="AA957" s="257">
        <f>(Table6[[#This Row],[Paired WTG Generation for loss calculation]]/24)*Table6[[#This Row],[Breakdown Time]]</f>
        <v>72.922222222221961</v>
      </c>
      <c r="AB957" s="102"/>
      <c r="AC957" s="35"/>
      <c r="AD957" s="35"/>
    </row>
    <row r="958" spans="1:30">
      <c r="A958" s="102">
        <f t="shared" si="15"/>
        <v>957</v>
      </c>
      <c r="B958" s="257">
        <f>YEAR(Table6[[#This Row],[Date]])+IF(MONTH(Table6[[#This Row],[Date]])&gt;=4,1,0)</f>
        <v>2026</v>
      </c>
      <c r="C958" s="102">
        <f>YEAR(Table6[[#This Row],[Date]])</f>
        <v>2025</v>
      </c>
      <c r="D958" s="102" t="s">
        <v>265</v>
      </c>
      <c r="E958" s="258">
        <f>Table6[[#This Row],[Date]]-DAY(Table6[[#This Row],[Date]])+1</f>
        <v>45778</v>
      </c>
      <c r="F958" s="259">
        <v>45807</v>
      </c>
      <c r="G958" s="35" t="s">
        <v>133</v>
      </c>
      <c r="H958" s="35" t="str">
        <f>IFERROR(_xlfn.XLOOKUP(Table6[[#This Row],[Affected WTG]],'Basic Data'!$A:$A,'Basic Data'!$B:$B),"")</f>
        <v>TQGXIIPL</v>
      </c>
      <c r="I958" s="35" t="str">
        <f>IFERROR(_xlfn.XLOOKUP(Table6[[#This Row],[Affected WTG]],'Basic Data'!$A:$A,'Basic Data'!$C:$C),"")</f>
        <v>GEDA</v>
      </c>
      <c r="J958" s="260">
        <f>IFERROR(_xlfn.XLOOKUP(Table6[[#This Row],[Affected WTG]],'Basic Data'!$A:$A,'Basic Data'!$E:$E),"")</f>
        <v>3.846153846153845E-2</v>
      </c>
      <c r="K958" s="102">
        <v>1700</v>
      </c>
      <c r="L958" s="35" t="str">
        <f>IFERROR(_xlfn.XLOOKUP(Table6[[#This Row],[Error Code]],'Basic Data'!$AA:$AA,'Basic Data'!$AB:$AB),"Incorrect Error Code")</f>
        <v>High temp. gear bearing 1</v>
      </c>
      <c r="M958" s="35" t="s">
        <v>266</v>
      </c>
      <c r="N958" s="264"/>
      <c r="O958" s="265">
        <v>0.7583333333333333</v>
      </c>
      <c r="P958" s="265">
        <v>0.77013888888888893</v>
      </c>
      <c r="Q958" s="266">
        <v>0.77013888888888893</v>
      </c>
      <c r="R958" s="261">
        <f>IF(Table6[[#This Row],[Work Start TimeStamp]]="","",(Table6[[#This Row],[Work Start TimeStamp]]-Table6[[#This Row],[Fault Start TimeStamp]])*24)</f>
        <v>0.28333333333333499</v>
      </c>
      <c r="S958" s="261">
        <f>(Table6[[#This Row],[Fault Clearance time]]-Table6[[#This Row],[Work Start TimeStamp]])*24</f>
        <v>0</v>
      </c>
      <c r="T958" s="261">
        <f>(Table6[[#This Row],[Fault Clearance time]]-Table6[[#This Row],[Fault Start TimeStamp]])*24</f>
        <v>0.28333333333333499</v>
      </c>
      <c r="U958" s="35" t="s">
        <v>485</v>
      </c>
      <c r="V958" s="102" t="s">
        <v>268</v>
      </c>
      <c r="W958" s="267">
        <f>IFERROR(Table6[[#This Row],[Breakdown Time]]*Table6[[#This Row],[Plant Equivalent Weightage]],"")</f>
        <v>1.0897435897435958E-2</v>
      </c>
      <c r="X958" s="262" t="s">
        <v>296</v>
      </c>
      <c r="Y958" s="263" t="s">
        <v>121</v>
      </c>
      <c r="Z958" s="102">
        <v>52504</v>
      </c>
      <c r="AA958" s="257">
        <f>(Table6[[#This Row],[Paired WTG Generation for loss calculation]]/24)*Table6[[#This Row],[Breakdown Time]]</f>
        <v>619.83888888889248</v>
      </c>
      <c r="AB958" s="102"/>
      <c r="AC958" s="35"/>
      <c r="AD958" s="35"/>
    </row>
    <row r="959" spans="1:30">
      <c r="A959" s="102">
        <f t="shared" si="15"/>
        <v>958</v>
      </c>
      <c r="B959" s="257">
        <f>YEAR(Table6[[#This Row],[Date]])+IF(MONTH(Table6[[#This Row],[Date]])&gt;=4,1,0)</f>
        <v>2026</v>
      </c>
      <c r="C959" s="102">
        <f>YEAR(Table6[[#This Row],[Date]])</f>
        <v>2025</v>
      </c>
      <c r="D959" s="102" t="s">
        <v>265</v>
      </c>
      <c r="E959" s="258">
        <f>Table6[[#This Row],[Date]]-DAY(Table6[[#This Row],[Date]])+1</f>
        <v>45778</v>
      </c>
      <c r="F959" s="259">
        <v>45807</v>
      </c>
      <c r="G959" s="35" t="s">
        <v>137</v>
      </c>
      <c r="H959" s="35" t="str">
        <f>IFERROR(_xlfn.XLOOKUP(Table6[[#This Row],[Affected WTG]],'Basic Data'!$A:$A,'Basic Data'!$B:$B),"")</f>
        <v>TQGXIIPL</v>
      </c>
      <c r="I959" s="35" t="str">
        <f>IFERROR(_xlfn.XLOOKUP(Table6[[#This Row],[Affected WTG]],'Basic Data'!$A:$A,'Basic Data'!$C:$C),"")</f>
        <v>GEDA</v>
      </c>
      <c r="J959" s="260">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266</v>
      </c>
      <c r="N959" s="264"/>
      <c r="O959" s="265">
        <v>0.56805555555555554</v>
      </c>
      <c r="P959" s="265">
        <v>0.57499999999999996</v>
      </c>
      <c r="Q959" s="266">
        <v>0.57499999999999996</v>
      </c>
      <c r="R959" s="261">
        <f>IF(Table6[[#This Row],[Work Start TimeStamp]]="","",(Table6[[#This Row],[Work Start TimeStamp]]-Table6[[#This Row],[Fault Start TimeStamp]])*24)</f>
        <v>0.16666666666666607</v>
      </c>
      <c r="S959" s="261">
        <f>(Table6[[#This Row],[Fault Clearance time]]-Table6[[#This Row],[Work Start TimeStamp]])*24</f>
        <v>0</v>
      </c>
      <c r="T959" s="261">
        <f>(Table6[[#This Row],[Fault Clearance time]]-Table6[[#This Row],[Fault Start TimeStamp]])*24</f>
        <v>0.16666666666666607</v>
      </c>
      <c r="U959" s="35" t="s">
        <v>485</v>
      </c>
      <c r="V959" s="102" t="s">
        <v>268</v>
      </c>
      <c r="W959" s="267">
        <f>IFERROR(Table6[[#This Row],[Breakdown Time]]*Table6[[#This Row],[Plant Equivalent Weightage]],"")</f>
        <v>6.4102564102563857E-3</v>
      </c>
      <c r="X959" s="262" t="s">
        <v>296</v>
      </c>
      <c r="Y959" s="263" t="s">
        <v>125</v>
      </c>
      <c r="Z959" s="102">
        <v>55825</v>
      </c>
      <c r="AA959" s="257">
        <f>(Table6[[#This Row],[Paired WTG Generation for loss calculation]]/24)*Table6[[#This Row],[Breakdown Time]]</f>
        <v>387.67361111110972</v>
      </c>
      <c r="AB959" s="102"/>
      <c r="AC959" s="35"/>
      <c r="AD959" s="35"/>
    </row>
    <row r="960" spans="1:30">
      <c r="A960" s="102">
        <f t="shared" si="15"/>
        <v>959</v>
      </c>
      <c r="B960" s="257">
        <f>YEAR(Table6[[#This Row],[Date]])+IF(MONTH(Table6[[#This Row],[Date]])&gt;=4,1,0)</f>
        <v>2026</v>
      </c>
      <c r="C960" s="102">
        <f>YEAR(Table6[[#This Row],[Date]])</f>
        <v>2025</v>
      </c>
      <c r="D960" s="102" t="s">
        <v>265</v>
      </c>
      <c r="E960" s="258">
        <f>Table6[[#This Row],[Date]]-DAY(Table6[[#This Row],[Date]])+1</f>
        <v>45778</v>
      </c>
      <c r="F960" s="259">
        <v>45807</v>
      </c>
      <c r="G960" s="35" t="s">
        <v>137</v>
      </c>
      <c r="H960" s="35" t="str">
        <f>IFERROR(_xlfn.XLOOKUP(Table6[[#This Row],[Affected WTG]],'Basic Data'!$A:$A,'Basic Data'!$B:$B),"")</f>
        <v>TQGXIIPL</v>
      </c>
      <c r="I960" s="35" t="str">
        <f>IFERROR(_xlfn.XLOOKUP(Table6[[#This Row],[Affected WTG]],'Basic Data'!$A:$A,'Basic Data'!$C:$C),"")</f>
        <v>GEDA</v>
      </c>
      <c r="J960" s="260">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266</v>
      </c>
      <c r="N960" s="264"/>
      <c r="O960" s="265">
        <v>0.60138888888888886</v>
      </c>
      <c r="P960" s="265">
        <v>0.61250000000000004</v>
      </c>
      <c r="Q960" s="266">
        <v>0.61250000000000004</v>
      </c>
      <c r="R960" s="261">
        <f>IF(Table6[[#This Row],[Work Start TimeStamp]]="","",(Table6[[#This Row],[Work Start TimeStamp]]-Table6[[#This Row],[Fault Start TimeStamp]])*24)</f>
        <v>0.26666666666666838</v>
      </c>
      <c r="S960" s="261">
        <f>(Table6[[#This Row],[Fault Clearance time]]-Table6[[#This Row],[Work Start TimeStamp]])*24</f>
        <v>0</v>
      </c>
      <c r="T960" s="261">
        <f>(Table6[[#This Row],[Fault Clearance time]]-Table6[[#This Row],[Fault Start TimeStamp]])*24</f>
        <v>0.26666666666666838</v>
      </c>
      <c r="U960" s="35" t="s">
        <v>485</v>
      </c>
      <c r="V960" s="102" t="s">
        <v>268</v>
      </c>
      <c r="W960" s="267">
        <f>IFERROR(Table6[[#This Row],[Breakdown Time]]*Table6[[#This Row],[Plant Equivalent Weightage]],"")</f>
        <v>1.0256410256410319E-2</v>
      </c>
      <c r="X960" s="262" t="s">
        <v>296</v>
      </c>
      <c r="Y960" s="263" t="s">
        <v>125</v>
      </c>
      <c r="Z960" s="102">
        <v>55825</v>
      </c>
      <c r="AA960" s="257">
        <f>(Table6[[#This Row],[Paired WTG Generation for loss calculation]]/24)*Table6[[#This Row],[Breakdown Time]]</f>
        <v>620.27777777778169</v>
      </c>
      <c r="AB960" s="102"/>
      <c r="AC960" s="35"/>
      <c r="AD960" s="35"/>
    </row>
    <row r="961" spans="1:30">
      <c r="A961" s="102">
        <f t="shared" si="15"/>
        <v>960</v>
      </c>
      <c r="B961" s="257">
        <f>YEAR(Table6[[#This Row],[Date]])+IF(MONTH(Table6[[#This Row],[Date]])&gt;=4,1,0)</f>
        <v>2026</v>
      </c>
      <c r="C961" s="102">
        <f>YEAR(Table6[[#This Row],[Date]])</f>
        <v>2025</v>
      </c>
      <c r="D961" s="102" t="s">
        <v>265</v>
      </c>
      <c r="E961" s="258">
        <f>Table6[[#This Row],[Date]]-DAY(Table6[[#This Row],[Date]])+1</f>
        <v>45778</v>
      </c>
      <c r="F961" s="259">
        <v>45807</v>
      </c>
      <c r="G961" s="35" t="s">
        <v>138</v>
      </c>
      <c r="H961" s="35" t="str">
        <f>IFERROR(_xlfn.XLOOKUP(Table6[[#This Row],[Affected WTG]],'Basic Data'!$A:$A,'Basic Data'!$B:$B),"")</f>
        <v>TQGXIIPL</v>
      </c>
      <c r="I961" s="35" t="str">
        <f>IFERROR(_xlfn.XLOOKUP(Table6[[#This Row],[Affected WTG]],'Basic Data'!$A:$A,'Basic Data'!$C:$C),"")</f>
        <v>GEDA</v>
      </c>
      <c r="J961" s="260">
        <f>IFERROR(_xlfn.XLOOKUP(Table6[[#This Row],[Affected WTG]],'Basic Data'!$A:$A,'Basic Data'!$E:$E),"")</f>
        <v>3.846153846153845E-2</v>
      </c>
      <c r="K961" s="102">
        <v>6130</v>
      </c>
      <c r="L961" s="35" t="str">
        <f>IFERROR(_xlfn.XLOOKUP(Table6[[#This Row],[Error Code]],'Basic Data'!$AA:$AA,'Basic Data'!$AB:$AB),"Incorrect Error Code")</f>
        <v>Yaw speed high</v>
      </c>
      <c r="M961" s="35" t="s">
        <v>278</v>
      </c>
      <c r="N961" s="264"/>
      <c r="O961" s="265">
        <v>0.42291666666666666</v>
      </c>
      <c r="P961" s="265">
        <v>0.42708333333333331</v>
      </c>
      <c r="Q961" s="266">
        <v>0.42708333333333331</v>
      </c>
      <c r="R961" s="261">
        <f>IF(Table6[[#This Row],[Work Start TimeStamp]]="","",(Table6[[#This Row],[Work Start TimeStamp]]-Table6[[#This Row],[Fault Start TimeStamp]])*24)</f>
        <v>9.9999999999999645E-2</v>
      </c>
      <c r="S961" s="261">
        <f>(Table6[[#This Row],[Fault Clearance time]]-Table6[[#This Row],[Work Start TimeStamp]])*24</f>
        <v>0</v>
      </c>
      <c r="T961" s="261">
        <f>(Table6[[#This Row],[Fault Clearance time]]-Table6[[#This Row],[Fault Start TimeStamp]])*24</f>
        <v>9.9999999999999645E-2</v>
      </c>
      <c r="U961" s="35" t="s">
        <v>277</v>
      </c>
      <c r="V961" s="102" t="s">
        <v>268</v>
      </c>
      <c r="W961" s="267">
        <f>IFERROR(Table6[[#This Row],[Breakdown Time]]*Table6[[#This Row],[Plant Equivalent Weightage]],"")</f>
        <v>3.8461538461538312E-3</v>
      </c>
      <c r="X961" s="262" t="s">
        <v>269</v>
      </c>
      <c r="Y961" s="263" t="s">
        <v>134</v>
      </c>
      <c r="Z961" s="102">
        <v>53978</v>
      </c>
      <c r="AA961" s="257">
        <f>(Table6[[#This Row],[Paired WTG Generation for loss calculation]]/24)*Table6[[#This Row],[Breakdown Time]]</f>
        <v>224.90833333333254</v>
      </c>
      <c r="AB961" s="102"/>
      <c r="AC961" s="35"/>
      <c r="AD961" s="35"/>
    </row>
    <row r="962" spans="1:30">
      <c r="A962" s="102">
        <f t="shared" si="15"/>
        <v>961</v>
      </c>
      <c r="B962" s="257">
        <f>YEAR(Table6[[#This Row],[Date]])+IF(MONTH(Table6[[#This Row],[Date]])&gt;=4,1,0)</f>
        <v>2026</v>
      </c>
      <c r="C962" s="102">
        <f>YEAR(Table6[[#This Row],[Date]])</f>
        <v>2025</v>
      </c>
      <c r="D962" s="102" t="s">
        <v>265</v>
      </c>
      <c r="E962" s="258">
        <f>Table6[[#This Row],[Date]]-DAY(Table6[[#This Row],[Date]])+1</f>
        <v>45778</v>
      </c>
      <c r="F962" s="259">
        <v>45807</v>
      </c>
      <c r="G962" s="35" t="s">
        <v>139</v>
      </c>
      <c r="H962" s="35" t="str">
        <f>IFERROR(_xlfn.XLOOKUP(Table6[[#This Row],[Affected WTG]],'Basic Data'!$A:$A,'Basic Data'!$B:$B),"")</f>
        <v>TQGXIIPL</v>
      </c>
      <c r="I962" s="35" t="str">
        <f>IFERROR(_xlfn.XLOOKUP(Table6[[#This Row],[Affected WTG]],'Basic Data'!$A:$A,'Basic Data'!$C:$C),"")</f>
        <v>GEDA</v>
      </c>
      <c r="J962" s="260">
        <f>IFERROR(_xlfn.XLOOKUP(Table6[[#This Row],[Affected WTG]],'Basic Data'!$A:$A,'Basic Data'!$E:$E),"")</f>
        <v>3.846153846153845E-2</v>
      </c>
      <c r="K962" s="102">
        <v>1700</v>
      </c>
      <c r="L962" s="35" t="str">
        <f>IFERROR(_xlfn.XLOOKUP(Table6[[#This Row],[Error Code]],'Basic Data'!$AA:$AA,'Basic Data'!$AB:$AB),"Incorrect Error Code")</f>
        <v>High temp. gear bearing 1</v>
      </c>
      <c r="M962" s="35" t="s">
        <v>266</v>
      </c>
      <c r="N962" s="264"/>
      <c r="O962" s="265">
        <v>0.72569444444444442</v>
      </c>
      <c r="P962" s="265">
        <v>0.73333333333333328</v>
      </c>
      <c r="Q962" s="266">
        <v>0.73333333333333328</v>
      </c>
      <c r="R962" s="261">
        <f>IF(Table6[[#This Row],[Work Start TimeStamp]]="","",(Table6[[#This Row],[Work Start TimeStamp]]-Table6[[#This Row],[Fault Start TimeStamp]])*24)</f>
        <v>0.18333333333333268</v>
      </c>
      <c r="S962" s="261">
        <f>(Table6[[#This Row],[Fault Clearance time]]-Table6[[#This Row],[Work Start TimeStamp]])*24</f>
        <v>0</v>
      </c>
      <c r="T962" s="261">
        <f>(Table6[[#This Row],[Fault Clearance time]]-Table6[[#This Row],[Fault Start TimeStamp]])*24</f>
        <v>0.18333333333333268</v>
      </c>
      <c r="U962" s="35" t="s">
        <v>485</v>
      </c>
      <c r="V962" s="102" t="s">
        <v>268</v>
      </c>
      <c r="W962" s="267">
        <f>IFERROR(Table6[[#This Row],[Breakdown Time]]*Table6[[#This Row],[Plant Equivalent Weightage]],"")</f>
        <v>7.0512820512820245E-3</v>
      </c>
      <c r="X962" s="262" t="s">
        <v>296</v>
      </c>
      <c r="Y962" s="263" t="s">
        <v>115</v>
      </c>
      <c r="Z962" s="102">
        <v>54422</v>
      </c>
      <c r="AA962" s="257">
        <f>(Table6[[#This Row],[Paired WTG Generation for loss calculation]]/24)*Table6[[#This Row],[Breakdown Time]]</f>
        <v>415.72361111110968</v>
      </c>
      <c r="AB962" s="102"/>
      <c r="AC962" s="35"/>
      <c r="AD962" s="35"/>
    </row>
    <row r="963" spans="1:30">
      <c r="A963" s="102">
        <f t="shared" si="15"/>
        <v>962</v>
      </c>
      <c r="B963" s="257">
        <f>YEAR(Table6[[#This Row],[Date]])+IF(MONTH(Table6[[#This Row],[Date]])&gt;=4,1,0)</f>
        <v>2026</v>
      </c>
      <c r="C963" s="102">
        <f>YEAR(Table6[[#This Row],[Date]])</f>
        <v>2025</v>
      </c>
      <c r="D963" s="102" t="s">
        <v>265</v>
      </c>
      <c r="E963" s="258">
        <f>Table6[[#This Row],[Date]]-DAY(Table6[[#This Row],[Date]])+1</f>
        <v>45778</v>
      </c>
      <c r="F963" s="259">
        <v>45807</v>
      </c>
      <c r="G963" s="35" t="s">
        <v>140</v>
      </c>
      <c r="H963" s="35" t="str">
        <f>IFERROR(_xlfn.XLOOKUP(Table6[[#This Row],[Affected WTG]],'Basic Data'!$A:$A,'Basic Data'!$B:$B),"")</f>
        <v>TQGXIIPL</v>
      </c>
      <c r="I963" s="35" t="str">
        <f>IFERROR(_xlfn.XLOOKUP(Table6[[#This Row],[Affected WTG]],'Basic Data'!$A:$A,'Basic Data'!$C:$C),"")</f>
        <v>GEDA</v>
      </c>
      <c r="J963" s="260">
        <f>IFERROR(_xlfn.XLOOKUP(Table6[[#This Row],[Affected WTG]],'Basic Data'!$A:$A,'Basic Data'!$E:$E),"")</f>
        <v>3.846153846153845E-2</v>
      </c>
      <c r="K963" s="102">
        <v>6130</v>
      </c>
      <c r="L963" s="35" t="str">
        <f>IFERROR(_xlfn.XLOOKUP(Table6[[#This Row],[Error Code]],'Basic Data'!$AA:$AA,'Basic Data'!$AB:$AB),"Incorrect Error Code")</f>
        <v>Yaw speed high</v>
      </c>
      <c r="M963" s="35" t="s">
        <v>278</v>
      </c>
      <c r="N963" s="264"/>
      <c r="O963" s="265">
        <v>0.51111111111111107</v>
      </c>
      <c r="P963" s="265">
        <v>0.51527777777777772</v>
      </c>
      <c r="Q963" s="266">
        <v>0.51527777777777772</v>
      </c>
      <c r="R963" s="261">
        <f>IF(Table6[[#This Row],[Work Start TimeStamp]]="","",(Table6[[#This Row],[Work Start TimeStamp]]-Table6[[#This Row],[Fault Start TimeStamp]])*24)</f>
        <v>9.9999999999999645E-2</v>
      </c>
      <c r="S963" s="261">
        <f>(Table6[[#This Row],[Fault Clearance time]]-Table6[[#This Row],[Work Start TimeStamp]])*24</f>
        <v>0</v>
      </c>
      <c r="T963" s="261">
        <f>(Table6[[#This Row],[Fault Clearance time]]-Table6[[#This Row],[Fault Start TimeStamp]])*24</f>
        <v>9.9999999999999645E-2</v>
      </c>
      <c r="U963" s="35" t="s">
        <v>277</v>
      </c>
      <c r="V963" s="102" t="s">
        <v>268</v>
      </c>
      <c r="W963" s="267">
        <f>IFERROR(Table6[[#This Row],[Breakdown Time]]*Table6[[#This Row],[Plant Equivalent Weightage]],"")</f>
        <v>3.8461538461538312E-3</v>
      </c>
      <c r="X963" s="262" t="s">
        <v>269</v>
      </c>
      <c r="Y963" s="263" t="s">
        <v>115</v>
      </c>
      <c r="Z963" s="102">
        <v>54422</v>
      </c>
      <c r="AA963" s="257">
        <f>(Table6[[#This Row],[Paired WTG Generation for loss calculation]]/24)*Table6[[#This Row],[Breakdown Time]]</f>
        <v>226.75833333333253</v>
      </c>
      <c r="AB963" s="102"/>
      <c r="AC963" s="35"/>
      <c r="AD963" s="35"/>
    </row>
    <row r="964" spans="1:30">
      <c r="A964" s="102">
        <f t="shared" si="15"/>
        <v>963</v>
      </c>
      <c r="B964" s="257">
        <f>YEAR(Table6[[#This Row],[Date]])+IF(MONTH(Table6[[#This Row],[Date]])&gt;=4,1,0)</f>
        <v>2026</v>
      </c>
      <c r="C964" s="102">
        <f>YEAR(Table6[[#This Row],[Date]])</f>
        <v>2025</v>
      </c>
      <c r="D964" s="102" t="s">
        <v>265</v>
      </c>
      <c r="E964" s="258">
        <f>Table6[[#This Row],[Date]]-DAY(Table6[[#This Row],[Date]])+1</f>
        <v>45778</v>
      </c>
      <c r="F964" s="259">
        <v>45808</v>
      </c>
      <c r="G964" s="35" t="s">
        <v>115</v>
      </c>
      <c r="H964" s="35" t="str">
        <f>IFERROR(_xlfn.XLOOKUP(Table6[[#This Row],[Affected WTG]],'Basic Data'!$A:$A,'Basic Data'!$B:$B),"")</f>
        <v>TQGXIIPL</v>
      </c>
      <c r="I964" s="35" t="str">
        <f>IFERROR(_xlfn.XLOOKUP(Table6[[#This Row],[Affected WTG]],'Basic Data'!$A:$A,'Basic Data'!$C:$C),"")</f>
        <v>GEDA</v>
      </c>
      <c r="J964" s="260">
        <f>IFERROR(_xlfn.XLOOKUP(Table6[[#This Row],[Affected WTG]],'Basic Data'!$A:$A,'Basic Data'!$E:$E),"")</f>
        <v>3.846153846153845E-2</v>
      </c>
      <c r="K964" s="102">
        <v>6130</v>
      </c>
      <c r="L964" s="35" t="str">
        <f>IFERROR(_xlfn.XLOOKUP(Table6[[#This Row],[Error Code]],'Basic Data'!$AA:$AA,'Basic Data'!$AB:$AB),"Incorrect Error Code")</f>
        <v>Yaw speed high</v>
      </c>
      <c r="M964" s="35" t="s">
        <v>266</v>
      </c>
      <c r="N964" s="264"/>
      <c r="O964" s="265">
        <v>0.55277777777777781</v>
      </c>
      <c r="P964" s="265">
        <v>0.58819444444444446</v>
      </c>
      <c r="Q964" s="266">
        <v>0.58819444444444446</v>
      </c>
      <c r="R964" s="261">
        <f>IF(Table6[[#This Row],[Work Start TimeStamp]]="","",(Table6[[#This Row],[Work Start TimeStamp]]-Table6[[#This Row],[Fault Start TimeStamp]])*24)</f>
        <v>0.84999999999999964</v>
      </c>
      <c r="S964" s="261">
        <f>(Table6[[#This Row],[Fault Clearance time]]-Table6[[#This Row],[Work Start TimeStamp]])*24</f>
        <v>0</v>
      </c>
      <c r="T964" s="261">
        <f>(Table6[[#This Row],[Fault Clearance time]]-Table6[[#This Row],[Fault Start TimeStamp]])*24</f>
        <v>0.84999999999999964</v>
      </c>
      <c r="U964" s="35" t="s">
        <v>486</v>
      </c>
      <c r="V964" s="102" t="s">
        <v>268</v>
      </c>
      <c r="W964" s="267">
        <f>IFERROR(Table6[[#This Row],[Breakdown Time]]*Table6[[#This Row],[Plant Equivalent Weightage]],"")</f>
        <v>3.2692307692307666E-2</v>
      </c>
      <c r="X964" s="262" t="s">
        <v>296</v>
      </c>
      <c r="Y964" s="263" t="s">
        <v>140</v>
      </c>
      <c r="Z964" s="102">
        <v>51268</v>
      </c>
      <c r="AA964" s="257">
        <f>(Table6[[#This Row],[Paired WTG Generation for loss calculation]]/24)*Table6[[#This Row],[Breakdown Time]]</f>
        <v>1815.7416666666659</v>
      </c>
      <c r="AB964" s="102"/>
      <c r="AC964" s="35"/>
      <c r="AD964" s="35"/>
    </row>
    <row r="965" spans="1:30">
      <c r="A965" s="102">
        <f t="shared" si="15"/>
        <v>964</v>
      </c>
      <c r="B965" s="257">
        <f>YEAR(Table6[[#This Row],[Date]])+IF(MONTH(Table6[[#This Row],[Date]])&gt;=4,1,0)</f>
        <v>2026</v>
      </c>
      <c r="C965" s="102">
        <f>YEAR(Table6[[#This Row],[Date]])</f>
        <v>2025</v>
      </c>
      <c r="D965" s="102" t="s">
        <v>265</v>
      </c>
      <c r="E965" s="258">
        <f>Table6[[#This Row],[Date]]-DAY(Table6[[#This Row],[Date]])+1</f>
        <v>45778</v>
      </c>
      <c r="F965" s="259">
        <v>45808</v>
      </c>
      <c r="G965" s="35" t="s">
        <v>115</v>
      </c>
      <c r="H965" s="35" t="str">
        <f>IFERROR(_xlfn.XLOOKUP(Table6[[#This Row],[Affected WTG]],'Basic Data'!$A:$A,'Basic Data'!$B:$B),"")</f>
        <v>TQGXIIPL</v>
      </c>
      <c r="I965" s="35" t="str">
        <f>IFERROR(_xlfn.XLOOKUP(Table6[[#This Row],[Affected WTG]],'Basic Data'!$A:$A,'Basic Data'!$C:$C),"")</f>
        <v>GEDA</v>
      </c>
      <c r="J965" s="260">
        <f>IFERROR(_xlfn.XLOOKUP(Table6[[#This Row],[Affected WTG]],'Basic Data'!$A:$A,'Basic Data'!$E:$E),"")</f>
        <v>3.846153846153845E-2</v>
      </c>
      <c r="K965" s="102">
        <v>6130</v>
      </c>
      <c r="L965" s="35" t="str">
        <f>IFERROR(_xlfn.XLOOKUP(Table6[[#This Row],[Error Code]],'Basic Data'!$AA:$AA,'Basic Data'!$AB:$AB),"Incorrect Error Code")</f>
        <v>Yaw speed high</v>
      </c>
      <c r="M965" s="35" t="s">
        <v>278</v>
      </c>
      <c r="N965" s="264"/>
      <c r="O965" s="265">
        <v>0.63263888888888886</v>
      </c>
      <c r="P965" s="265">
        <v>0.63680555555555551</v>
      </c>
      <c r="Q965" s="266">
        <v>0.63680555555555551</v>
      </c>
      <c r="R965" s="261">
        <f>IF(Table6[[#This Row],[Work Start TimeStamp]]="","",(Table6[[#This Row],[Work Start TimeStamp]]-Table6[[#This Row],[Fault Start TimeStamp]])*24)</f>
        <v>9.9999999999999645E-2</v>
      </c>
      <c r="S965" s="261">
        <f>(Table6[[#This Row],[Fault Clearance time]]-Table6[[#This Row],[Work Start TimeStamp]])*24</f>
        <v>0</v>
      </c>
      <c r="T965" s="261">
        <f>(Table6[[#This Row],[Fault Clearance time]]-Table6[[#This Row],[Fault Start TimeStamp]])*24</f>
        <v>9.9999999999999645E-2</v>
      </c>
      <c r="U965" s="35" t="s">
        <v>277</v>
      </c>
      <c r="V965" s="102" t="s">
        <v>268</v>
      </c>
      <c r="W965" s="267">
        <f>IFERROR(Table6[[#This Row],[Breakdown Time]]*Table6[[#This Row],[Plant Equivalent Weightage]],"")</f>
        <v>3.8461538461538312E-3</v>
      </c>
      <c r="X965" s="262" t="s">
        <v>269</v>
      </c>
      <c r="Y965" s="263" t="s">
        <v>140</v>
      </c>
      <c r="Z965" s="102">
        <v>51268</v>
      </c>
      <c r="AA965" s="257">
        <f>(Table6[[#This Row],[Paired WTG Generation for loss calculation]]/24)*Table6[[#This Row],[Breakdown Time]]</f>
        <v>213.61666666666588</v>
      </c>
      <c r="AB965" s="102"/>
      <c r="AC965" s="35"/>
      <c r="AD965" s="35"/>
    </row>
    <row r="966" spans="1:30">
      <c r="A966" s="102">
        <f t="shared" si="15"/>
        <v>965</v>
      </c>
      <c r="B966" s="257">
        <f>YEAR(Table6[[#This Row],[Date]])+IF(MONTH(Table6[[#This Row],[Date]])&gt;=4,1,0)</f>
        <v>2026</v>
      </c>
      <c r="C966" s="102">
        <f>YEAR(Table6[[#This Row],[Date]])</f>
        <v>2025</v>
      </c>
      <c r="D966" s="102" t="s">
        <v>265</v>
      </c>
      <c r="E966" s="258">
        <f>Table6[[#This Row],[Date]]-DAY(Table6[[#This Row],[Date]])+1</f>
        <v>45778</v>
      </c>
      <c r="F966" s="259">
        <v>45808</v>
      </c>
      <c r="G966" s="35" t="s">
        <v>118</v>
      </c>
      <c r="H966" s="35" t="str">
        <f>IFERROR(_xlfn.XLOOKUP(Table6[[#This Row],[Affected WTG]],'Basic Data'!$A:$A,'Basic Data'!$B:$B),"")</f>
        <v>TQGXIIPL</v>
      </c>
      <c r="I966" s="35" t="str">
        <f>IFERROR(_xlfn.XLOOKUP(Table6[[#This Row],[Affected WTG]],'Basic Data'!$A:$A,'Basic Data'!$C:$C),"")</f>
        <v>GEDA</v>
      </c>
      <c r="J966" s="260">
        <f>IFERROR(_xlfn.XLOOKUP(Table6[[#This Row],[Affected WTG]],'Basic Data'!$A:$A,'Basic Data'!$E:$E),"")</f>
        <v>3.846153846153845E-2</v>
      </c>
      <c r="K966" s="102">
        <v>6130</v>
      </c>
      <c r="L966" s="35" t="str">
        <f>IFERROR(_xlfn.XLOOKUP(Table6[[#This Row],[Error Code]],'Basic Data'!$AA:$AA,'Basic Data'!$AB:$AB),"Incorrect Error Code")</f>
        <v>Yaw speed high</v>
      </c>
      <c r="M966" s="35" t="s">
        <v>278</v>
      </c>
      <c r="N966" s="264"/>
      <c r="O966" s="265">
        <v>0.29583333333333334</v>
      </c>
      <c r="P966" s="265">
        <v>0.2986111111111111</v>
      </c>
      <c r="Q966" s="266">
        <v>0.2986111111111111</v>
      </c>
      <c r="R966" s="261">
        <f>IF(Table6[[#This Row],[Work Start TimeStamp]]="","",(Table6[[#This Row],[Work Start TimeStamp]]-Table6[[#This Row],[Fault Start TimeStamp]])*24)</f>
        <v>6.666666666666643E-2</v>
      </c>
      <c r="S966" s="261">
        <f>(Table6[[#This Row],[Fault Clearance time]]-Table6[[#This Row],[Work Start TimeStamp]])*24</f>
        <v>0</v>
      </c>
      <c r="T966" s="261">
        <f>(Table6[[#This Row],[Fault Clearance time]]-Table6[[#This Row],[Fault Start TimeStamp]])*24</f>
        <v>6.666666666666643E-2</v>
      </c>
      <c r="U966" s="35" t="s">
        <v>277</v>
      </c>
      <c r="V966" s="102" t="s">
        <v>268</v>
      </c>
      <c r="W966" s="267">
        <f>IFERROR(Table6[[#This Row],[Breakdown Time]]*Table6[[#This Row],[Plant Equivalent Weightage]],"")</f>
        <v>2.5641025641025541E-3</v>
      </c>
      <c r="X966" s="262" t="s">
        <v>269</v>
      </c>
      <c r="Y966" s="263" t="s">
        <v>121</v>
      </c>
      <c r="Z966" s="102">
        <v>50547</v>
      </c>
      <c r="AA966" s="257">
        <f>(Table6[[#This Row],[Paired WTG Generation for loss calculation]]/24)*Table6[[#This Row],[Breakdown Time]]</f>
        <v>140.40833333333285</v>
      </c>
      <c r="AB966" s="102"/>
      <c r="AC966" s="35"/>
      <c r="AD966" s="35"/>
    </row>
    <row r="967" spans="1:30">
      <c r="A967" s="102">
        <f t="shared" si="15"/>
        <v>966</v>
      </c>
      <c r="B967" s="257">
        <f>YEAR(Table6[[#This Row],[Date]])+IF(MONTH(Table6[[#This Row],[Date]])&gt;=4,1,0)</f>
        <v>2026</v>
      </c>
      <c r="C967" s="102">
        <f>YEAR(Table6[[#This Row],[Date]])</f>
        <v>2025</v>
      </c>
      <c r="D967" s="102" t="s">
        <v>265</v>
      </c>
      <c r="E967" s="258">
        <f>Table6[[#This Row],[Date]]-DAY(Table6[[#This Row],[Date]])+1</f>
        <v>45778</v>
      </c>
      <c r="F967" s="259">
        <v>45808</v>
      </c>
      <c r="G967" s="35" t="s">
        <v>118</v>
      </c>
      <c r="H967" s="35" t="str">
        <f>IFERROR(_xlfn.XLOOKUP(Table6[[#This Row],[Affected WTG]],'Basic Data'!$A:$A,'Basic Data'!$B:$B),"")</f>
        <v>TQGXIIPL</v>
      </c>
      <c r="I967" s="35" t="str">
        <f>IFERROR(_xlfn.XLOOKUP(Table6[[#This Row],[Affected WTG]],'Basic Data'!$A:$A,'Basic Data'!$C:$C),"")</f>
        <v>GEDA</v>
      </c>
      <c r="J967" s="260">
        <f>IFERROR(_xlfn.XLOOKUP(Table6[[#This Row],[Affected WTG]],'Basic Data'!$A:$A,'Basic Data'!$E:$E),"")</f>
        <v>3.846153846153845E-2</v>
      </c>
      <c r="K967" s="102">
        <v>6130</v>
      </c>
      <c r="L967" s="35" t="str">
        <f>IFERROR(_xlfn.XLOOKUP(Table6[[#This Row],[Error Code]],'Basic Data'!$AA:$AA,'Basic Data'!$AB:$AB),"Incorrect Error Code")</f>
        <v>Yaw speed high</v>
      </c>
      <c r="M967" s="35" t="s">
        <v>266</v>
      </c>
      <c r="N967" s="264"/>
      <c r="O967" s="265">
        <v>0.5229166666666667</v>
      </c>
      <c r="P967" s="265">
        <v>0.54374999999999996</v>
      </c>
      <c r="Q967" s="266">
        <v>0.54374999999999996</v>
      </c>
      <c r="R967" s="261">
        <f>IF(Table6[[#This Row],[Work Start TimeStamp]]="","",(Table6[[#This Row],[Work Start TimeStamp]]-Table6[[#This Row],[Fault Start TimeStamp]])*24)</f>
        <v>0.49999999999999822</v>
      </c>
      <c r="S967" s="261">
        <f>(Table6[[#This Row],[Fault Clearance time]]-Table6[[#This Row],[Work Start TimeStamp]])*24</f>
        <v>0</v>
      </c>
      <c r="T967" s="261">
        <f>(Table6[[#This Row],[Fault Clearance time]]-Table6[[#This Row],[Fault Start TimeStamp]])*24</f>
        <v>0.49999999999999822</v>
      </c>
      <c r="U967" s="35" t="s">
        <v>487</v>
      </c>
      <c r="V967" s="102" t="s">
        <v>268</v>
      </c>
      <c r="W967" s="267">
        <f>IFERROR(Table6[[#This Row],[Breakdown Time]]*Table6[[#This Row],[Plant Equivalent Weightage]],"")</f>
        <v>1.9230769230769156E-2</v>
      </c>
      <c r="X967" s="262" t="s">
        <v>296</v>
      </c>
      <c r="Y967" s="263" t="s">
        <v>121</v>
      </c>
      <c r="Z967" s="102">
        <v>50547</v>
      </c>
      <c r="AA967" s="257">
        <f>(Table6[[#This Row],[Paired WTG Generation for loss calculation]]/24)*Table6[[#This Row],[Breakdown Time]]</f>
        <v>1053.0624999999964</v>
      </c>
      <c r="AB967" s="102"/>
      <c r="AC967" s="35"/>
      <c r="AD967" s="35"/>
    </row>
    <row r="968" spans="1:30">
      <c r="A968" s="102">
        <f t="shared" si="15"/>
        <v>967</v>
      </c>
      <c r="B968" s="257">
        <f>YEAR(Table6[[#This Row],[Date]])+IF(MONTH(Table6[[#This Row],[Date]])&gt;=4,1,0)</f>
        <v>2026</v>
      </c>
      <c r="C968" s="102">
        <f>YEAR(Table6[[#This Row],[Date]])</f>
        <v>2025</v>
      </c>
      <c r="D968" s="102" t="s">
        <v>265</v>
      </c>
      <c r="E968" s="258">
        <f>Table6[[#This Row],[Date]]-DAY(Table6[[#This Row],[Date]])+1</f>
        <v>45778</v>
      </c>
      <c r="F968" s="259">
        <v>45808</v>
      </c>
      <c r="G968" s="35" t="s">
        <v>118</v>
      </c>
      <c r="H968" s="35" t="str">
        <f>IFERROR(_xlfn.XLOOKUP(Table6[[#This Row],[Affected WTG]],'Basic Data'!$A:$A,'Basic Data'!$B:$B),"")</f>
        <v>TQGXIIPL</v>
      </c>
      <c r="I968" s="35" t="str">
        <f>IFERROR(_xlfn.XLOOKUP(Table6[[#This Row],[Affected WTG]],'Basic Data'!$A:$A,'Basic Data'!$C:$C),"")</f>
        <v>GEDA</v>
      </c>
      <c r="J968" s="260">
        <f>IFERROR(_xlfn.XLOOKUP(Table6[[#This Row],[Affected WTG]],'Basic Data'!$A:$A,'Basic Data'!$E:$E),"")</f>
        <v>3.846153846153845E-2</v>
      </c>
      <c r="K968" s="102">
        <v>6130</v>
      </c>
      <c r="L968" s="35" t="str">
        <f>IFERROR(_xlfn.XLOOKUP(Table6[[#This Row],[Error Code]],'Basic Data'!$AA:$AA,'Basic Data'!$AB:$AB),"Incorrect Error Code")</f>
        <v>Yaw speed high</v>
      </c>
      <c r="M968" s="35" t="s">
        <v>278</v>
      </c>
      <c r="N968" s="264"/>
      <c r="O968" s="265">
        <v>0.60972222222222228</v>
      </c>
      <c r="P968" s="265">
        <v>0.61388888888888893</v>
      </c>
      <c r="Q968" s="266">
        <v>0.61388888888888893</v>
      </c>
      <c r="R968" s="261">
        <f>IF(Table6[[#This Row],[Work Start TimeStamp]]="","",(Table6[[#This Row],[Work Start TimeStamp]]-Table6[[#This Row],[Fault Start TimeStamp]])*24)</f>
        <v>9.9999999999999645E-2</v>
      </c>
      <c r="S968" s="261">
        <f>(Table6[[#This Row],[Fault Clearance time]]-Table6[[#This Row],[Work Start TimeStamp]])*24</f>
        <v>0</v>
      </c>
      <c r="T968" s="261">
        <f>(Table6[[#This Row],[Fault Clearance time]]-Table6[[#This Row],[Fault Start TimeStamp]])*24</f>
        <v>9.9999999999999645E-2</v>
      </c>
      <c r="U968" s="35" t="s">
        <v>277</v>
      </c>
      <c r="V968" s="102" t="s">
        <v>268</v>
      </c>
      <c r="W968" s="267">
        <f>IFERROR(Table6[[#This Row],[Breakdown Time]]*Table6[[#This Row],[Plant Equivalent Weightage]],"")</f>
        <v>3.8461538461538312E-3</v>
      </c>
      <c r="X968" s="262" t="s">
        <v>269</v>
      </c>
      <c r="Y968" s="263" t="s">
        <v>121</v>
      </c>
      <c r="Z968" s="102">
        <v>50547</v>
      </c>
      <c r="AA968" s="257">
        <f>(Table6[[#This Row],[Paired WTG Generation for loss calculation]]/24)*Table6[[#This Row],[Breakdown Time]]</f>
        <v>210.61249999999924</v>
      </c>
      <c r="AB968" s="102"/>
      <c r="AC968" s="35"/>
      <c r="AD968" s="35"/>
    </row>
    <row r="969" spans="1:30">
      <c r="A969" s="102">
        <f t="shared" si="15"/>
        <v>968</v>
      </c>
      <c r="B969" s="257">
        <f>YEAR(Table6[[#This Row],[Date]])+IF(MONTH(Table6[[#This Row],[Date]])&gt;=4,1,0)</f>
        <v>2026</v>
      </c>
      <c r="C969" s="102">
        <f>YEAR(Table6[[#This Row],[Date]])</f>
        <v>2025</v>
      </c>
      <c r="D969" s="102" t="s">
        <v>265</v>
      </c>
      <c r="E969" s="258">
        <f>Table6[[#This Row],[Date]]-DAY(Table6[[#This Row],[Date]])+1</f>
        <v>45778</v>
      </c>
      <c r="F969" s="259">
        <v>45808</v>
      </c>
      <c r="G969" s="35" t="s">
        <v>118</v>
      </c>
      <c r="H969" s="35" t="str">
        <f>IFERROR(_xlfn.XLOOKUP(Table6[[#This Row],[Affected WTG]],'Basic Data'!$A:$A,'Basic Data'!$B:$B),"")</f>
        <v>TQGXIIPL</v>
      </c>
      <c r="I969" s="35" t="str">
        <f>IFERROR(_xlfn.XLOOKUP(Table6[[#This Row],[Affected WTG]],'Basic Data'!$A:$A,'Basic Data'!$C:$C),"")</f>
        <v>GEDA</v>
      </c>
      <c r="J969" s="260">
        <f>IFERROR(_xlfn.XLOOKUP(Table6[[#This Row],[Affected WTG]],'Basic Data'!$A:$A,'Basic Data'!$E:$E),"")</f>
        <v>3.846153846153845E-2</v>
      </c>
      <c r="K969" s="102">
        <v>3420</v>
      </c>
      <c r="L969" s="35" t="str">
        <f>IFERROR(_xlfn.XLOOKUP(Table6[[#This Row],[Error Code]],'Basic Data'!$AA:$AA,'Basic Data'!$AB:$AB),"Incorrect Error Code")</f>
        <v>UPS buffer time too short</v>
      </c>
      <c r="M969" s="35" t="s">
        <v>324</v>
      </c>
      <c r="N969" s="264"/>
      <c r="O969" s="265">
        <v>0.66736111111111107</v>
      </c>
      <c r="P969" s="265">
        <v>0.71319444444444446</v>
      </c>
      <c r="Q969" s="266">
        <v>0.71319444444444446</v>
      </c>
      <c r="R969" s="261">
        <f>IF(Table6[[#This Row],[Work Start TimeStamp]]="","",(Table6[[#This Row],[Work Start TimeStamp]]-Table6[[#This Row],[Fault Start TimeStamp]])*24)</f>
        <v>1.1000000000000014</v>
      </c>
      <c r="S969" s="261">
        <f>(Table6[[#This Row],[Fault Clearance time]]-Table6[[#This Row],[Work Start TimeStamp]])*24</f>
        <v>0</v>
      </c>
      <c r="T969" s="261">
        <f>(Table6[[#This Row],[Fault Clearance time]]-Table6[[#This Row],[Fault Start TimeStamp]])*24</f>
        <v>1.1000000000000014</v>
      </c>
      <c r="U969" s="35" t="s">
        <v>488</v>
      </c>
      <c r="V969" s="102" t="s">
        <v>268</v>
      </c>
      <c r="W969" s="267">
        <f>IFERROR(Table6[[#This Row],[Breakdown Time]]*Table6[[#This Row],[Plant Equivalent Weightage]],"")</f>
        <v>4.2307692307692352E-2</v>
      </c>
      <c r="X969" s="262" t="s">
        <v>296</v>
      </c>
      <c r="Y969" s="263" t="s">
        <v>121</v>
      </c>
      <c r="Z969" s="102">
        <v>50547</v>
      </c>
      <c r="AA969" s="257">
        <f>(Table6[[#This Row],[Paired WTG Generation for loss calculation]]/24)*Table6[[#This Row],[Breakdown Time]]</f>
        <v>2316.7375000000029</v>
      </c>
      <c r="AB969" s="102"/>
      <c r="AC969" s="35"/>
      <c r="AD969" s="35"/>
    </row>
    <row r="970" spans="1:30">
      <c r="A970" s="102">
        <f t="shared" si="15"/>
        <v>969</v>
      </c>
      <c r="B970" s="257">
        <f>YEAR(Table6[[#This Row],[Date]])+IF(MONTH(Table6[[#This Row],[Date]])&gt;=4,1,0)</f>
        <v>2026</v>
      </c>
      <c r="C970" s="102">
        <f>YEAR(Table6[[#This Row],[Date]])</f>
        <v>2025</v>
      </c>
      <c r="D970" s="102" t="s">
        <v>265</v>
      </c>
      <c r="E970" s="258">
        <f>Table6[[#This Row],[Date]]-DAY(Table6[[#This Row],[Date]])+1</f>
        <v>45778</v>
      </c>
      <c r="F970" s="259">
        <v>45808</v>
      </c>
      <c r="G970" s="35" t="s">
        <v>122</v>
      </c>
      <c r="H970" s="35" t="str">
        <f>IFERROR(_xlfn.XLOOKUP(Table6[[#This Row],[Affected WTG]],'Basic Data'!$A:$A,'Basic Data'!$B:$B),"")</f>
        <v>TQGXIIPL</v>
      </c>
      <c r="I970" s="35" t="str">
        <f>IFERROR(_xlfn.XLOOKUP(Table6[[#This Row],[Affected WTG]],'Basic Data'!$A:$A,'Basic Data'!$C:$C),"")</f>
        <v>GEDA</v>
      </c>
      <c r="J970" s="260">
        <f>IFERROR(_xlfn.XLOOKUP(Table6[[#This Row],[Affected WTG]],'Basic Data'!$A:$A,'Basic Data'!$E:$E),"")</f>
        <v>3.846153846153845E-2</v>
      </c>
      <c r="K970" s="102">
        <v>741</v>
      </c>
      <c r="L970" s="35" t="str">
        <f>IFERROR(_xlfn.XLOOKUP(Table6[[#This Row],[Error Code]],'Basic Data'!$AA:$AA,'Basic Data'!$AB:$AB),"Incorrect Error Code")</f>
        <v>Battery drive trigger by HC</v>
      </c>
      <c r="M970" s="35" t="s">
        <v>278</v>
      </c>
      <c r="N970" s="264"/>
      <c r="O970" s="265">
        <v>0.78749999999999998</v>
      </c>
      <c r="P970" s="265">
        <v>0.78888888888888886</v>
      </c>
      <c r="Q970" s="266">
        <v>0.78888888888888886</v>
      </c>
      <c r="R970" s="261">
        <f>IF(Table6[[#This Row],[Work Start TimeStamp]]="","",(Table6[[#This Row],[Work Start TimeStamp]]-Table6[[#This Row],[Fault Start TimeStamp]])*24)</f>
        <v>3.3333333333333215E-2</v>
      </c>
      <c r="S970" s="261">
        <f>(Table6[[#This Row],[Fault Clearance time]]-Table6[[#This Row],[Work Start TimeStamp]])*24</f>
        <v>0</v>
      </c>
      <c r="T970" s="261">
        <f>(Table6[[#This Row],[Fault Clearance time]]-Table6[[#This Row],[Fault Start TimeStamp]])*24</f>
        <v>3.3333333333333215E-2</v>
      </c>
      <c r="U970" s="35" t="s">
        <v>277</v>
      </c>
      <c r="V970" s="102" t="s">
        <v>268</v>
      </c>
      <c r="W970" s="267">
        <f>IFERROR(Table6[[#This Row],[Breakdown Time]]*Table6[[#This Row],[Plant Equivalent Weightage]],"")</f>
        <v>1.2820512820512771E-3</v>
      </c>
      <c r="X970" s="262" t="s">
        <v>269</v>
      </c>
      <c r="Y970" s="263" t="s">
        <v>140</v>
      </c>
      <c r="Z970" s="102">
        <v>51268</v>
      </c>
      <c r="AA970" s="257">
        <f>(Table6[[#This Row],[Paired WTG Generation for loss calculation]]/24)*Table6[[#This Row],[Breakdown Time]]</f>
        <v>71.205555555555293</v>
      </c>
      <c r="AB970" s="102"/>
      <c r="AC970" s="35"/>
      <c r="AD970" s="35"/>
    </row>
    <row r="971" spans="1:30">
      <c r="A971" s="102">
        <f t="shared" si="15"/>
        <v>970</v>
      </c>
      <c r="B971" s="257">
        <f>YEAR(Table6[[#This Row],[Date]])+IF(MONTH(Table6[[#This Row],[Date]])&gt;=4,1,0)</f>
        <v>2026</v>
      </c>
      <c r="C971" s="102">
        <f>YEAR(Table6[[#This Row],[Date]])</f>
        <v>2025</v>
      </c>
      <c r="D971" s="102" t="s">
        <v>265</v>
      </c>
      <c r="E971" s="258">
        <f>Table6[[#This Row],[Date]]-DAY(Table6[[#This Row],[Date]])+1</f>
        <v>45778</v>
      </c>
      <c r="F971" s="259">
        <v>45808</v>
      </c>
      <c r="G971" s="35" t="s">
        <v>123</v>
      </c>
      <c r="H971" s="35" t="str">
        <f>IFERROR(_xlfn.XLOOKUP(Table6[[#This Row],[Affected WTG]],'Basic Data'!$A:$A,'Basic Data'!$B:$B),"")</f>
        <v>TQGXIIPL</v>
      </c>
      <c r="I971" s="35" t="str">
        <f>IFERROR(_xlfn.XLOOKUP(Table6[[#This Row],[Affected WTG]],'Basic Data'!$A:$A,'Basic Data'!$C:$C),"")</f>
        <v>GEDA</v>
      </c>
      <c r="J971" s="260">
        <f>IFERROR(_xlfn.XLOOKUP(Table6[[#This Row],[Affected WTG]],'Basic Data'!$A:$A,'Basic Data'!$E:$E),"")</f>
        <v>3.846153846153845E-2</v>
      </c>
      <c r="K971" s="102">
        <v>6130</v>
      </c>
      <c r="L971" s="35" t="str">
        <f>IFERROR(_xlfn.XLOOKUP(Table6[[#This Row],[Error Code]],'Basic Data'!$AA:$AA,'Basic Data'!$AB:$AB),"Incorrect Error Code")</f>
        <v>Yaw speed high</v>
      </c>
      <c r="M971" s="35" t="s">
        <v>278</v>
      </c>
      <c r="N971" s="264"/>
      <c r="O971" s="265">
        <v>0.53402777777777777</v>
      </c>
      <c r="P971" s="265">
        <v>0.53819444444444442</v>
      </c>
      <c r="Q971" s="266">
        <v>0.53819444444444442</v>
      </c>
      <c r="R971" s="261">
        <f>IF(Table6[[#This Row],[Work Start TimeStamp]]="","",(Table6[[#This Row],[Work Start TimeStamp]]-Table6[[#This Row],[Fault Start TimeStamp]])*24)</f>
        <v>9.9999999999999645E-2</v>
      </c>
      <c r="S971" s="261">
        <f>(Table6[[#This Row],[Fault Clearance time]]-Table6[[#This Row],[Work Start TimeStamp]])*24</f>
        <v>0</v>
      </c>
      <c r="T971" s="261">
        <f>(Table6[[#This Row],[Fault Clearance time]]-Table6[[#This Row],[Fault Start TimeStamp]])*24</f>
        <v>9.9999999999999645E-2</v>
      </c>
      <c r="U971" s="35" t="s">
        <v>277</v>
      </c>
      <c r="V971" s="102" t="s">
        <v>268</v>
      </c>
      <c r="W971" s="267">
        <f>IFERROR(Table6[[#This Row],[Breakdown Time]]*Table6[[#This Row],[Plant Equivalent Weightage]],"")</f>
        <v>3.8461538461538312E-3</v>
      </c>
      <c r="X971" s="262" t="s">
        <v>269</v>
      </c>
      <c r="Y971" s="263" t="s">
        <v>117</v>
      </c>
      <c r="Z971" s="102">
        <v>55547</v>
      </c>
      <c r="AA971" s="257">
        <f>(Table6[[#This Row],[Paired WTG Generation for loss calculation]]/24)*Table6[[#This Row],[Breakdown Time]]</f>
        <v>231.44583333333253</v>
      </c>
      <c r="AB971" s="102"/>
      <c r="AC971" s="35"/>
      <c r="AD971" s="35"/>
    </row>
    <row r="972" spans="1:30">
      <c r="A972" s="102">
        <f t="shared" si="15"/>
        <v>971</v>
      </c>
      <c r="B972" s="257">
        <f>YEAR(Table6[[#This Row],[Date]])+IF(MONTH(Table6[[#This Row],[Date]])&gt;=4,1,0)</f>
        <v>2026</v>
      </c>
      <c r="C972" s="102">
        <f>YEAR(Table6[[#This Row],[Date]])</f>
        <v>2025</v>
      </c>
      <c r="D972" s="102" t="s">
        <v>265</v>
      </c>
      <c r="E972" s="258">
        <f>Table6[[#This Row],[Date]]-DAY(Table6[[#This Row],[Date]])+1</f>
        <v>45778</v>
      </c>
      <c r="F972" s="259">
        <v>45808</v>
      </c>
      <c r="G972" s="35" t="s">
        <v>124</v>
      </c>
      <c r="H972" s="35" t="str">
        <f>IFERROR(_xlfn.XLOOKUP(Table6[[#This Row],[Affected WTG]],'Basic Data'!$A:$A,'Basic Data'!$B:$B),"")</f>
        <v>TQGXIIPL</v>
      </c>
      <c r="I972" s="35" t="str">
        <f>IFERROR(_xlfn.XLOOKUP(Table6[[#This Row],[Affected WTG]],'Basic Data'!$A:$A,'Basic Data'!$C:$C),"")</f>
        <v>GEDA</v>
      </c>
      <c r="J972" s="260">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278</v>
      </c>
      <c r="N972" s="264"/>
      <c r="O972" s="265">
        <v>0.70416666666666672</v>
      </c>
      <c r="P972" s="265">
        <v>0.7055555555555556</v>
      </c>
      <c r="Q972" s="266">
        <v>0.7055555555555556</v>
      </c>
      <c r="R972" s="261">
        <f>IF(Table6[[#This Row],[Work Start TimeStamp]]="","",(Table6[[#This Row],[Work Start TimeStamp]]-Table6[[#This Row],[Fault Start TimeStamp]])*24)</f>
        <v>3.3333333333333215E-2</v>
      </c>
      <c r="S972" s="261">
        <f>(Table6[[#This Row],[Fault Clearance time]]-Table6[[#This Row],[Work Start TimeStamp]])*24</f>
        <v>0</v>
      </c>
      <c r="T972" s="261">
        <f>(Table6[[#This Row],[Fault Clearance time]]-Table6[[#This Row],[Fault Start TimeStamp]])*24</f>
        <v>3.3333333333333215E-2</v>
      </c>
      <c r="U972" s="35" t="s">
        <v>277</v>
      </c>
      <c r="V972" s="102" t="s">
        <v>268</v>
      </c>
      <c r="W972" s="267">
        <f>IFERROR(Table6[[#This Row],[Breakdown Time]]*Table6[[#This Row],[Plant Equivalent Weightage]],"")</f>
        <v>1.2820512820512771E-3</v>
      </c>
      <c r="X972" s="262" t="s">
        <v>269</v>
      </c>
      <c r="Y972" s="263" t="s">
        <v>129</v>
      </c>
      <c r="Z972" s="102">
        <v>52780</v>
      </c>
      <c r="AA972" s="257">
        <f>(Table6[[#This Row],[Paired WTG Generation for loss calculation]]/24)*Table6[[#This Row],[Breakdown Time]]</f>
        <v>73.305555555555287</v>
      </c>
      <c r="AB972" s="102"/>
      <c r="AC972" s="35"/>
      <c r="AD972" s="35"/>
    </row>
    <row r="973" spans="1:30">
      <c r="A973" s="102">
        <f t="shared" si="15"/>
        <v>972</v>
      </c>
      <c r="B973" s="257">
        <f>YEAR(Table6[[#This Row],[Date]])+IF(MONTH(Table6[[#This Row],[Date]])&gt;=4,1,0)</f>
        <v>2026</v>
      </c>
      <c r="C973" s="102">
        <f>YEAR(Table6[[#This Row],[Date]])</f>
        <v>2025</v>
      </c>
      <c r="D973" s="102" t="s">
        <v>265</v>
      </c>
      <c r="E973" s="258">
        <f>Table6[[#This Row],[Date]]-DAY(Table6[[#This Row],[Date]])+1</f>
        <v>45778</v>
      </c>
      <c r="F973" s="259">
        <v>45808</v>
      </c>
      <c r="G973" s="35" t="s">
        <v>124</v>
      </c>
      <c r="H973" s="35" t="str">
        <f>IFERROR(_xlfn.XLOOKUP(Table6[[#This Row],[Affected WTG]],'Basic Data'!$A:$A,'Basic Data'!$B:$B),"")</f>
        <v>TQGXIIPL</v>
      </c>
      <c r="I973" s="35" t="str">
        <f>IFERROR(_xlfn.XLOOKUP(Table6[[#This Row],[Affected WTG]],'Basic Data'!$A:$A,'Basic Data'!$C:$C),"")</f>
        <v>GEDA</v>
      </c>
      <c r="J973" s="260">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278</v>
      </c>
      <c r="N973" s="264"/>
      <c r="O973" s="265">
        <v>0.72569444444444442</v>
      </c>
      <c r="P973" s="265">
        <v>0.7270833333333333</v>
      </c>
      <c r="Q973" s="266">
        <v>0.7270833333333333</v>
      </c>
      <c r="R973" s="261">
        <f>IF(Table6[[#This Row],[Work Start TimeStamp]]="","",(Table6[[#This Row],[Work Start TimeStamp]]-Table6[[#This Row],[Fault Start TimeStamp]])*24)</f>
        <v>3.3333333333333215E-2</v>
      </c>
      <c r="S973" s="261">
        <f>(Table6[[#This Row],[Fault Clearance time]]-Table6[[#This Row],[Work Start TimeStamp]])*24</f>
        <v>0</v>
      </c>
      <c r="T973" s="261">
        <f>(Table6[[#This Row],[Fault Clearance time]]-Table6[[#This Row],[Fault Start TimeStamp]])*24</f>
        <v>3.3333333333333215E-2</v>
      </c>
      <c r="U973" s="35" t="s">
        <v>489</v>
      </c>
      <c r="V973" s="102" t="s">
        <v>268</v>
      </c>
      <c r="W973" s="267">
        <f>IFERROR(Table6[[#This Row],[Breakdown Time]]*Table6[[#This Row],[Plant Equivalent Weightage]],"")</f>
        <v>1.2820512820512771E-3</v>
      </c>
      <c r="X973" s="262" t="s">
        <v>269</v>
      </c>
      <c r="Y973" s="263" t="s">
        <v>129</v>
      </c>
      <c r="Z973" s="102">
        <v>52780</v>
      </c>
      <c r="AA973" s="257">
        <f>(Table6[[#This Row],[Paired WTG Generation for loss calculation]]/24)*Table6[[#This Row],[Breakdown Time]]</f>
        <v>73.305555555555287</v>
      </c>
      <c r="AB973" s="102"/>
      <c r="AC973" s="35"/>
      <c r="AD973" s="35"/>
    </row>
    <row r="974" spans="1:30">
      <c r="A974" s="102">
        <f t="shared" ref="A974:A1037" si="16">A973+1</f>
        <v>973</v>
      </c>
      <c r="B974" s="257">
        <f>YEAR(Table6[[#This Row],[Date]])+IF(MONTH(Table6[[#This Row],[Date]])&gt;=4,1,0)</f>
        <v>2026</v>
      </c>
      <c r="C974" s="102">
        <f>YEAR(Table6[[#This Row],[Date]])</f>
        <v>2025</v>
      </c>
      <c r="D974" s="102" t="s">
        <v>265</v>
      </c>
      <c r="E974" s="258">
        <f>Table6[[#This Row],[Date]]-DAY(Table6[[#This Row],[Date]])+1</f>
        <v>45778</v>
      </c>
      <c r="F974" s="259">
        <v>45808</v>
      </c>
      <c r="G974" s="35" t="s">
        <v>124</v>
      </c>
      <c r="H974" s="35" t="str">
        <f>IFERROR(_xlfn.XLOOKUP(Table6[[#This Row],[Affected WTG]],'Basic Data'!$A:$A,'Basic Data'!$B:$B),"")</f>
        <v>TQGXIIPL</v>
      </c>
      <c r="I974" s="35" t="str">
        <f>IFERROR(_xlfn.XLOOKUP(Table6[[#This Row],[Affected WTG]],'Basic Data'!$A:$A,'Basic Data'!$C:$C),"")</f>
        <v>GEDA</v>
      </c>
      <c r="J974" s="260">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266</v>
      </c>
      <c r="N974" s="264"/>
      <c r="O974" s="265">
        <v>0.8256944444444444</v>
      </c>
      <c r="P974" s="265">
        <v>0.82916666666666672</v>
      </c>
      <c r="Q974" s="266">
        <v>0.82916666666666672</v>
      </c>
      <c r="R974" s="261">
        <f>IF(Table6[[#This Row],[Work Start TimeStamp]]="","",(Table6[[#This Row],[Work Start TimeStamp]]-Table6[[#This Row],[Fault Start TimeStamp]])*24)</f>
        <v>8.3333333333335702E-2</v>
      </c>
      <c r="S974" s="261">
        <f>(Table6[[#This Row],[Fault Clearance time]]-Table6[[#This Row],[Work Start TimeStamp]])*24</f>
        <v>0</v>
      </c>
      <c r="T974" s="261">
        <f>(Table6[[#This Row],[Fault Clearance time]]-Table6[[#This Row],[Fault Start TimeStamp]])*24</f>
        <v>8.3333333333335702E-2</v>
      </c>
      <c r="U974" s="35" t="s">
        <v>485</v>
      </c>
      <c r="V974" s="102" t="s">
        <v>268</v>
      </c>
      <c r="W974" s="267">
        <f>IFERROR(Table6[[#This Row],[Breakdown Time]]*Table6[[#This Row],[Plant Equivalent Weightage]],"")</f>
        <v>3.2051282051282952E-3</v>
      </c>
      <c r="X974" s="262" t="s">
        <v>269</v>
      </c>
      <c r="Y974" s="263" t="s">
        <v>129</v>
      </c>
      <c r="Z974" s="102">
        <v>52780</v>
      </c>
      <c r="AA974" s="257">
        <f>(Table6[[#This Row],[Paired WTG Generation for loss calculation]]/24)*Table6[[#This Row],[Breakdown Time]]</f>
        <v>183.26388888889409</v>
      </c>
      <c r="AB974" s="102"/>
      <c r="AC974" s="35"/>
      <c r="AD974" s="35"/>
    </row>
    <row r="975" spans="1:30">
      <c r="A975" s="102">
        <f t="shared" si="16"/>
        <v>974</v>
      </c>
      <c r="B975" s="257">
        <f>YEAR(Table6[[#This Row],[Date]])+IF(MONTH(Table6[[#This Row],[Date]])&gt;=4,1,0)</f>
        <v>2026</v>
      </c>
      <c r="C975" s="102">
        <f>YEAR(Table6[[#This Row],[Date]])</f>
        <v>2025</v>
      </c>
      <c r="D975" s="102" t="s">
        <v>265</v>
      </c>
      <c r="E975" s="258">
        <f>Table6[[#This Row],[Date]]-DAY(Table6[[#This Row],[Date]])+1</f>
        <v>45778</v>
      </c>
      <c r="F975" s="259">
        <v>45808</v>
      </c>
      <c r="G975" s="35" t="s">
        <v>127</v>
      </c>
      <c r="H975" s="35" t="str">
        <f>IFERROR(_xlfn.XLOOKUP(Table6[[#This Row],[Affected WTG]],'Basic Data'!$A:$A,'Basic Data'!$B:$B),"")</f>
        <v>TQGXIIPL</v>
      </c>
      <c r="I975" s="35" t="str">
        <f>IFERROR(_xlfn.XLOOKUP(Table6[[#This Row],[Affected WTG]],'Basic Data'!$A:$A,'Basic Data'!$C:$C),"")</f>
        <v>GEDA</v>
      </c>
      <c r="J975" s="260">
        <f>IFERROR(_xlfn.XLOOKUP(Table6[[#This Row],[Affected WTG]],'Basic Data'!$A:$A,'Basic Data'!$E:$E),"")</f>
        <v>3.846153846153845E-2</v>
      </c>
      <c r="K975" s="102">
        <v>6130</v>
      </c>
      <c r="L975" s="35" t="str">
        <f>IFERROR(_xlfn.XLOOKUP(Table6[[#This Row],[Error Code]],'Basic Data'!$AA:$AA,'Basic Data'!$AB:$AB),"Incorrect Error Code")</f>
        <v>Yaw speed high</v>
      </c>
      <c r="M975" s="35" t="s">
        <v>278</v>
      </c>
      <c r="N975" s="264"/>
      <c r="O975" s="265">
        <v>0.50694444444444442</v>
      </c>
      <c r="P975" s="265">
        <v>0.51111111111111107</v>
      </c>
      <c r="Q975" s="266">
        <v>0.51111111111111107</v>
      </c>
      <c r="R975" s="261">
        <f>IF(Table6[[#This Row],[Work Start TimeStamp]]="","",(Table6[[#This Row],[Work Start TimeStamp]]-Table6[[#This Row],[Fault Start TimeStamp]])*24)</f>
        <v>9.9999999999999645E-2</v>
      </c>
      <c r="S975" s="261">
        <f>(Table6[[#This Row],[Fault Clearance time]]-Table6[[#This Row],[Work Start TimeStamp]])*24</f>
        <v>0</v>
      </c>
      <c r="T975" s="261">
        <f>(Table6[[#This Row],[Fault Clearance time]]-Table6[[#This Row],[Fault Start TimeStamp]])*24</f>
        <v>9.9999999999999645E-2</v>
      </c>
      <c r="U975" s="35" t="s">
        <v>277</v>
      </c>
      <c r="V975" s="102" t="s">
        <v>268</v>
      </c>
      <c r="W975" s="267">
        <f>IFERROR(Table6[[#This Row],[Breakdown Time]]*Table6[[#This Row],[Plant Equivalent Weightage]],"")</f>
        <v>3.8461538461538312E-3</v>
      </c>
      <c r="X975" s="262" t="s">
        <v>269</v>
      </c>
      <c r="Y975" s="263" t="s">
        <v>125</v>
      </c>
      <c r="Z975" s="102">
        <v>54037</v>
      </c>
      <c r="AA975" s="257">
        <f>(Table6[[#This Row],[Paired WTG Generation for loss calculation]]/24)*Table6[[#This Row],[Breakdown Time]]</f>
        <v>225.15416666666584</v>
      </c>
      <c r="AB975" s="102"/>
      <c r="AC975" s="35"/>
      <c r="AD975" s="35"/>
    </row>
    <row r="976" spans="1:30">
      <c r="A976" s="102">
        <f t="shared" si="16"/>
        <v>975</v>
      </c>
      <c r="B976" s="257">
        <f>YEAR(Table6[[#This Row],[Date]])+IF(MONTH(Table6[[#This Row],[Date]])&gt;=4,1,0)</f>
        <v>2026</v>
      </c>
      <c r="C976" s="102">
        <f>YEAR(Table6[[#This Row],[Date]])</f>
        <v>2025</v>
      </c>
      <c r="D976" s="102" t="s">
        <v>265</v>
      </c>
      <c r="E976" s="258">
        <f>Table6[[#This Row],[Date]]-DAY(Table6[[#This Row],[Date]])+1</f>
        <v>45778</v>
      </c>
      <c r="F976" s="259">
        <v>45808</v>
      </c>
      <c r="G976" s="35" t="s">
        <v>127</v>
      </c>
      <c r="H976" s="35" t="str">
        <f>IFERROR(_xlfn.XLOOKUP(Table6[[#This Row],[Affected WTG]],'Basic Data'!$A:$A,'Basic Data'!$B:$B),"")</f>
        <v>TQGXIIPL</v>
      </c>
      <c r="I976" s="35" t="str">
        <f>IFERROR(_xlfn.XLOOKUP(Table6[[#This Row],[Affected WTG]],'Basic Data'!$A:$A,'Basic Data'!$C:$C),"")</f>
        <v>GEDA</v>
      </c>
      <c r="J976" s="260">
        <f>IFERROR(_xlfn.XLOOKUP(Table6[[#This Row],[Affected WTG]],'Basic Data'!$A:$A,'Basic Data'!$E:$E),"")</f>
        <v>3.846153846153845E-2</v>
      </c>
      <c r="K976" s="102">
        <v>6130</v>
      </c>
      <c r="L976" s="35" t="str">
        <f>IFERROR(_xlfn.XLOOKUP(Table6[[#This Row],[Error Code]],'Basic Data'!$AA:$AA,'Basic Data'!$AB:$AB),"Incorrect Error Code")</f>
        <v>Yaw speed high</v>
      </c>
      <c r="M976" s="35" t="s">
        <v>266</v>
      </c>
      <c r="N976" s="264"/>
      <c r="O976" s="265">
        <v>0.52500000000000002</v>
      </c>
      <c r="P976" s="265">
        <v>0.54374999999999996</v>
      </c>
      <c r="Q976" s="266">
        <v>0.54374999999999996</v>
      </c>
      <c r="R976" s="261">
        <f>IF(Table6[[#This Row],[Work Start TimeStamp]]="","",(Table6[[#This Row],[Work Start TimeStamp]]-Table6[[#This Row],[Fault Start TimeStamp]])*24)</f>
        <v>0.4499999999999984</v>
      </c>
      <c r="S976" s="261">
        <f>(Table6[[#This Row],[Fault Clearance time]]-Table6[[#This Row],[Work Start TimeStamp]])*24</f>
        <v>0</v>
      </c>
      <c r="T976" s="261">
        <f>(Table6[[#This Row],[Fault Clearance time]]-Table6[[#This Row],[Fault Start TimeStamp]])*24</f>
        <v>0.4499999999999984</v>
      </c>
      <c r="U976" s="35" t="s">
        <v>490</v>
      </c>
      <c r="V976" s="102" t="s">
        <v>268</v>
      </c>
      <c r="W976" s="267">
        <f>IFERROR(Table6[[#This Row],[Breakdown Time]]*Table6[[#This Row],[Plant Equivalent Weightage]],"")</f>
        <v>1.7307692307692239E-2</v>
      </c>
      <c r="X976" s="262" t="s">
        <v>296</v>
      </c>
      <c r="Y976" s="263" t="s">
        <v>125</v>
      </c>
      <c r="Z976" s="102">
        <v>54037</v>
      </c>
      <c r="AA976" s="257">
        <f>(Table6[[#This Row],[Paired WTG Generation for loss calculation]]/24)*Table6[[#This Row],[Breakdown Time]]</f>
        <v>1013.1937499999964</v>
      </c>
      <c r="AB976" s="102"/>
      <c r="AC976" s="35"/>
      <c r="AD976" s="35"/>
    </row>
    <row r="977" spans="1:30">
      <c r="A977" s="102">
        <f t="shared" si="16"/>
        <v>976</v>
      </c>
      <c r="B977" s="257">
        <f>YEAR(Table6[[#This Row],[Date]])+IF(MONTH(Table6[[#This Row],[Date]])&gt;=4,1,0)</f>
        <v>2026</v>
      </c>
      <c r="C977" s="102">
        <f>YEAR(Table6[[#This Row],[Date]])</f>
        <v>2025</v>
      </c>
      <c r="D977" s="102" t="s">
        <v>265</v>
      </c>
      <c r="E977" s="258">
        <f>Table6[[#This Row],[Date]]-DAY(Table6[[#This Row],[Date]])+1</f>
        <v>45778</v>
      </c>
      <c r="F977" s="259">
        <v>45808</v>
      </c>
      <c r="G977" s="35" t="s">
        <v>127</v>
      </c>
      <c r="H977" s="35" t="str">
        <f>IFERROR(_xlfn.XLOOKUP(Table6[[#This Row],[Affected WTG]],'Basic Data'!$A:$A,'Basic Data'!$B:$B),"")</f>
        <v>TQGXIIPL</v>
      </c>
      <c r="I977" s="35" t="str">
        <f>IFERROR(_xlfn.XLOOKUP(Table6[[#This Row],[Affected WTG]],'Basic Data'!$A:$A,'Basic Data'!$C:$C),"")</f>
        <v>GEDA</v>
      </c>
      <c r="J977" s="260">
        <f>IFERROR(_xlfn.XLOOKUP(Table6[[#This Row],[Affected WTG]],'Basic Data'!$A:$A,'Basic Data'!$E:$E),"")</f>
        <v>3.846153846153845E-2</v>
      </c>
      <c r="K977" s="102">
        <v>1070</v>
      </c>
      <c r="L977" s="35" t="str">
        <f>IFERROR(_xlfn.XLOOKUP(Table6[[#This Row],[Error Code]],'Basic Data'!$AA:$AA,'Basic Data'!$AB:$AB),"Incorrect Error Code")</f>
        <v>Drive train monitor level 2</v>
      </c>
      <c r="M977" s="35" t="s">
        <v>266</v>
      </c>
      <c r="N977" s="264"/>
      <c r="O977" s="265">
        <v>0.72916666666666663</v>
      </c>
      <c r="P977" s="265">
        <v>0.73472222222222228</v>
      </c>
      <c r="Q977" s="266">
        <v>0.73472222222222228</v>
      </c>
      <c r="R977" s="261">
        <f>IF(Table6[[#This Row],[Work Start TimeStamp]]="","",(Table6[[#This Row],[Work Start TimeStamp]]-Table6[[#This Row],[Fault Start TimeStamp]])*24)</f>
        <v>0.13333333333333552</v>
      </c>
      <c r="S977" s="261">
        <f>(Table6[[#This Row],[Fault Clearance time]]-Table6[[#This Row],[Work Start TimeStamp]])*24</f>
        <v>0</v>
      </c>
      <c r="T977" s="261">
        <f>(Table6[[#This Row],[Fault Clearance time]]-Table6[[#This Row],[Fault Start TimeStamp]])*24</f>
        <v>0.13333333333333552</v>
      </c>
      <c r="U977" s="35" t="s">
        <v>485</v>
      </c>
      <c r="V977" s="102" t="s">
        <v>268</v>
      </c>
      <c r="W977" s="267">
        <f>IFERROR(Table6[[#This Row],[Breakdown Time]]*Table6[[#This Row],[Plant Equivalent Weightage]],"")</f>
        <v>5.1282051282052106E-3</v>
      </c>
      <c r="X977" s="262" t="s">
        <v>296</v>
      </c>
      <c r="Y977" s="263" t="s">
        <v>125</v>
      </c>
      <c r="Z977" s="102">
        <v>54037</v>
      </c>
      <c r="AA977" s="257">
        <f>(Table6[[#This Row],[Paired WTG Generation for loss calculation]]/24)*Table6[[#This Row],[Breakdown Time]]</f>
        <v>300.20555555556047</v>
      </c>
      <c r="AB977" s="102"/>
      <c r="AC977" s="35"/>
      <c r="AD977" s="35"/>
    </row>
    <row r="978" spans="1:30">
      <c r="A978" s="102">
        <f t="shared" si="16"/>
        <v>977</v>
      </c>
      <c r="B978" s="257">
        <f>YEAR(Table6[[#This Row],[Date]])+IF(MONTH(Table6[[#This Row],[Date]])&gt;=4,1,0)</f>
        <v>2026</v>
      </c>
      <c r="C978" s="102">
        <f>YEAR(Table6[[#This Row],[Date]])</f>
        <v>2025</v>
      </c>
      <c r="D978" s="102" t="s">
        <v>265</v>
      </c>
      <c r="E978" s="258">
        <f>Table6[[#This Row],[Date]]-DAY(Table6[[#This Row],[Date]])+1</f>
        <v>45778</v>
      </c>
      <c r="F978" s="259">
        <v>45808</v>
      </c>
      <c r="G978" s="35" t="s">
        <v>130</v>
      </c>
      <c r="H978" s="35" t="str">
        <f>IFERROR(_xlfn.XLOOKUP(Table6[[#This Row],[Affected WTG]],'Basic Data'!$A:$A,'Basic Data'!$B:$B),"")</f>
        <v>TQGXIIPL</v>
      </c>
      <c r="I978" s="35" t="str">
        <f>IFERROR(_xlfn.XLOOKUP(Table6[[#This Row],[Affected WTG]],'Basic Data'!$A:$A,'Basic Data'!$C:$C),"")</f>
        <v>GEDA</v>
      </c>
      <c r="J978" s="260">
        <f>IFERROR(_xlfn.XLOOKUP(Table6[[#This Row],[Affected WTG]],'Basic Data'!$A:$A,'Basic Data'!$E:$E),"")</f>
        <v>3.846153846153845E-2</v>
      </c>
      <c r="K978" s="102">
        <v>1070</v>
      </c>
      <c r="L978" s="35" t="str">
        <f>IFERROR(_xlfn.XLOOKUP(Table6[[#This Row],[Error Code]],'Basic Data'!$AA:$AA,'Basic Data'!$AB:$AB),"Incorrect Error Code")</f>
        <v>Drive train monitor level 2</v>
      </c>
      <c r="M978" s="35" t="s">
        <v>266</v>
      </c>
      <c r="N978" s="264"/>
      <c r="O978" s="265">
        <v>0.72152777777777777</v>
      </c>
      <c r="P978" s="265">
        <v>0.73055555555555551</v>
      </c>
      <c r="Q978" s="266">
        <v>0.73055555555555551</v>
      </c>
      <c r="R978" s="261">
        <f>IF(Table6[[#This Row],[Work Start TimeStamp]]="","",(Table6[[#This Row],[Work Start TimeStamp]]-Table6[[#This Row],[Fault Start TimeStamp]])*24)</f>
        <v>0.2166666666666659</v>
      </c>
      <c r="S978" s="261">
        <f>(Table6[[#This Row],[Fault Clearance time]]-Table6[[#This Row],[Work Start TimeStamp]])*24</f>
        <v>0</v>
      </c>
      <c r="T978" s="261">
        <f>(Table6[[#This Row],[Fault Clearance time]]-Table6[[#This Row],[Fault Start TimeStamp]])*24</f>
        <v>0.2166666666666659</v>
      </c>
      <c r="U978" s="35" t="s">
        <v>485</v>
      </c>
      <c r="V978" s="102" t="s">
        <v>268</v>
      </c>
      <c r="W978" s="267">
        <f>IFERROR(Table6[[#This Row],[Breakdown Time]]*Table6[[#This Row],[Plant Equivalent Weightage]],"")</f>
        <v>8.333333333333302E-3</v>
      </c>
      <c r="X978" s="262" t="s">
        <v>296</v>
      </c>
      <c r="Y978" s="263" t="s">
        <v>135</v>
      </c>
      <c r="Z978" s="102">
        <v>47315</v>
      </c>
      <c r="AA978" s="257">
        <f>(Table6[[#This Row],[Paired WTG Generation for loss calculation]]/24)*Table6[[#This Row],[Breakdown Time]]</f>
        <v>427.14930555555401</v>
      </c>
      <c r="AB978" s="102"/>
      <c r="AC978" s="35"/>
      <c r="AD978" s="35"/>
    </row>
    <row r="979" spans="1:30">
      <c r="A979" s="102">
        <f t="shared" si="16"/>
        <v>978</v>
      </c>
      <c r="B979" s="257">
        <f>YEAR(Table6[[#This Row],[Date]])+IF(MONTH(Table6[[#This Row],[Date]])&gt;=4,1,0)</f>
        <v>2026</v>
      </c>
      <c r="C979" s="102">
        <f>YEAR(Table6[[#This Row],[Date]])</f>
        <v>2025</v>
      </c>
      <c r="D979" s="102" t="s">
        <v>265</v>
      </c>
      <c r="E979" s="258">
        <f>Table6[[#This Row],[Date]]-DAY(Table6[[#This Row],[Date]])+1</f>
        <v>45778</v>
      </c>
      <c r="F979" s="259">
        <v>45808</v>
      </c>
      <c r="G979" s="35" t="s">
        <v>132</v>
      </c>
      <c r="H979" s="35" t="str">
        <f>IFERROR(_xlfn.XLOOKUP(Table6[[#This Row],[Affected WTG]],'Basic Data'!$A:$A,'Basic Data'!$B:$B),"")</f>
        <v>TQGXIIPL</v>
      </c>
      <c r="I979" s="35" t="str">
        <f>IFERROR(_xlfn.XLOOKUP(Table6[[#This Row],[Affected WTG]],'Basic Data'!$A:$A,'Basic Data'!$C:$C),"")</f>
        <v>GEDA</v>
      </c>
      <c r="J979" s="260">
        <f>IFERROR(_xlfn.XLOOKUP(Table6[[#This Row],[Affected WTG]],'Basic Data'!$A:$A,'Basic Data'!$E:$E),"")</f>
        <v>3.846153846153845E-2</v>
      </c>
      <c r="K979" s="102">
        <v>6130</v>
      </c>
      <c r="L979" s="35" t="str">
        <f>IFERROR(_xlfn.XLOOKUP(Table6[[#This Row],[Error Code]],'Basic Data'!$AA:$AA,'Basic Data'!$AB:$AB),"Incorrect Error Code")</f>
        <v>Yaw speed high</v>
      </c>
      <c r="M979" s="35" t="s">
        <v>278</v>
      </c>
      <c r="N979" s="264"/>
      <c r="O979" s="265">
        <v>0.57013888888888886</v>
      </c>
      <c r="P979" s="265">
        <v>0.57499999999999996</v>
      </c>
      <c r="Q979" s="266">
        <v>0.57499999999999996</v>
      </c>
      <c r="R979" s="261">
        <f>IF(Table6[[#This Row],[Work Start TimeStamp]]="","",(Table6[[#This Row],[Work Start TimeStamp]]-Table6[[#This Row],[Fault Start TimeStamp]])*24)</f>
        <v>0.11666666666666625</v>
      </c>
      <c r="S979" s="261">
        <f>(Table6[[#This Row],[Fault Clearance time]]-Table6[[#This Row],[Work Start TimeStamp]])*24</f>
        <v>0</v>
      </c>
      <c r="T979" s="261">
        <f>(Table6[[#This Row],[Fault Clearance time]]-Table6[[#This Row],[Fault Start TimeStamp]])*24</f>
        <v>0.11666666666666625</v>
      </c>
      <c r="U979" s="35" t="s">
        <v>277</v>
      </c>
      <c r="V979" s="102" t="s">
        <v>268</v>
      </c>
      <c r="W979" s="267">
        <f>IFERROR(Table6[[#This Row],[Breakdown Time]]*Table6[[#This Row],[Plant Equivalent Weightage]],"")</f>
        <v>4.4871794871794695E-3</v>
      </c>
      <c r="X979" s="262" t="s">
        <v>269</v>
      </c>
      <c r="Y979" s="263" t="s">
        <v>120</v>
      </c>
      <c r="Z979" s="102">
        <v>47521</v>
      </c>
      <c r="AA979" s="257">
        <f>(Table6[[#This Row],[Paired WTG Generation for loss calculation]]/24)*Table6[[#This Row],[Breakdown Time]]</f>
        <v>231.0048611111103</v>
      </c>
      <c r="AB979" s="102"/>
      <c r="AC979" s="35"/>
      <c r="AD979" s="35"/>
    </row>
    <row r="980" spans="1:30">
      <c r="A980" s="102">
        <f t="shared" si="16"/>
        <v>979</v>
      </c>
      <c r="B980" s="257">
        <f>YEAR(Table6[[#This Row],[Date]])+IF(MONTH(Table6[[#This Row],[Date]])&gt;=4,1,0)</f>
        <v>2026</v>
      </c>
      <c r="C980" s="102">
        <f>YEAR(Table6[[#This Row],[Date]])</f>
        <v>2025</v>
      </c>
      <c r="D980" s="102" t="s">
        <v>265</v>
      </c>
      <c r="E980" s="258">
        <f>Table6[[#This Row],[Date]]-DAY(Table6[[#This Row],[Date]])+1</f>
        <v>45778</v>
      </c>
      <c r="F980" s="259">
        <v>45808</v>
      </c>
      <c r="G980" s="35" t="s">
        <v>134</v>
      </c>
      <c r="H980" s="35" t="str">
        <f>IFERROR(_xlfn.XLOOKUP(Table6[[#This Row],[Affected WTG]],'Basic Data'!$A:$A,'Basic Data'!$B:$B),"")</f>
        <v>TQGXIIPL</v>
      </c>
      <c r="I980" s="35" t="str">
        <f>IFERROR(_xlfn.XLOOKUP(Table6[[#This Row],[Affected WTG]],'Basic Data'!$A:$A,'Basic Data'!$C:$C),"")</f>
        <v>GEDA</v>
      </c>
      <c r="J980" s="260">
        <f>IFERROR(_xlfn.XLOOKUP(Table6[[#This Row],[Affected WTG]],'Basic Data'!$A:$A,'Basic Data'!$E:$E),"")</f>
        <v>3.846153846153845E-2</v>
      </c>
      <c r="K980" s="102">
        <v>6130</v>
      </c>
      <c r="L980" s="35" t="str">
        <f>IFERROR(_xlfn.XLOOKUP(Table6[[#This Row],[Error Code]],'Basic Data'!$AA:$AA,'Basic Data'!$AB:$AB),"Incorrect Error Code")</f>
        <v>Yaw speed high</v>
      </c>
      <c r="M980" s="35" t="s">
        <v>278</v>
      </c>
      <c r="N980" s="264"/>
      <c r="O980" s="265">
        <v>0.49583333333333335</v>
      </c>
      <c r="P980" s="265">
        <v>0.5</v>
      </c>
      <c r="Q980" s="266">
        <v>0.5</v>
      </c>
      <c r="R980" s="261">
        <f>IF(Table6[[#This Row],[Work Start TimeStamp]]="","",(Table6[[#This Row],[Work Start TimeStamp]]-Table6[[#This Row],[Fault Start TimeStamp]])*24)</f>
        <v>9.9999999999999645E-2</v>
      </c>
      <c r="S980" s="261">
        <f>(Table6[[#This Row],[Fault Clearance time]]-Table6[[#This Row],[Work Start TimeStamp]])*24</f>
        <v>0</v>
      </c>
      <c r="T980" s="261">
        <f>(Table6[[#This Row],[Fault Clearance time]]-Table6[[#This Row],[Fault Start TimeStamp]])*24</f>
        <v>9.9999999999999645E-2</v>
      </c>
      <c r="U980" s="35" t="s">
        <v>277</v>
      </c>
      <c r="V980" s="102" t="s">
        <v>268</v>
      </c>
      <c r="W980" s="267">
        <f>IFERROR(Table6[[#This Row],[Breakdown Time]]*Table6[[#This Row],[Plant Equivalent Weightage]],"")</f>
        <v>3.8461538461538312E-3</v>
      </c>
      <c r="X980" s="262" t="s">
        <v>269</v>
      </c>
      <c r="Y980" s="263" t="s">
        <v>138</v>
      </c>
      <c r="Z980" s="102">
        <v>47157</v>
      </c>
      <c r="AA980" s="257">
        <f>(Table6[[#This Row],[Paired WTG Generation for loss calculation]]/24)*Table6[[#This Row],[Breakdown Time]]</f>
        <v>196.4874999999993</v>
      </c>
      <c r="AB980" s="102"/>
      <c r="AC980" s="35"/>
      <c r="AD980" s="35"/>
    </row>
    <row r="981" spans="1:30">
      <c r="A981" s="102">
        <f t="shared" si="16"/>
        <v>980</v>
      </c>
      <c r="B981" s="257">
        <f>YEAR(Table6[[#This Row],[Date]])+IF(MONTH(Table6[[#This Row],[Date]])&gt;=4,1,0)</f>
        <v>2026</v>
      </c>
      <c r="C981" s="102">
        <f>YEAR(Table6[[#This Row],[Date]])</f>
        <v>2025</v>
      </c>
      <c r="D981" s="102" t="s">
        <v>265</v>
      </c>
      <c r="E981" s="258">
        <f>Table6[[#This Row],[Date]]-DAY(Table6[[#This Row],[Date]])+1</f>
        <v>45778</v>
      </c>
      <c r="F981" s="259">
        <v>45808</v>
      </c>
      <c r="G981" s="35" t="s">
        <v>137</v>
      </c>
      <c r="H981" s="35" t="str">
        <f>IFERROR(_xlfn.XLOOKUP(Table6[[#This Row],[Affected WTG]],'Basic Data'!$A:$A,'Basic Data'!$B:$B),"")</f>
        <v>TQGXIIPL</v>
      </c>
      <c r="I981" s="35" t="str">
        <f>IFERROR(_xlfn.XLOOKUP(Table6[[#This Row],[Affected WTG]],'Basic Data'!$A:$A,'Basic Data'!$C:$C),"")</f>
        <v>GEDA</v>
      </c>
      <c r="J981" s="260">
        <f>IFERROR(_xlfn.XLOOKUP(Table6[[#This Row],[Affected WTG]],'Basic Data'!$A:$A,'Basic Data'!$E:$E),"")</f>
        <v>3.846153846153845E-2</v>
      </c>
      <c r="K981" s="102">
        <v>6130</v>
      </c>
      <c r="L981" s="35" t="str">
        <f>IFERROR(_xlfn.XLOOKUP(Table6[[#This Row],[Error Code]],'Basic Data'!$AA:$AA,'Basic Data'!$AB:$AB),"Incorrect Error Code")</f>
        <v>Yaw speed high</v>
      </c>
      <c r="M981" s="35" t="s">
        <v>278</v>
      </c>
      <c r="N981" s="264"/>
      <c r="O981" s="265">
        <v>0.5180555555555556</v>
      </c>
      <c r="P981" s="265">
        <v>0.52222222222222225</v>
      </c>
      <c r="Q981" s="266">
        <v>0.52222222222222225</v>
      </c>
      <c r="R981" s="261">
        <f>IF(Table6[[#This Row],[Work Start TimeStamp]]="","",(Table6[[#This Row],[Work Start TimeStamp]]-Table6[[#This Row],[Fault Start TimeStamp]])*24)</f>
        <v>9.9999999999999645E-2</v>
      </c>
      <c r="S981" s="261">
        <f>(Table6[[#This Row],[Fault Clearance time]]-Table6[[#This Row],[Work Start TimeStamp]])*24</f>
        <v>0</v>
      </c>
      <c r="T981" s="261">
        <f>(Table6[[#This Row],[Fault Clearance time]]-Table6[[#This Row],[Fault Start TimeStamp]])*24</f>
        <v>9.9999999999999645E-2</v>
      </c>
      <c r="U981" s="35" t="s">
        <v>277</v>
      </c>
      <c r="V981" s="102" t="s">
        <v>268</v>
      </c>
      <c r="W981" s="267">
        <f>IFERROR(Table6[[#This Row],[Breakdown Time]]*Table6[[#This Row],[Plant Equivalent Weightage]],"")</f>
        <v>3.8461538461538312E-3</v>
      </c>
      <c r="X981" s="262" t="s">
        <v>269</v>
      </c>
      <c r="Y981" s="263" t="s">
        <v>125</v>
      </c>
      <c r="Z981" s="102">
        <v>54037</v>
      </c>
      <c r="AA981" s="257">
        <f>(Table6[[#This Row],[Paired WTG Generation for loss calculation]]/24)*Table6[[#This Row],[Breakdown Time]]</f>
        <v>225.15416666666584</v>
      </c>
      <c r="AB981" s="102"/>
      <c r="AC981" s="35"/>
      <c r="AD981" s="35"/>
    </row>
    <row r="982" spans="1:30">
      <c r="A982" s="102">
        <f t="shared" si="16"/>
        <v>981</v>
      </c>
      <c r="B982" s="257">
        <f>YEAR(Table6[[#This Row],[Date]])+IF(MONTH(Table6[[#This Row],[Date]])&gt;=4,1,0)</f>
        <v>2026</v>
      </c>
      <c r="C982" s="102">
        <f>YEAR(Table6[[#This Row],[Date]])</f>
        <v>2025</v>
      </c>
      <c r="D982" s="102" t="s">
        <v>265</v>
      </c>
      <c r="E982" s="258">
        <f>Table6[[#This Row],[Date]]-DAY(Table6[[#This Row],[Date]])+1</f>
        <v>45778</v>
      </c>
      <c r="F982" s="259">
        <v>45808</v>
      </c>
      <c r="G982" s="35" t="s">
        <v>138</v>
      </c>
      <c r="H982" s="35" t="str">
        <f>IFERROR(_xlfn.XLOOKUP(Table6[[#This Row],[Affected WTG]],'Basic Data'!$A:$A,'Basic Data'!$B:$B),"")</f>
        <v>TQGXIIPL</v>
      </c>
      <c r="I982" s="35" t="str">
        <f>IFERROR(_xlfn.XLOOKUP(Table6[[#This Row],[Affected WTG]],'Basic Data'!$A:$A,'Basic Data'!$C:$C),"")</f>
        <v>GEDA</v>
      </c>
      <c r="J982" s="260">
        <f>IFERROR(_xlfn.XLOOKUP(Table6[[#This Row],[Affected WTG]],'Basic Data'!$A:$A,'Basic Data'!$E:$E),"")</f>
        <v>3.846153846153845E-2</v>
      </c>
      <c r="K982" s="102">
        <v>1070</v>
      </c>
      <c r="L982" s="35" t="str">
        <f>IFERROR(_xlfn.XLOOKUP(Table6[[#This Row],[Error Code]],'Basic Data'!$AA:$AA,'Basic Data'!$AB:$AB),"Incorrect Error Code")</f>
        <v>Drive train monitor level 2</v>
      </c>
      <c r="M982" s="35" t="s">
        <v>278</v>
      </c>
      <c r="N982" s="264"/>
      <c r="O982" s="265">
        <v>0.71736111111111112</v>
      </c>
      <c r="P982" s="265">
        <v>0.71944444444444444</v>
      </c>
      <c r="Q982" s="266">
        <v>0.71944444444444444</v>
      </c>
      <c r="R982" s="261">
        <f>IF(Table6[[#This Row],[Work Start TimeStamp]]="","",(Table6[[#This Row],[Work Start TimeStamp]]-Table6[[#This Row],[Fault Start TimeStamp]])*24)</f>
        <v>4.9999999999999822E-2</v>
      </c>
      <c r="S982" s="261">
        <f>(Table6[[#This Row],[Fault Clearance time]]-Table6[[#This Row],[Work Start TimeStamp]])*24</f>
        <v>0</v>
      </c>
      <c r="T982" s="261">
        <f>(Table6[[#This Row],[Fault Clearance time]]-Table6[[#This Row],[Fault Start TimeStamp]])*24</f>
        <v>4.9999999999999822E-2</v>
      </c>
      <c r="U982" s="35" t="s">
        <v>277</v>
      </c>
      <c r="V982" s="102" t="s">
        <v>268</v>
      </c>
      <c r="W982" s="267">
        <f>IFERROR(Table6[[#This Row],[Breakdown Time]]*Table6[[#This Row],[Plant Equivalent Weightage]],"")</f>
        <v>1.9230769230769156E-3</v>
      </c>
      <c r="X982" s="262" t="s">
        <v>269</v>
      </c>
      <c r="Y982" s="263" t="s">
        <v>134</v>
      </c>
      <c r="Z982" s="102">
        <v>47567</v>
      </c>
      <c r="AA982" s="257">
        <f>(Table6[[#This Row],[Paired WTG Generation for loss calculation]]/24)*Table6[[#This Row],[Breakdown Time]]</f>
        <v>99.097916666666308</v>
      </c>
      <c r="AB982" s="102"/>
      <c r="AC982" s="35"/>
      <c r="AD982" s="35"/>
    </row>
    <row r="983" spans="1:30">
      <c r="A983" s="102">
        <f t="shared" si="16"/>
        <v>982</v>
      </c>
      <c r="B983" s="257">
        <f>YEAR(Table6[[#This Row],[Date]])+IF(MONTH(Table6[[#This Row],[Date]])&gt;=4,1,0)</f>
        <v>2026</v>
      </c>
      <c r="C983" s="102">
        <f>YEAR(Table6[[#This Row],[Date]])</f>
        <v>2025</v>
      </c>
      <c r="D983" s="102" t="s">
        <v>265</v>
      </c>
      <c r="E983" s="258">
        <f>Table6[[#This Row],[Date]]-DAY(Table6[[#This Row],[Date]])+1</f>
        <v>45778</v>
      </c>
      <c r="F983" s="259">
        <v>45808</v>
      </c>
      <c r="G983" s="35" t="s">
        <v>139</v>
      </c>
      <c r="H983" s="35" t="str">
        <f>IFERROR(_xlfn.XLOOKUP(Table6[[#This Row],[Affected WTG]],'Basic Data'!$A:$A,'Basic Data'!$B:$B),"")</f>
        <v>TQGXIIPL</v>
      </c>
      <c r="I983" s="35" t="str">
        <f>IFERROR(_xlfn.XLOOKUP(Table6[[#This Row],[Affected WTG]],'Basic Data'!$A:$A,'Basic Data'!$C:$C),"")</f>
        <v>GEDA</v>
      </c>
      <c r="J983" s="260">
        <f>IFERROR(_xlfn.XLOOKUP(Table6[[#This Row],[Affected WTG]],'Basic Data'!$A:$A,'Basic Data'!$E:$E),"")</f>
        <v>3.846153846153845E-2</v>
      </c>
      <c r="K983" s="102">
        <v>1700</v>
      </c>
      <c r="L983" s="35" t="str">
        <f>IFERROR(_xlfn.XLOOKUP(Table6[[#This Row],[Error Code]],'Basic Data'!$AA:$AA,'Basic Data'!$AB:$AB),"Incorrect Error Code")</f>
        <v>High temp. gear bearing 1</v>
      </c>
      <c r="M983" s="35" t="s">
        <v>266</v>
      </c>
      <c r="N983" s="264"/>
      <c r="O983" s="265">
        <v>0.68819444444444444</v>
      </c>
      <c r="P983" s="265">
        <v>0.69861111111111107</v>
      </c>
      <c r="Q983" s="266">
        <v>0.69861111111111107</v>
      </c>
      <c r="R983" s="261">
        <f>IF(Table6[[#This Row],[Work Start TimeStamp]]="","",(Table6[[#This Row],[Work Start TimeStamp]]-Table6[[#This Row],[Fault Start TimeStamp]])*24)</f>
        <v>0.24999999999999911</v>
      </c>
      <c r="S983" s="261">
        <f>(Table6[[#This Row],[Fault Clearance time]]-Table6[[#This Row],[Work Start TimeStamp]])*24</f>
        <v>0</v>
      </c>
      <c r="T983" s="261">
        <f>(Table6[[#This Row],[Fault Clearance time]]-Table6[[#This Row],[Fault Start TimeStamp]])*24</f>
        <v>0.24999999999999911</v>
      </c>
      <c r="U983" s="35" t="s">
        <v>485</v>
      </c>
      <c r="V983" s="102" t="s">
        <v>268</v>
      </c>
      <c r="W983" s="267">
        <f>IFERROR(Table6[[#This Row],[Breakdown Time]]*Table6[[#This Row],[Plant Equivalent Weightage]],"")</f>
        <v>9.6153846153845778E-3</v>
      </c>
      <c r="X983" s="262" t="s">
        <v>296</v>
      </c>
      <c r="Y983" s="263" t="s">
        <v>115</v>
      </c>
      <c r="Z983" s="102">
        <v>54328</v>
      </c>
      <c r="AA983" s="257">
        <f>(Table6[[#This Row],[Paired WTG Generation for loss calculation]]/24)*Table6[[#This Row],[Breakdown Time]]</f>
        <v>565.91666666666458</v>
      </c>
      <c r="AB983" s="102"/>
      <c r="AC983" s="35"/>
      <c r="AD983" s="35"/>
    </row>
    <row r="984" spans="1:30">
      <c r="A984" s="102">
        <f t="shared" si="16"/>
        <v>983</v>
      </c>
      <c r="B984" s="257">
        <f>YEAR(Table6[[#This Row],[Date]])+IF(MONTH(Table6[[#This Row],[Date]])&gt;=4,1,0)</f>
        <v>2026</v>
      </c>
      <c r="C984" s="102">
        <f>YEAR(Table6[[#This Row],[Date]])</f>
        <v>2025</v>
      </c>
      <c r="D984" s="102" t="s">
        <v>265</v>
      </c>
      <c r="E984" s="258">
        <f>Table6[[#This Row],[Date]]-DAY(Table6[[#This Row],[Date]])+1</f>
        <v>45778</v>
      </c>
      <c r="F984" s="259">
        <v>45808</v>
      </c>
      <c r="G984" s="35" t="s">
        <v>140</v>
      </c>
      <c r="H984" s="35" t="str">
        <f>IFERROR(_xlfn.XLOOKUP(Table6[[#This Row],[Affected WTG]],'Basic Data'!$A:$A,'Basic Data'!$B:$B),"")</f>
        <v>TQGXIIPL</v>
      </c>
      <c r="I984" s="35" t="str">
        <f>IFERROR(_xlfn.XLOOKUP(Table6[[#This Row],[Affected WTG]],'Basic Data'!$A:$A,'Basic Data'!$C:$C),"")</f>
        <v>GEDA</v>
      </c>
      <c r="J984" s="260">
        <f>IFERROR(_xlfn.XLOOKUP(Table6[[#This Row],[Affected WTG]],'Basic Data'!$A:$A,'Basic Data'!$E:$E),"")</f>
        <v>3.846153846153845E-2</v>
      </c>
      <c r="K984" s="102">
        <v>6130</v>
      </c>
      <c r="L984" s="35" t="str">
        <f>IFERROR(_xlfn.XLOOKUP(Table6[[#This Row],[Error Code]],'Basic Data'!$AA:$AA,'Basic Data'!$AB:$AB),"Incorrect Error Code")</f>
        <v>Yaw speed high</v>
      </c>
      <c r="M984" s="35" t="s">
        <v>278</v>
      </c>
      <c r="N984" s="264"/>
      <c r="O984" s="265">
        <v>0.52222222222222225</v>
      </c>
      <c r="P984" s="265">
        <v>0.52430555555555558</v>
      </c>
      <c r="Q984" s="266">
        <v>0.52430555555555558</v>
      </c>
      <c r="R984" s="261">
        <f>IF(Table6[[#This Row],[Work Start TimeStamp]]="","",(Table6[[#This Row],[Work Start TimeStamp]]-Table6[[#This Row],[Fault Start TimeStamp]])*24)</f>
        <v>4.9999999999999822E-2</v>
      </c>
      <c r="S984" s="261">
        <f>(Table6[[#This Row],[Fault Clearance time]]-Table6[[#This Row],[Work Start TimeStamp]])*24</f>
        <v>0</v>
      </c>
      <c r="T984" s="261">
        <f>(Table6[[#This Row],[Fault Clearance time]]-Table6[[#This Row],[Fault Start TimeStamp]])*24</f>
        <v>4.9999999999999822E-2</v>
      </c>
      <c r="U984" s="35" t="s">
        <v>277</v>
      </c>
      <c r="V984" s="102" t="s">
        <v>268</v>
      </c>
      <c r="W984" s="267">
        <f>IFERROR(Table6[[#This Row],[Breakdown Time]]*Table6[[#This Row],[Plant Equivalent Weightage]],"")</f>
        <v>1.9230769230769156E-3</v>
      </c>
      <c r="X984" s="262" t="s">
        <v>269</v>
      </c>
      <c r="Y984" s="263" t="s">
        <v>115</v>
      </c>
      <c r="Z984" s="102">
        <v>54328</v>
      </c>
      <c r="AA984" s="257">
        <f>(Table6[[#This Row],[Paired WTG Generation for loss calculation]]/24)*Table6[[#This Row],[Breakdown Time]]</f>
        <v>113.18333333333293</v>
      </c>
      <c r="AB984" s="102"/>
      <c r="AC984" s="35"/>
      <c r="AD984" s="35"/>
    </row>
    <row r="985" spans="1:30">
      <c r="A985" s="102">
        <f t="shared" si="16"/>
        <v>984</v>
      </c>
      <c r="B985" s="257">
        <f>YEAR(Table6[[#This Row],[Date]])+IF(MONTH(Table6[[#This Row],[Date]])&gt;=4,1,0)</f>
        <v>2026</v>
      </c>
      <c r="C985" s="102">
        <f>YEAR(Table6[[#This Row],[Date]])</f>
        <v>2025</v>
      </c>
      <c r="D985" s="102" t="s">
        <v>265</v>
      </c>
      <c r="E985" s="258">
        <f>Table6[[#This Row],[Date]]-DAY(Table6[[#This Row],[Date]])+1</f>
        <v>45778</v>
      </c>
      <c r="F985" s="259">
        <v>45808</v>
      </c>
      <c r="G985" s="35" t="s">
        <v>124</v>
      </c>
      <c r="H985" s="35" t="str">
        <f>IFERROR(_xlfn.XLOOKUP(Table6[[#This Row],[Affected WTG]],'Basic Data'!$A:$A,'Basic Data'!$B:$B),"")</f>
        <v>TQGXIIPL</v>
      </c>
      <c r="I985" s="35" t="str">
        <f>IFERROR(_xlfn.XLOOKUP(Table6[[#This Row],[Affected WTG]],'Basic Data'!$A:$A,'Basic Data'!$C:$C),"")</f>
        <v>GEDA</v>
      </c>
      <c r="J985" s="260">
        <f>IFERROR(_xlfn.XLOOKUP(Table6[[#This Row],[Affected WTG]],'Basic Data'!$A:$A,'Basic Data'!$E:$E),"")</f>
        <v>3.846153846153845E-2</v>
      </c>
      <c r="K985" s="102">
        <v>6130</v>
      </c>
      <c r="L985" s="35" t="str">
        <f>IFERROR(_xlfn.XLOOKUP(Table6[[#This Row],[Error Code]],'Basic Data'!$AA:$AA,'Basic Data'!$AB:$AB),"Incorrect Error Code")</f>
        <v>Yaw speed high</v>
      </c>
      <c r="M985" s="35" t="s">
        <v>278</v>
      </c>
      <c r="N985" s="264"/>
      <c r="O985" s="265">
        <v>0.57222222222222219</v>
      </c>
      <c r="P985" s="265">
        <v>0.57638888888888884</v>
      </c>
      <c r="Q985" s="266">
        <v>0.57638888888888884</v>
      </c>
      <c r="R985" s="261">
        <f>IF(Table6[[#This Row],[Work Start TimeStamp]]="","",(Table6[[#This Row],[Work Start TimeStamp]]-Table6[[#This Row],[Fault Start TimeStamp]])*24)</f>
        <v>9.9999999999999645E-2</v>
      </c>
      <c r="S985" s="261">
        <f>(Table6[[#This Row],[Fault Clearance time]]-Table6[[#This Row],[Work Start TimeStamp]])*24</f>
        <v>0</v>
      </c>
      <c r="T985" s="261">
        <f>(Table6[[#This Row],[Fault Clearance time]]-Table6[[#This Row],[Fault Start TimeStamp]])*24</f>
        <v>9.9999999999999645E-2</v>
      </c>
      <c r="U985" s="35" t="s">
        <v>277</v>
      </c>
      <c r="V985" s="102" t="s">
        <v>268</v>
      </c>
      <c r="W985" s="267">
        <f>IFERROR(Table6[[#This Row],[Breakdown Time]]*Table6[[#This Row],[Plant Equivalent Weightage]],"")</f>
        <v>3.8461538461538312E-3</v>
      </c>
      <c r="X985" s="262" t="s">
        <v>269</v>
      </c>
      <c r="Y985" s="263" t="s">
        <v>129</v>
      </c>
      <c r="Z985" s="102">
        <v>52780</v>
      </c>
      <c r="AA985" s="257">
        <f>(Table6[[#This Row],[Paired WTG Generation for loss calculation]]/24)*Table6[[#This Row],[Breakdown Time]]</f>
        <v>219.91666666666586</v>
      </c>
      <c r="AB985" s="102"/>
      <c r="AC985" s="35"/>
      <c r="AD985" s="35"/>
    </row>
    <row r="986" spans="1:30">
      <c r="A986" s="102">
        <f t="shared" si="16"/>
        <v>985</v>
      </c>
      <c r="B986" s="257">
        <f>YEAR(Table6[[#This Row],[Date]])+IF(MONTH(Table6[[#This Row],[Date]])&gt;=4,1,0)</f>
        <v>2026</v>
      </c>
      <c r="C986" s="102">
        <f>YEAR(Table6[[#This Row],[Date]])</f>
        <v>2025</v>
      </c>
      <c r="D986" s="102" t="s">
        <v>265</v>
      </c>
      <c r="E986" s="258">
        <f>Table6[[#This Row],[Date]]-DAY(Table6[[#This Row],[Date]])+1</f>
        <v>45778</v>
      </c>
      <c r="F986" s="259">
        <v>45808</v>
      </c>
      <c r="G986" s="35" t="s">
        <v>124</v>
      </c>
      <c r="H986" s="35" t="str">
        <f>IFERROR(_xlfn.XLOOKUP(Table6[[#This Row],[Affected WTG]],'Basic Data'!$A:$A,'Basic Data'!$B:$B),"")</f>
        <v>TQGXIIPL</v>
      </c>
      <c r="I986" s="35" t="str">
        <f>IFERROR(_xlfn.XLOOKUP(Table6[[#This Row],[Affected WTG]],'Basic Data'!$A:$A,'Basic Data'!$C:$C),"")</f>
        <v>GEDA</v>
      </c>
      <c r="J986" s="260">
        <f>IFERROR(_xlfn.XLOOKUP(Table6[[#This Row],[Affected WTG]],'Basic Data'!$A:$A,'Basic Data'!$E:$E),"")</f>
        <v>3.846153846153845E-2</v>
      </c>
      <c r="K986" s="102">
        <v>6130</v>
      </c>
      <c r="L986" s="35" t="str">
        <f>IFERROR(_xlfn.XLOOKUP(Table6[[#This Row],[Error Code]],'Basic Data'!$AA:$AA,'Basic Data'!$AB:$AB),"Incorrect Error Code")</f>
        <v>Yaw speed high</v>
      </c>
      <c r="M986" s="35" t="s">
        <v>278</v>
      </c>
      <c r="N986" s="264"/>
      <c r="O986" s="265">
        <v>0.62152777777777779</v>
      </c>
      <c r="P986" s="265">
        <v>0.62222222222222223</v>
      </c>
      <c r="Q986" s="266">
        <v>0.62222222222222223</v>
      </c>
      <c r="R986" s="261">
        <f>IF(Table6[[#This Row],[Work Start TimeStamp]]="","",(Table6[[#This Row],[Work Start TimeStamp]]-Table6[[#This Row],[Fault Start TimeStamp]])*24)</f>
        <v>1.6666666666666607E-2</v>
      </c>
      <c r="S986" s="261">
        <f>(Table6[[#This Row],[Fault Clearance time]]-Table6[[#This Row],[Work Start TimeStamp]])*24</f>
        <v>0</v>
      </c>
      <c r="T986" s="261">
        <f>(Table6[[#This Row],[Fault Clearance time]]-Table6[[#This Row],[Fault Start TimeStamp]])*24</f>
        <v>1.6666666666666607E-2</v>
      </c>
      <c r="U986" s="35" t="s">
        <v>277</v>
      </c>
      <c r="V986" s="102" t="s">
        <v>268</v>
      </c>
      <c r="W986" s="267">
        <f>IFERROR(Table6[[#This Row],[Breakdown Time]]*Table6[[#This Row],[Plant Equivalent Weightage]],"")</f>
        <v>6.4102564102563853E-4</v>
      </c>
      <c r="X986" s="262" t="s">
        <v>269</v>
      </c>
      <c r="Y986" s="263" t="s">
        <v>129</v>
      </c>
      <c r="Z986" s="102">
        <v>52780</v>
      </c>
      <c r="AA986" s="257">
        <f>(Table6[[#This Row],[Paired WTG Generation for loss calculation]]/24)*Table6[[#This Row],[Breakdown Time]]</f>
        <v>36.652777777777644</v>
      </c>
      <c r="AB986" s="102"/>
      <c r="AC986" s="35"/>
      <c r="AD986" s="35"/>
    </row>
    <row r="987" spans="1:30">
      <c r="A987" s="102">
        <f t="shared" si="16"/>
        <v>986</v>
      </c>
      <c r="B987" s="257">
        <f>YEAR(Table6[[#This Row],[Date]])+IF(MONTH(Table6[[#This Row],[Date]])&gt;=4,1,0)</f>
        <v>2026</v>
      </c>
      <c r="C987" s="102">
        <f>YEAR(Table6[[#This Row],[Date]])</f>
        <v>2025</v>
      </c>
      <c r="D987" s="102" t="s">
        <v>265</v>
      </c>
      <c r="E987" s="258">
        <f>Table6[[#This Row],[Date]]-DAY(Table6[[#This Row],[Date]])+1</f>
        <v>45809</v>
      </c>
      <c r="F987" s="259">
        <v>45809</v>
      </c>
      <c r="G987" s="35" t="s">
        <v>115</v>
      </c>
      <c r="H987" s="35" t="str">
        <f>IFERROR(_xlfn.XLOOKUP(Table6[[#This Row],[Affected WTG]],'Basic Data'!$A:$A,'Basic Data'!$B:$B),"")</f>
        <v>TQGXIIPL</v>
      </c>
      <c r="I987" s="35" t="str">
        <f>IFERROR(_xlfn.XLOOKUP(Table6[[#This Row],[Affected WTG]],'Basic Data'!$A:$A,'Basic Data'!$C:$C),"")</f>
        <v>GEDA</v>
      </c>
      <c r="J987" s="260">
        <f>IFERROR(_xlfn.XLOOKUP(Table6[[#This Row],[Affected WTG]],'Basic Data'!$A:$A,'Basic Data'!$E:$E),"")</f>
        <v>3.846153846153845E-2</v>
      </c>
      <c r="K987" s="102">
        <v>6130</v>
      </c>
      <c r="L987" s="35" t="str">
        <f>IFERROR(_xlfn.XLOOKUP(Table6[[#This Row],[Error Code]],'Basic Data'!$AA:$AA,'Basic Data'!$AB:$AB),"Incorrect Error Code")</f>
        <v>Yaw speed high</v>
      </c>
      <c r="M987" s="35" t="s">
        <v>278</v>
      </c>
      <c r="N987" s="264"/>
      <c r="O987" s="265">
        <v>0.7416666666666667</v>
      </c>
      <c r="P987" s="265">
        <v>0.7416666666666667</v>
      </c>
      <c r="Q987" s="266">
        <v>0.74583333333333335</v>
      </c>
      <c r="R987" s="261">
        <f>IF(Table6[[#This Row],[Work Start TimeStamp]]="","",(Table6[[#This Row],[Work Start TimeStamp]]-Table6[[#This Row],[Fault Start TimeStamp]])*24)</f>
        <v>0</v>
      </c>
      <c r="S987" s="261">
        <f>(Table6[[#This Row],[Fault Clearance time]]-Table6[[#This Row],[Work Start TimeStamp]])*24</f>
        <v>9.9999999999999645E-2</v>
      </c>
      <c r="T987" s="261">
        <f>(Table6[[#This Row],[Fault Clearance time]]-Table6[[#This Row],[Fault Start TimeStamp]])*24</f>
        <v>9.9999999999999645E-2</v>
      </c>
      <c r="U987" s="35" t="s">
        <v>277</v>
      </c>
      <c r="V987" s="102" t="s">
        <v>268</v>
      </c>
      <c r="W987" s="267">
        <f>IFERROR(Table6[[#This Row],[Breakdown Time]]*Table6[[#This Row],[Plant Equivalent Weightage]],"")</f>
        <v>3.8461538461538312E-3</v>
      </c>
      <c r="X987" s="262" t="s">
        <v>269</v>
      </c>
      <c r="Y987" s="263" t="s">
        <v>140</v>
      </c>
      <c r="Z987" s="102">
        <v>50608.833333333328</v>
      </c>
      <c r="AA987" s="257">
        <f>(Table6[[#This Row],[Paired WTG Generation for loss calculation]]/24)*Table6[[#This Row],[Breakdown Time]]</f>
        <v>210.87013888888811</v>
      </c>
      <c r="AB987" s="102"/>
      <c r="AC987" s="35"/>
      <c r="AD987" s="35"/>
    </row>
    <row r="988" spans="1:30">
      <c r="A988" s="102">
        <f t="shared" si="16"/>
        <v>987</v>
      </c>
      <c r="B988" s="257">
        <f>YEAR(Table6[[#This Row],[Date]])+IF(MONTH(Table6[[#This Row],[Date]])&gt;=4,1,0)</f>
        <v>2026</v>
      </c>
      <c r="C988" s="102">
        <f>YEAR(Table6[[#This Row],[Date]])</f>
        <v>2025</v>
      </c>
      <c r="D988" s="102" t="s">
        <v>265</v>
      </c>
      <c r="E988" s="258">
        <f>Table6[[#This Row],[Date]]-DAY(Table6[[#This Row],[Date]])+1</f>
        <v>45809</v>
      </c>
      <c r="F988" s="259">
        <v>45809</v>
      </c>
      <c r="G988" s="35" t="s">
        <v>118</v>
      </c>
      <c r="H988" s="35" t="str">
        <f>IFERROR(_xlfn.XLOOKUP(Table6[[#This Row],[Affected WTG]],'Basic Data'!$A:$A,'Basic Data'!$B:$B),"")</f>
        <v>TQGXIIPL</v>
      </c>
      <c r="I988" s="35" t="str">
        <f>IFERROR(_xlfn.XLOOKUP(Table6[[#This Row],[Affected WTG]],'Basic Data'!$A:$A,'Basic Data'!$C:$C),"")</f>
        <v>GEDA</v>
      </c>
      <c r="J988" s="260">
        <f>IFERROR(_xlfn.XLOOKUP(Table6[[#This Row],[Affected WTG]],'Basic Data'!$A:$A,'Basic Data'!$E:$E),"")</f>
        <v>3.846153846153845E-2</v>
      </c>
      <c r="K988" s="102">
        <v>6130</v>
      </c>
      <c r="L988" s="35" t="str">
        <f>IFERROR(_xlfn.XLOOKUP(Table6[[#This Row],[Error Code]],'Basic Data'!$AA:$AA,'Basic Data'!$AB:$AB),"Incorrect Error Code")</f>
        <v>Yaw speed high</v>
      </c>
      <c r="M988" s="35" t="s">
        <v>278</v>
      </c>
      <c r="N988" s="264"/>
      <c r="O988" s="265">
        <v>0.47499999999999998</v>
      </c>
      <c r="P988" s="265">
        <v>0.47499999999999998</v>
      </c>
      <c r="Q988" s="266">
        <v>0.47777777777777775</v>
      </c>
      <c r="R988" s="261">
        <f>IF(Table6[[#This Row],[Work Start TimeStamp]]="","",(Table6[[#This Row],[Work Start TimeStamp]]-Table6[[#This Row],[Fault Start TimeStamp]])*24)</f>
        <v>0</v>
      </c>
      <c r="S988" s="261">
        <f>(Table6[[#This Row],[Fault Clearance time]]-Table6[[#This Row],[Work Start TimeStamp]])*24</f>
        <v>6.666666666666643E-2</v>
      </c>
      <c r="T988" s="261">
        <f>(Table6[[#This Row],[Fault Clearance time]]-Table6[[#This Row],[Fault Start TimeStamp]])*24</f>
        <v>6.666666666666643E-2</v>
      </c>
      <c r="U988" s="35" t="s">
        <v>277</v>
      </c>
      <c r="V988" s="102" t="s">
        <v>268</v>
      </c>
      <c r="W988" s="267">
        <f>IFERROR(Table6[[#This Row],[Breakdown Time]]*Table6[[#This Row],[Plant Equivalent Weightage]],"")</f>
        <v>2.5641025641025541E-3</v>
      </c>
      <c r="X988" s="262" t="s">
        <v>269</v>
      </c>
      <c r="Y988" s="263" t="s">
        <v>121</v>
      </c>
      <c r="Z988" s="102">
        <v>51412.666666666664</v>
      </c>
      <c r="AA988" s="257">
        <f>(Table6[[#This Row],[Paired WTG Generation for loss calculation]]/24)*Table6[[#This Row],[Breakdown Time]]</f>
        <v>142.81296296296244</v>
      </c>
      <c r="AB988" s="102"/>
      <c r="AC988" s="35"/>
      <c r="AD988" s="35"/>
    </row>
    <row r="989" spans="1:30">
      <c r="A989" s="102">
        <f t="shared" si="16"/>
        <v>988</v>
      </c>
      <c r="B989" s="257">
        <f>YEAR(Table6[[#This Row],[Date]])+IF(MONTH(Table6[[#This Row],[Date]])&gt;=4,1,0)</f>
        <v>2026</v>
      </c>
      <c r="C989" s="102">
        <f>YEAR(Table6[[#This Row],[Date]])</f>
        <v>2025</v>
      </c>
      <c r="D989" s="102" t="s">
        <v>265</v>
      </c>
      <c r="E989" s="258">
        <f>Table6[[#This Row],[Date]]-DAY(Table6[[#This Row],[Date]])+1</f>
        <v>45809</v>
      </c>
      <c r="F989" s="259">
        <v>45809</v>
      </c>
      <c r="G989" s="35" t="s">
        <v>118</v>
      </c>
      <c r="H989" s="35" t="str">
        <f>IFERROR(_xlfn.XLOOKUP(Table6[[#This Row],[Affected WTG]],'Basic Data'!$A:$A,'Basic Data'!$B:$B),"")</f>
        <v>TQGXIIPL</v>
      </c>
      <c r="I989" s="35" t="str">
        <f>IFERROR(_xlfn.XLOOKUP(Table6[[#This Row],[Affected WTG]],'Basic Data'!$A:$A,'Basic Data'!$C:$C),"")</f>
        <v>GEDA</v>
      </c>
      <c r="J989" s="260">
        <f>IFERROR(_xlfn.XLOOKUP(Table6[[#This Row],[Affected WTG]],'Basic Data'!$A:$A,'Basic Data'!$E:$E),"")</f>
        <v>3.846153846153845E-2</v>
      </c>
      <c r="K989" s="102">
        <v>6130</v>
      </c>
      <c r="L989" s="35" t="str">
        <f>IFERROR(_xlfn.XLOOKUP(Table6[[#This Row],[Error Code]],'Basic Data'!$AA:$AA,'Basic Data'!$AB:$AB),"Incorrect Error Code")</f>
        <v>Yaw speed high</v>
      </c>
      <c r="M989" s="35" t="s">
        <v>278</v>
      </c>
      <c r="N989" s="264"/>
      <c r="O989" s="265">
        <v>0.49513888888888885</v>
      </c>
      <c r="P989" s="265">
        <v>0.49513888888888885</v>
      </c>
      <c r="Q989" s="266">
        <v>0.49930555555555556</v>
      </c>
      <c r="R989" s="261">
        <f>IF(Table6[[#This Row],[Work Start TimeStamp]]="","",(Table6[[#This Row],[Work Start TimeStamp]]-Table6[[#This Row],[Fault Start TimeStamp]])*24)</f>
        <v>0</v>
      </c>
      <c r="S989" s="261">
        <f>(Table6[[#This Row],[Fault Clearance time]]-Table6[[#This Row],[Work Start TimeStamp]])*24</f>
        <v>0.10000000000000098</v>
      </c>
      <c r="T989" s="261">
        <f>(Table6[[#This Row],[Fault Clearance time]]-Table6[[#This Row],[Fault Start TimeStamp]])*24</f>
        <v>0.10000000000000098</v>
      </c>
      <c r="U989" s="35" t="s">
        <v>277</v>
      </c>
      <c r="V989" s="102" t="s">
        <v>268</v>
      </c>
      <c r="W989" s="267">
        <f>IFERROR(Table6[[#This Row],[Breakdown Time]]*Table6[[#This Row],[Plant Equivalent Weightage]],"")</f>
        <v>3.8461538461538824E-3</v>
      </c>
      <c r="X989" s="262" t="s">
        <v>269</v>
      </c>
      <c r="Y989" s="263" t="s">
        <v>121</v>
      </c>
      <c r="Z989" s="102">
        <v>51412.666666666664</v>
      </c>
      <c r="AA989" s="257">
        <f>(Table6[[#This Row],[Paired WTG Generation for loss calculation]]/24)*Table6[[#This Row],[Breakdown Time]]</f>
        <v>214.21944444444654</v>
      </c>
      <c r="AB989" s="102"/>
      <c r="AC989" s="35"/>
      <c r="AD989" s="35"/>
    </row>
    <row r="990" spans="1:30">
      <c r="A990" s="102">
        <f t="shared" si="16"/>
        <v>989</v>
      </c>
      <c r="B990" s="257">
        <f>YEAR(Table6[[#This Row],[Date]])+IF(MONTH(Table6[[#This Row],[Date]])&gt;=4,1,0)</f>
        <v>2026</v>
      </c>
      <c r="C990" s="102">
        <f>YEAR(Table6[[#This Row],[Date]])</f>
        <v>2025</v>
      </c>
      <c r="D990" s="102" t="s">
        <v>265</v>
      </c>
      <c r="E990" s="258">
        <f>Table6[[#This Row],[Date]]-DAY(Table6[[#This Row],[Date]])+1</f>
        <v>45809</v>
      </c>
      <c r="F990" s="259">
        <v>45809</v>
      </c>
      <c r="G990" s="35" t="s">
        <v>120</v>
      </c>
      <c r="H990" s="35" t="str">
        <f>IFERROR(_xlfn.XLOOKUP(Table6[[#This Row],[Affected WTG]],'Basic Data'!$A:$A,'Basic Data'!$B:$B),"")</f>
        <v>TQGXIIPL</v>
      </c>
      <c r="I990" s="35" t="str">
        <f>IFERROR(_xlfn.XLOOKUP(Table6[[#This Row],[Affected WTG]],'Basic Data'!$A:$A,'Basic Data'!$C:$C),"")</f>
        <v>GEDA</v>
      </c>
      <c r="J990" s="260">
        <f>IFERROR(_xlfn.XLOOKUP(Table6[[#This Row],[Affected WTG]],'Basic Data'!$A:$A,'Basic Data'!$E:$E),"")</f>
        <v>3.846153846153845E-2</v>
      </c>
      <c r="K990" s="102">
        <v>4540</v>
      </c>
      <c r="L990" s="35" t="str">
        <f>IFERROR(_xlfn.XLOOKUP(Table6[[#This Row],[Error Code]],'Basic Data'!$AA:$AA,'Basic Data'!$AB:$AB),"Incorrect Error Code")</f>
        <v>Tower oscillation X level 2</v>
      </c>
      <c r="M990" s="35" t="s">
        <v>278</v>
      </c>
      <c r="N990" s="264"/>
      <c r="O990" s="265">
        <v>0.51736111111111116</v>
      </c>
      <c r="P990" s="265">
        <v>0.51736111111111116</v>
      </c>
      <c r="Q990" s="266">
        <v>0.52916666666666667</v>
      </c>
      <c r="R990" s="261">
        <f>IF(Table6[[#This Row],[Work Start TimeStamp]]="","",(Table6[[#This Row],[Work Start TimeStamp]]-Table6[[#This Row],[Fault Start TimeStamp]])*24)</f>
        <v>0</v>
      </c>
      <c r="S990" s="261">
        <f>(Table6[[#This Row],[Fault Clearance time]]-Table6[[#This Row],[Work Start TimeStamp]])*24</f>
        <v>0.28333333333333233</v>
      </c>
      <c r="T990" s="261">
        <f>(Table6[[#This Row],[Fault Clearance time]]-Table6[[#This Row],[Fault Start TimeStamp]])*24</f>
        <v>0.28333333333333233</v>
      </c>
      <c r="U990" s="35" t="s">
        <v>277</v>
      </c>
      <c r="V990" s="102" t="s">
        <v>268</v>
      </c>
      <c r="W990" s="267">
        <f>IFERROR(Table6[[#This Row],[Breakdown Time]]*Table6[[#This Row],[Plant Equivalent Weightage]],"")</f>
        <v>1.0897435897435855E-2</v>
      </c>
      <c r="X990" s="262" t="s">
        <v>269</v>
      </c>
      <c r="Y990" s="263" t="s">
        <v>135</v>
      </c>
      <c r="Z990" s="102">
        <v>52837.5</v>
      </c>
      <c r="AA990" s="257">
        <f>(Table6[[#This Row],[Paired WTG Generation for loss calculation]]/24)*Table6[[#This Row],[Breakdown Time]]</f>
        <v>623.77604166666447</v>
      </c>
      <c r="AB990" s="102"/>
      <c r="AC990" s="35"/>
      <c r="AD990" s="35"/>
    </row>
    <row r="991" spans="1:30">
      <c r="A991" s="102">
        <f t="shared" si="16"/>
        <v>990</v>
      </c>
      <c r="B991" s="257">
        <f>YEAR(Table6[[#This Row],[Date]])+IF(MONTH(Table6[[#This Row],[Date]])&gt;=4,1,0)</f>
        <v>2026</v>
      </c>
      <c r="C991" s="102">
        <f>YEAR(Table6[[#This Row],[Date]])</f>
        <v>2025</v>
      </c>
      <c r="D991" s="102" t="s">
        <v>265</v>
      </c>
      <c r="E991" s="258">
        <f>Table6[[#This Row],[Date]]-DAY(Table6[[#This Row],[Date]])+1</f>
        <v>45809</v>
      </c>
      <c r="F991" s="259">
        <v>45809</v>
      </c>
      <c r="G991" s="35" t="s">
        <v>123</v>
      </c>
      <c r="H991" s="35" t="str">
        <f>IFERROR(_xlfn.XLOOKUP(Table6[[#This Row],[Affected WTG]],'Basic Data'!$A:$A,'Basic Data'!$B:$B),"")</f>
        <v>TQGXIIPL</v>
      </c>
      <c r="I991" s="35" t="str">
        <f>IFERROR(_xlfn.XLOOKUP(Table6[[#This Row],[Affected WTG]],'Basic Data'!$A:$A,'Basic Data'!$C:$C),"")</f>
        <v>GEDA</v>
      </c>
      <c r="J991" s="260">
        <f>IFERROR(_xlfn.XLOOKUP(Table6[[#This Row],[Affected WTG]],'Basic Data'!$A:$A,'Basic Data'!$E:$E),"")</f>
        <v>3.846153846153845E-2</v>
      </c>
      <c r="K991" s="102">
        <v>4970</v>
      </c>
      <c r="L991" s="35" t="str">
        <f>IFERROR(_xlfn.XLOOKUP(Table6[[#This Row],[Error Code]],'Basic Data'!$AA:$AA,'Basic Data'!$AB:$AB),"Incorrect Error Code")</f>
        <v>Tower oscillation XF</v>
      </c>
      <c r="M991" s="35" t="s">
        <v>278</v>
      </c>
      <c r="N991" s="264"/>
      <c r="O991" s="265">
        <v>0.69861111111111118</v>
      </c>
      <c r="P991" s="265">
        <v>0.69861111111111118</v>
      </c>
      <c r="Q991" s="266">
        <v>0.70902777777777781</v>
      </c>
      <c r="R991" s="261">
        <f>IF(Table6[[#This Row],[Work Start TimeStamp]]="","",(Table6[[#This Row],[Work Start TimeStamp]]-Table6[[#This Row],[Fault Start TimeStamp]])*24)</f>
        <v>0</v>
      </c>
      <c r="S991" s="261">
        <f>(Table6[[#This Row],[Fault Clearance time]]-Table6[[#This Row],[Work Start TimeStamp]])*24</f>
        <v>0.24999999999999911</v>
      </c>
      <c r="T991" s="261">
        <f>(Table6[[#This Row],[Fault Clearance time]]-Table6[[#This Row],[Fault Start TimeStamp]])*24</f>
        <v>0.24999999999999911</v>
      </c>
      <c r="U991" s="35" t="s">
        <v>277</v>
      </c>
      <c r="V991" s="102" t="s">
        <v>268</v>
      </c>
      <c r="W991" s="267">
        <f>IFERROR(Table6[[#This Row],[Breakdown Time]]*Table6[[#This Row],[Plant Equivalent Weightage]],"")</f>
        <v>9.6153846153845778E-3</v>
      </c>
      <c r="X991" s="262" t="s">
        <v>269</v>
      </c>
      <c r="Y991" s="263" t="s">
        <v>117</v>
      </c>
      <c r="Z991" s="102">
        <v>48703.333333333336</v>
      </c>
      <c r="AA991" s="257">
        <f>(Table6[[#This Row],[Paired WTG Generation for loss calculation]]/24)*Table6[[#This Row],[Breakdown Time]]</f>
        <v>507.3263888888871</v>
      </c>
      <c r="AB991" s="102"/>
      <c r="AC991" s="35"/>
      <c r="AD991" s="35"/>
    </row>
    <row r="992" spans="1:30">
      <c r="A992" s="102">
        <f t="shared" si="16"/>
        <v>991</v>
      </c>
      <c r="B992" s="257">
        <f>YEAR(Table6[[#This Row],[Date]])+IF(MONTH(Table6[[#This Row],[Date]])&gt;=4,1,0)</f>
        <v>2026</v>
      </c>
      <c r="C992" s="102">
        <f>YEAR(Table6[[#This Row],[Date]])</f>
        <v>2025</v>
      </c>
      <c r="D992" s="102" t="s">
        <v>265</v>
      </c>
      <c r="E992" s="258">
        <f>Table6[[#This Row],[Date]]-DAY(Table6[[#This Row],[Date]])+1</f>
        <v>45809</v>
      </c>
      <c r="F992" s="259">
        <v>45809</v>
      </c>
      <c r="G992" s="35" t="s">
        <v>124</v>
      </c>
      <c r="H992" s="35" t="str">
        <f>IFERROR(_xlfn.XLOOKUP(Table6[[#This Row],[Affected WTG]],'Basic Data'!$A:$A,'Basic Data'!$B:$B),"")</f>
        <v>TQGXIIPL</v>
      </c>
      <c r="I992" s="35" t="str">
        <f>IFERROR(_xlfn.XLOOKUP(Table6[[#This Row],[Affected WTG]],'Basic Data'!$A:$A,'Basic Data'!$C:$C),"")</f>
        <v>GEDA</v>
      </c>
      <c r="J992" s="260">
        <f>IFERROR(_xlfn.XLOOKUP(Table6[[#This Row],[Affected WTG]],'Basic Data'!$A:$A,'Basic Data'!$E:$E),"")</f>
        <v>3.846153846153845E-2</v>
      </c>
      <c r="K992" s="102">
        <v>6130</v>
      </c>
      <c r="L992" s="35" t="str">
        <f>IFERROR(_xlfn.XLOOKUP(Table6[[#This Row],[Error Code]],'Basic Data'!$AA:$AA,'Basic Data'!$AB:$AB),"Incorrect Error Code")</f>
        <v>Yaw speed high</v>
      </c>
      <c r="M992" s="35" t="s">
        <v>278</v>
      </c>
      <c r="N992" s="264"/>
      <c r="O992" s="265">
        <v>0.51180555555555551</v>
      </c>
      <c r="P992" s="265">
        <v>0.51180555555555551</v>
      </c>
      <c r="Q992" s="266">
        <v>0.51597222222222228</v>
      </c>
      <c r="R992" s="261">
        <f>IF(Table6[[#This Row],[Work Start TimeStamp]]="","",(Table6[[#This Row],[Work Start TimeStamp]]-Table6[[#This Row],[Fault Start TimeStamp]])*24)</f>
        <v>0</v>
      </c>
      <c r="S992" s="261">
        <f>(Table6[[#This Row],[Fault Clearance time]]-Table6[[#This Row],[Work Start TimeStamp]])*24</f>
        <v>0.10000000000000231</v>
      </c>
      <c r="T992" s="261">
        <f>(Table6[[#This Row],[Fault Clearance time]]-Table6[[#This Row],[Fault Start TimeStamp]])*24</f>
        <v>0.10000000000000231</v>
      </c>
      <c r="U992" s="35" t="s">
        <v>277</v>
      </c>
      <c r="V992" s="102" t="s">
        <v>268</v>
      </c>
      <c r="W992" s="267">
        <f>IFERROR(Table6[[#This Row],[Breakdown Time]]*Table6[[#This Row],[Plant Equivalent Weightage]],"")</f>
        <v>3.846153846153934E-3</v>
      </c>
      <c r="X992" s="262" t="s">
        <v>269</v>
      </c>
      <c r="Y992" s="263" t="s">
        <v>129</v>
      </c>
      <c r="Z992" s="102">
        <v>54464.833333333336</v>
      </c>
      <c r="AA992" s="257">
        <f>(Table6[[#This Row],[Paired WTG Generation for loss calculation]]/24)*Table6[[#This Row],[Breakdown Time]]</f>
        <v>226.9368055555608</v>
      </c>
      <c r="AB992" s="102"/>
      <c r="AC992" s="35"/>
      <c r="AD992" s="35"/>
    </row>
    <row r="993" spans="1:30">
      <c r="A993" s="102">
        <f t="shared" si="16"/>
        <v>992</v>
      </c>
      <c r="B993" s="257">
        <f>YEAR(Table6[[#This Row],[Date]])+IF(MONTH(Table6[[#This Row],[Date]])&gt;=4,1,0)</f>
        <v>2026</v>
      </c>
      <c r="C993" s="102">
        <f>YEAR(Table6[[#This Row],[Date]])</f>
        <v>2025</v>
      </c>
      <c r="D993" s="102" t="s">
        <v>265</v>
      </c>
      <c r="E993" s="258">
        <f>Table6[[#This Row],[Date]]-DAY(Table6[[#This Row],[Date]])+1</f>
        <v>45809</v>
      </c>
      <c r="F993" s="259">
        <v>45809</v>
      </c>
      <c r="G993" s="35" t="s">
        <v>125</v>
      </c>
      <c r="H993" s="35" t="str">
        <f>IFERROR(_xlfn.XLOOKUP(Table6[[#This Row],[Affected WTG]],'Basic Data'!$A:$A,'Basic Data'!$B:$B),"")</f>
        <v>TQGXIIPL</v>
      </c>
      <c r="I993" s="35" t="str">
        <f>IFERROR(_xlfn.XLOOKUP(Table6[[#This Row],[Affected WTG]],'Basic Data'!$A:$A,'Basic Data'!$C:$C),"")</f>
        <v>GEDA</v>
      </c>
      <c r="J993" s="260">
        <f>IFERROR(_xlfn.XLOOKUP(Table6[[#This Row],[Affected WTG]],'Basic Data'!$A:$A,'Basic Data'!$E:$E),"")</f>
        <v>3.846153846153845E-2</v>
      </c>
      <c r="K993" s="102">
        <v>6130</v>
      </c>
      <c r="L993" s="35" t="str">
        <f>IFERROR(_xlfn.XLOOKUP(Table6[[#This Row],[Error Code]],'Basic Data'!$AA:$AA,'Basic Data'!$AB:$AB),"Incorrect Error Code")</f>
        <v>Yaw speed high</v>
      </c>
      <c r="M993" s="35" t="s">
        <v>278</v>
      </c>
      <c r="N993" s="264"/>
      <c r="O993" s="265">
        <v>0.67222222222222228</v>
      </c>
      <c r="P993" s="265">
        <v>0.67222222222222228</v>
      </c>
      <c r="Q993" s="266">
        <v>0.67569444444444449</v>
      </c>
      <c r="R993" s="261">
        <f>IF(Table6[[#This Row],[Work Start TimeStamp]]="","",(Table6[[#This Row],[Work Start TimeStamp]]-Table6[[#This Row],[Fault Start TimeStamp]])*24)</f>
        <v>0</v>
      </c>
      <c r="S993" s="261">
        <f>(Table6[[#This Row],[Fault Clearance time]]-Table6[[#This Row],[Work Start TimeStamp]])*24</f>
        <v>8.3333333333333037E-2</v>
      </c>
      <c r="T993" s="261">
        <f>(Table6[[#This Row],[Fault Clearance time]]-Table6[[#This Row],[Fault Start TimeStamp]])*24</f>
        <v>8.3333333333333037E-2</v>
      </c>
      <c r="U993" s="35" t="s">
        <v>277</v>
      </c>
      <c r="V993" s="102" t="s">
        <v>268</v>
      </c>
      <c r="W993" s="267">
        <f>IFERROR(Table6[[#This Row],[Breakdown Time]]*Table6[[#This Row],[Plant Equivalent Weightage]],"")</f>
        <v>3.2051282051281929E-3</v>
      </c>
      <c r="X993" s="262" t="s">
        <v>269</v>
      </c>
      <c r="Y993" s="263" t="s">
        <v>126</v>
      </c>
      <c r="Z993" s="102">
        <v>49060.833333333336</v>
      </c>
      <c r="AA993" s="257">
        <f>(Table6[[#This Row],[Paired WTG Generation for loss calculation]]/24)*Table6[[#This Row],[Breakdown Time]]</f>
        <v>170.35011574074014</v>
      </c>
      <c r="AB993" s="102"/>
      <c r="AC993" s="35"/>
      <c r="AD993" s="35"/>
    </row>
    <row r="994" spans="1:30">
      <c r="A994" s="102">
        <f t="shared" si="16"/>
        <v>993</v>
      </c>
      <c r="B994" s="257">
        <f>YEAR(Table6[[#This Row],[Date]])+IF(MONTH(Table6[[#This Row],[Date]])&gt;=4,1,0)</f>
        <v>2026</v>
      </c>
      <c r="C994" s="102">
        <f>YEAR(Table6[[#This Row],[Date]])</f>
        <v>2025</v>
      </c>
      <c r="D994" s="102" t="s">
        <v>265</v>
      </c>
      <c r="E994" s="258">
        <f>Table6[[#This Row],[Date]]-DAY(Table6[[#This Row],[Date]])+1</f>
        <v>45809</v>
      </c>
      <c r="F994" s="259">
        <v>45809</v>
      </c>
      <c r="G994" s="35" t="s">
        <v>126</v>
      </c>
      <c r="H994" s="35" t="str">
        <f>IFERROR(_xlfn.XLOOKUP(Table6[[#This Row],[Affected WTG]],'Basic Data'!$A:$A,'Basic Data'!$B:$B),"")</f>
        <v>TQGXIIPL</v>
      </c>
      <c r="I994" s="35" t="str">
        <f>IFERROR(_xlfn.XLOOKUP(Table6[[#This Row],[Affected WTG]],'Basic Data'!$A:$A,'Basic Data'!$C:$C),"")</f>
        <v>GEDA</v>
      </c>
      <c r="J994" s="260">
        <f>IFERROR(_xlfn.XLOOKUP(Table6[[#This Row],[Affected WTG]],'Basic Data'!$A:$A,'Basic Data'!$E:$E),"")</f>
        <v>3.846153846153845E-2</v>
      </c>
      <c r="K994" s="102">
        <v>4540</v>
      </c>
      <c r="L994" s="35" t="str">
        <f>IFERROR(_xlfn.XLOOKUP(Table6[[#This Row],[Error Code]],'Basic Data'!$AA:$AA,'Basic Data'!$AB:$AB),"Incorrect Error Code")</f>
        <v>Tower oscillation X level 2</v>
      </c>
      <c r="M994" s="35" t="s">
        <v>278</v>
      </c>
      <c r="N994" s="264"/>
      <c r="O994" s="265">
        <v>0.63611111111111118</v>
      </c>
      <c r="P994" s="265">
        <v>0.63611111111111118</v>
      </c>
      <c r="Q994" s="266">
        <v>0.64583333333333337</v>
      </c>
      <c r="R994" s="261">
        <f>IF(Table6[[#This Row],[Work Start TimeStamp]]="","",(Table6[[#This Row],[Work Start TimeStamp]]-Table6[[#This Row],[Fault Start TimeStamp]])*24)</f>
        <v>0</v>
      </c>
      <c r="S994" s="261">
        <f>(Table6[[#This Row],[Fault Clearance time]]-Table6[[#This Row],[Work Start TimeStamp]])*24</f>
        <v>0.2333333333333325</v>
      </c>
      <c r="T994" s="261">
        <f>(Table6[[#This Row],[Fault Clearance time]]-Table6[[#This Row],[Fault Start TimeStamp]])*24</f>
        <v>0.2333333333333325</v>
      </c>
      <c r="U994" s="35" t="s">
        <v>277</v>
      </c>
      <c r="V994" s="102" t="s">
        <v>268</v>
      </c>
      <c r="W994" s="267">
        <f>IFERROR(Table6[[#This Row],[Breakdown Time]]*Table6[[#This Row],[Plant Equivalent Weightage]],"")</f>
        <v>8.974358974358939E-3</v>
      </c>
      <c r="X994" s="262" t="s">
        <v>269</v>
      </c>
      <c r="Y994" s="263" t="s">
        <v>128</v>
      </c>
      <c r="Z994" s="102">
        <v>49854.5</v>
      </c>
      <c r="AA994" s="257">
        <f>(Table6[[#This Row],[Paired WTG Generation for loss calculation]]/24)*Table6[[#This Row],[Breakdown Time]]</f>
        <v>484.69652777777611</v>
      </c>
      <c r="AB994" s="102"/>
      <c r="AC994" s="35"/>
      <c r="AD994" s="35"/>
    </row>
    <row r="995" spans="1:30">
      <c r="A995" s="102">
        <f t="shared" si="16"/>
        <v>994</v>
      </c>
      <c r="B995" s="257">
        <f>YEAR(Table6[[#This Row],[Date]])+IF(MONTH(Table6[[#This Row],[Date]])&gt;=4,1,0)</f>
        <v>2026</v>
      </c>
      <c r="C995" s="102">
        <f>YEAR(Table6[[#This Row],[Date]])</f>
        <v>2025</v>
      </c>
      <c r="D995" s="102" t="s">
        <v>265</v>
      </c>
      <c r="E995" s="258">
        <f>Table6[[#This Row],[Date]]-DAY(Table6[[#This Row],[Date]])+1</f>
        <v>45809</v>
      </c>
      <c r="F995" s="259">
        <v>45809</v>
      </c>
      <c r="G995" s="35" t="s">
        <v>127</v>
      </c>
      <c r="H995" s="35" t="str">
        <f>IFERROR(_xlfn.XLOOKUP(Table6[[#This Row],[Affected WTG]],'Basic Data'!$A:$A,'Basic Data'!$B:$B),"")</f>
        <v>TQGXIIPL</v>
      </c>
      <c r="I995" s="35" t="str">
        <f>IFERROR(_xlfn.XLOOKUP(Table6[[#This Row],[Affected WTG]],'Basic Data'!$A:$A,'Basic Data'!$C:$C),"")</f>
        <v>GEDA</v>
      </c>
      <c r="J995" s="260">
        <f>IFERROR(_xlfn.XLOOKUP(Table6[[#This Row],[Affected WTG]],'Basic Data'!$A:$A,'Basic Data'!$E:$E),"")</f>
        <v>3.846153846153845E-2</v>
      </c>
      <c r="K995" s="102">
        <v>6130</v>
      </c>
      <c r="L995" s="35" t="str">
        <f>IFERROR(_xlfn.XLOOKUP(Table6[[#This Row],[Error Code]],'Basic Data'!$AA:$AA,'Basic Data'!$AB:$AB),"Incorrect Error Code")</f>
        <v>Yaw speed high</v>
      </c>
      <c r="M995" s="35" t="s">
        <v>278</v>
      </c>
      <c r="N995" s="264"/>
      <c r="O995" s="265">
        <v>0.46388888888888885</v>
      </c>
      <c r="P995" s="265">
        <v>0.46388888888888885</v>
      </c>
      <c r="Q995" s="266">
        <v>0.46736111111111112</v>
      </c>
      <c r="R995" s="261">
        <f>IF(Table6[[#This Row],[Work Start TimeStamp]]="","",(Table6[[#This Row],[Work Start TimeStamp]]-Table6[[#This Row],[Fault Start TimeStamp]])*24)</f>
        <v>0</v>
      </c>
      <c r="S995" s="261">
        <f>(Table6[[#This Row],[Fault Clearance time]]-Table6[[#This Row],[Work Start TimeStamp]])*24</f>
        <v>8.333333333333437E-2</v>
      </c>
      <c r="T995" s="261">
        <f>(Table6[[#This Row],[Fault Clearance time]]-Table6[[#This Row],[Fault Start TimeStamp]])*24</f>
        <v>8.333333333333437E-2</v>
      </c>
      <c r="U995" s="35" t="s">
        <v>277</v>
      </c>
      <c r="V995" s="102" t="s">
        <v>268</v>
      </c>
      <c r="W995" s="267">
        <f>IFERROR(Table6[[#This Row],[Breakdown Time]]*Table6[[#This Row],[Plant Equivalent Weightage]],"")</f>
        <v>3.205128205128244E-3</v>
      </c>
      <c r="X995" s="262" t="s">
        <v>269</v>
      </c>
      <c r="Y995" s="263" t="s">
        <v>125</v>
      </c>
      <c r="Z995" s="102">
        <v>51597</v>
      </c>
      <c r="AA995" s="257">
        <f>(Table6[[#This Row],[Paired WTG Generation for loss calculation]]/24)*Table6[[#This Row],[Breakdown Time]]</f>
        <v>179.15625000000222</v>
      </c>
      <c r="AB995" s="102"/>
      <c r="AC995" s="35"/>
      <c r="AD995" s="35"/>
    </row>
    <row r="996" spans="1:30">
      <c r="A996" s="102">
        <f t="shared" si="16"/>
        <v>995</v>
      </c>
      <c r="B996" s="257">
        <f>YEAR(Table6[[#This Row],[Date]])+IF(MONTH(Table6[[#This Row],[Date]])&gt;=4,1,0)</f>
        <v>2026</v>
      </c>
      <c r="C996" s="102">
        <f>YEAR(Table6[[#This Row],[Date]])</f>
        <v>2025</v>
      </c>
      <c r="D996" s="102" t="s">
        <v>265</v>
      </c>
      <c r="E996" s="258">
        <f>Table6[[#This Row],[Date]]-DAY(Table6[[#This Row],[Date]])+1</f>
        <v>45809</v>
      </c>
      <c r="F996" s="259">
        <v>45809</v>
      </c>
      <c r="G996" s="35" t="s">
        <v>128</v>
      </c>
      <c r="H996" s="35" t="str">
        <f>IFERROR(_xlfn.XLOOKUP(Table6[[#This Row],[Affected WTG]],'Basic Data'!$A:$A,'Basic Data'!$B:$B),"")</f>
        <v>TQGXIIPL</v>
      </c>
      <c r="I996" s="35" t="str">
        <f>IFERROR(_xlfn.XLOOKUP(Table6[[#This Row],[Affected WTG]],'Basic Data'!$A:$A,'Basic Data'!$C:$C),"")</f>
        <v>GEDA</v>
      </c>
      <c r="J996" s="260">
        <f>IFERROR(_xlfn.XLOOKUP(Table6[[#This Row],[Affected WTG]],'Basic Data'!$A:$A,'Basic Data'!$E:$E),"")</f>
        <v>3.846153846153845E-2</v>
      </c>
      <c r="K996" s="102">
        <v>6130</v>
      </c>
      <c r="L996" s="35" t="str">
        <f>IFERROR(_xlfn.XLOOKUP(Table6[[#This Row],[Error Code]],'Basic Data'!$AA:$AA,'Basic Data'!$AB:$AB),"Incorrect Error Code")</f>
        <v>Yaw speed high</v>
      </c>
      <c r="M996" s="35" t="s">
        <v>278</v>
      </c>
      <c r="N996" s="264"/>
      <c r="O996" s="265">
        <v>0.55138888888888893</v>
      </c>
      <c r="P996" s="265">
        <v>0.55138888888888893</v>
      </c>
      <c r="Q996" s="266">
        <v>0.55555555555555558</v>
      </c>
      <c r="R996" s="261">
        <f>IF(Table6[[#This Row],[Work Start TimeStamp]]="","",(Table6[[#This Row],[Work Start TimeStamp]]-Table6[[#This Row],[Fault Start TimeStamp]])*24)</f>
        <v>0</v>
      </c>
      <c r="S996" s="261">
        <f>(Table6[[#This Row],[Fault Clearance time]]-Table6[[#This Row],[Work Start TimeStamp]])*24</f>
        <v>9.9999999999999645E-2</v>
      </c>
      <c r="T996" s="261">
        <f>(Table6[[#This Row],[Fault Clearance time]]-Table6[[#This Row],[Fault Start TimeStamp]])*24</f>
        <v>9.9999999999999645E-2</v>
      </c>
      <c r="U996" s="35" t="s">
        <v>277</v>
      </c>
      <c r="V996" s="102" t="s">
        <v>268</v>
      </c>
      <c r="W996" s="267">
        <f>IFERROR(Table6[[#This Row],[Breakdown Time]]*Table6[[#This Row],[Plant Equivalent Weightage]],"")</f>
        <v>3.8461538461538312E-3</v>
      </c>
      <c r="X996" s="262" t="s">
        <v>269</v>
      </c>
      <c r="Y996" s="263" t="s">
        <v>126</v>
      </c>
      <c r="Z996" s="102">
        <v>49060.833333333336</v>
      </c>
      <c r="AA996" s="257">
        <f>(Table6[[#This Row],[Paired WTG Generation for loss calculation]]/24)*Table6[[#This Row],[Breakdown Time]]</f>
        <v>204.42013888888818</v>
      </c>
      <c r="AB996" s="102"/>
      <c r="AC996" s="35"/>
      <c r="AD996" s="35"/>
    </row>
    <row r="997" spans="1:30">
      <c r="A997" s="102">
        <f t="shared" si="16"/>
        <v>996</v>
      </c>
      <c r="B997" s="257">
        <f>YEAR(Table6[[#This Row],[Date]])+IF(MONTH(Table6[[#This Row],[Date]])&gt;=4,1,0)</f>
        <v>2026</v>
      </c>
      <c r="C997" s="102">
        <f>YEAR(Table6[[#This Row],[Date]])</f>
        <v>2025</v>
      </c>
      <c r="D997" s="102" t="s">
        <v>265</v>
      </c>
      <c r="E997" s="258">
        <f>Table6[[#This Row],[Date]]-DAY(Table6[[#This Row],[Date]])+1</f>
        <v>45809</v>
      </c>
      <c r="F997" s="259">
        <v>45809</v>
      </c>
      <c r="G997" s="35" t="s">
        <v>128</v>
      </c>
      <c r="H997" s="35" t="str">
        <f>IFERROR(_xlfn.XLOOKUP(Table6[[#This Row],[Affected WTG]],'Basic Data'!$A:$A,'Basic Data'!$B:$B),"")</f>
        <v>TQGXIIPL</v>
      </c>
      <c r="I997" s="35" t="str">
        <f>IFERROR(_xlfn.XLOOKUP(Table6[[#This Row],[Affected WTG]],'Basic Data'!$A:$A,'Basic Data'!$C:$C),"")</f>
        <v>GEDA</v>
      </c>
      <c r="J997" s="260">
        <f>IFERROR(_xlfn.XLOOKUP(Table6[[#This Row],[Affected WTG]],'Basic Data'!$A:$A,'Basic Data'!$E:$E),"")</f>
        <v>3.846153846153845E-2</v>
      </c>
      <c r="K997" s="102">
        <v>6130</v>
      </c>
      <c r="L997" s="35" t="str">
        <f>IFERROR(_xlfn.XLOOKUP(Table6[[#This Row],[Error Code]],'Basic Data'!$AA:$AA,'Basic Data'!$AB:$AB),"Incorrect Error Code")</f>
        <v>Yaw speed high</v>
      </c>
      <c r="M997" s="35" t="s">
        <v>278</v>
      </c>
      <c r="N997" s="264"/>
      <c r="O997" s="265">
        <v>0.5625</v>
      </c>
      <c r="P997" s="265">
        <v>0.5625</v>
      </c>
      <c r="Q997" s="266">
        <v>0.56805555555555565</v>
      </c>
      <c r="R997" s="261">
        <f>IF(Table6[[#This Row],[Work Start TimeStamp]]="","",(Table6[[#This Row],[Work Start TimeStamp]]-Table6[[#This Row],[Fault Start TimeStamp]])*24)</f>
        <v>0</v>
      </c>
      <c r="S997" s="261">
        <f>(Table6[[#This Row],[Fault Clearance time]]-Table6[[#This Row],[Work Start TimeStamp]])*24</f>
        <v>0.13333333333333552</v>
      </c>
      <c r="T997" s="261">
        <f>(Table6[[#This Row],[Fault Clearance time]]-Table6[[#This Row],[Fault Start TimeStamp]])*24</f>
        <v>0.13333333333333552</v>
      </c>
      <c r="U997" s="35" t="s">
        <v>277</v>
      </c>
      <c r="V997" s="102" t="s">
        <v>268</v>
      </c>
      <c r="W997" s="267">
        <f>IFERROR(Table6[[#This Row],[Breakdown Time]]*Table6[[#This Row],[Plant Equivalent Weightage]],"")</f>
        <v>5.1282051282052106E-3</v>
      </c>
      <c r="X997" s="262" t="s">
        <v>269</v>
      </c>
      <c r="Y997" s="263" t="s">
        <v>126</v>
      </c>
      <c r="Z997" s="102">
        <v>49060.833333333336</v>
      </c>
      <c r="AA997" s="257">
        <f>(Table6[[#This Row],[Paired WTG Generation for loss calculation]]/24)*Table6[[#This Row],[Breakdown Time]]</f>
        <v>272.56018518518965</v>
      </c>
      <c r="AB997" s="102"/>
      <c r="AC997" s="35"/>
      <c r="AD997" s="35"/>
    </row>
    <row r="998" spans="1:30">
      <c r="A998" s="102">
        <f t="shared" si="16"/>
        <v>997</v>
      </c>
      <c r="B998" s="257">
        <f>YEAR(Table6[[#This Row],[Date]])+IF(MONTH(Table6[[#This Row],[Date]])&gt;=4,1,0)</f>
        <v>2026</v>
      </c>
      <c r="C998" s="102">
        <f>YEAR(Table6[[#This Row],[Date]])</f>
        <v>2025</v>
      </c>
      <c r="D998" s="102" t="s">
        <v>265</v>
      </c>
      <c r="E998" s="258">
        <f>Table6[[#This Row],[Date]]-DAY(Table6[[#This Row],[Date]])+1</f>
        <v>45809</v>
      </c>
      <c r="F998" s="259">
        <v>45809</v>
      </c>
      <c r="G998" s="35" t="s">
        <v>128</v>
      </c>
      <c r="H998" s="35" t="str">
        <f>IFERROR(_xlfn.XLOOKUP(Table6[[#This Row],[Affected WTG]],'Basic Data'!$A:$A,'Basic Data'!$B:$B),"")</f>
        <v>TQGXIIPL</v>
      </c>
      <c r="I998" s="35" t="str">
        <f>IFERROR(_xlfn.XLOOKUP(Table6[[#This Row],[Affected WTG]],'Basic Data'!$A:$A,'Basic Data'!$C:$C),"")</f>
        <v>GEDA</v>
      </c>
      <c r="J998" s="260">
        <f>IFERROR(_xlfn.XLOOKUP(Table6[[#This Row],[Affected WTG]],'Basic Data'!$A:$A,'Basic Data'!$E:$E),"")</f>
        <v>3.846153846153845E-2</v>
      </c>
      <c r="K998" s="102">
        <v>4970</v>
      </c>
      <c r="L998" s="35" t="str">
        <f>IFERROR(_xlfn.XLOOKUP(Table6[[#This Row],[Error Code]],'Basic Data'!$AA:$AA,'Basic Data'!$AB:$AB),"Incorrect Error Code")</f>
        <v>Tower oscillation XF</v>
      </c>
      <c r="M998" s="35" t="s">
        <v>278</v>
      </c>
      <c r="N998" s="264"/>
      <c r="O998" s="265">
        <v>0.6791666666666667</v>
      </c>
      <c r="P998" s="265">
        <v>0.6791666666666667</v>
      </c>
      <c r="Q998" s="266">
        <v>0.69236111111111109</v>
      </c>
      <c r="R998" s="261">
        <f>IF(Table6[[#This Row],[Work Start TimeStamp]]="","",(Table6[[#This Row],[Work Start TimeStamp]]-Table6[[#This Row],[Fault Start TimeStamp]])*24)</f>
        <v>0</v>
      </c>
      <c r="S998" s="261">
        <f>(Table6[[#This Row],[Fault Clearance time]]-Table6[[#This Row],[Work Start TimeStamp]])*24</f>
        <v>0.31666666666666554</v>
      </c>
      <c r="T998" s="261">
        <f>(Table6[[#This Row],[Fault Clearance time]]-Table6[[#This Row],[Fault Start TimeStamp]])*24</f>
        <v>0.31666666666666554</v>
      </c>
      <c r="U998" s="35" t="s">
        <v>277</v>
      </c>
      <c r="V998" s="102" t="s">
        <v>268</v>
      </c>
      <c r="W998" s="267">
        <f>IFERROR(Table6[[#This Row],[Breakdown Time]]*Table6[[#This Row],[Plant Equivalent Weightage]],"")</f>
        <v>1.2179487179487133E-2</v>
      </c>
      <c r="X998" s="262" t="s">
        <v>269</v>
      </c>
      <c r="Y998" s="263" t="s">
        <v>126</v>
      </c>
      <c r="Z998" s="102">
        <v>49060.833333333336</v>
      </c>
      <c r="AA998" s="257">
        <f>(Table6[[#This Row],[Paired WTG Generation for loss calculation]]/24)*Table6[[#This Row],[Breakdown Time]]</f>
        <v>647.33043981481251</v>
      </c>
      <c r="AB998" s="102"/>
      <c r="AC998" s="35"/>
      <c r="AD998" s="35"/>
    </row>
    <row r="999" spans="1:30">
      <c r="A999" s="102">
        <f t="shared" si="16"/>
        <v>998</v>
      </c>
      <c r="B999" s="257">
        <f>YEAR(Table6[[#This Row],[Date]])+IF(MONTH(Table6[[#This Row],[Date]])&gt;=4,1,0)</f>
        <v>2026</v>
      </c>
      <c r="C999" s="102">
        <f>YEAR(Table6[[#This Row],[Date]])</f>
        <v>2025</v>
      </c>
      <c r="D999" s="102" t="s">
        <v>265</v>
      </c>
      <c r="E999" s="258">
        <f>Table6[[#This Row],[Date]]-DAY(Table6[[#This Row],[Date]])+1</f>
        <v>45809</v>
      </c>
      <c r="F999" s="259">
        <v>45809</v>
      </c>
      <c r="G999" s="35" t="s">
        <v>130</v>
      </c>
      <c r="H999" s="35" t="str">
        <f>IFERROR(_xlfn.XLOOKUP(Table6[[#This Row],[Affected WTG]],'Basic Data'!$A:$A,'Basic Data'!$B:$B),"")</f>
        <v>TQGXIIPL</v>
      </c>
      <c r="I999" s="35" t="str">
        <f>IFERROR(_xlfn.XLOOKUP(Table6[[#This Row],[Affected WTG]],'Basic Data'!$A:$A,'Basic Data'!$C:$C),"")</f>
        <v>GEDA</v>
      </c>
      <c r="J999" s="260">
        <f>IFERROR(_xlfn.XLOOKUP(Table6[[#This Row],[Affected WTG]],'Basic Data'!$A:$A,'Basic Data'!$E:$E),"")</f>
        <v>3.846153846153845E-2</v>
      </c>
      <c r="K999" s="102">
        <v>4970</v>
      </c>
      <c r="L999" s="35" t="str">
        <f>IFERROR(_xlfn.XLOOKUP(Table6[[#This Row],[Error Code]],'Basic Data'!$AA:$AA,'Basic Data'!$AB:$AB),"Incorrect Error Code")</f>
        <v>Tower oscillation XF</v>
      </c>
      <c r="M999" s="35" t="s">
        <v>278</v>
      </c>
      <c r="N999" s="264"/>
      <c r="O999" s="265">
        <v>0.53750000000000009</v>
      </c>
      <c r="P999" s="265">
        <v>0.53750000000000009</v>
      </c>
      <c r="Q999" s="266">
        <v>0.54861111111111116</v>
      </c>
      <c r="R999" s="261">
        <f>IF(Table6[[#This Row],[Work Start TimeStamp]]="","",(Table6[[#This Row],[Work Start TimeStamp]]-Table6[[#This Row],[Fault Start TimeStamp]])*24)</f>
        <v>0</v>
      </c>
      <c r="S999" s="261">
        <f>(Table6[[#This Row],[Fault Clearance time]]-Table6[[#This Row],[Work Start TimeStamp]])*24</f>
        <v>0.26666666666666572</v>
      </c>
      <c r="T999" s="261">
        <f>(Table6[[#This Row],[Fault Clearance time]]-Table6[[#This Row],[Fault Start TimeStamp]])*24</f>
        <v>0.26666666666666572</v>
      </c>
      <c r="U999" s="35" t="s">
        <v>277</v>
      </c>
      <c r="V999" s="102" t="s">
        <v>268</v>
      </c>
      <c r="W999" s="267">
        <f>IFERROR(Table6[[#This Row],[Breakdown Time]]*Table6[[#This Row],[Plant Equivalent Weightage]],"")</f>
        <v>1.0256410256410217E-2</v>
      </c>
      <c r="X999" s="262" t="s">
        <v>269</v>
      </c>
      <c r="Y999" s="263" t="s">
        <v>135</v>
      </c>
      <c r="Z999" s="102">
        <v>52837.5</v>
      </c>
      <c r="AA999" s="257">
        <f>(Table6[[#This Row],[Paired WTG Generation for loss calculation]]/24)*Table6[[#This Row],[Breakdown Time]]</f>
        <v>587.08333333333121</v>
      </c>
      <c r="AB999" s="102"/>
      <c r="AC999" s="35"/>
      <c r="AD999" s="35"/>
    </row>
    <row r="1000" spans="1:30">
      <c r="A1000" s="102">
        <f t="shared" si="16"/>
        <v>999</v>
      </c>
      <c r="B1000" s="257">
        <f>YEAR(Table6[[#This Row],[Date]])+IF(MONTH(Table6[[#This Row],[Date]])&gt;=4,1,0)</f>
        <v>2026</v>
      </c>
      <c r="C1000" s="102">
        <f>YEAR(Table6[[#This Row],[Date]])</f>
        <v>2025</v>
      </c>
      <c r="D1000" s="102" t="s">
        <v>265</v>
      </c>
      <c r="E1000" s="258">
        <f>Table6[[#This Row],[Date]]-DAY(Table6[[#This Row],[Date]])+1</f>
        <v>45809</v>
      </c>
      <c r="F1000" s="259">
        <v>45809</v>
      </c>
      <c r="G1000" s="35" t="s">
        <v>131</v>
      </c>
      <c r="H1000" s="35" t="str">
        <f>IFERROR(_xlfn.XLOOKUP(Table6[[#This Row],[Affected WTG]],'Basic Data'!$A:$A,'Basic Data'!$B:$B),"")</f>
        <v>TQGXIIPL</v>
      </c>
      <c r="I1000" s="35" t="str">
        <f>IFERROR(_xlfn.XLOOKUP(Table6[[#This Row],[Affected WTG]],'Basic Data'!$A:$A,'Basic Data'!$C:$C),"")</f>
        <v>GEDA</v>
      </c>
      <c r="J1000" s="260">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266</v>
      </c>
      <c r="N1000" s="264"/>
      <c r="O1000" s="265">
        <v>0.58333333333333337</v>
      </c>
      <c r="P1000" s="265">
        <v>0.58333333333333337</v>
      </c>
      <c r="Q1000" s="266">
        <v>0.625</v>
      </c>
      <c r="R1000" s="261">
        <f>IF(Table6[[#This Row],[Work Start TimeStamp]]="","",(Table6[[#This Row],[Work Start TimeStamp]]-Table6[[#This Row],[Fault Start TimeStamp]])*24)</f>
        <v>0</v>
      </c>
      <c r="S1000" s="261">
        <f>(Table6[[#This Row],[Fault Clearance time]]-Table6[[#This Row],[Work Start TimeStamp]])*24</f>
        <v>0.99999999999999911</v>
      </c>
      <c r="T1000" s="261">
        <f>(Table6[[#This Row],[Fault Clearance time]]-Table6[[#This Row],[Fault Start TimeStamp]])*24</f>
        <v>0.99999999999999911</v>
      </c>
      <c r="U1000" s="35" t="s">
        <v>491</v>
      </c>
      <c r="V1000" s="102" t="s">
        <v>268</v>
      </c>
      <c r="W1000" s="267">
        <f>IFERROR(Table6[[#This Row],[Breakdown Time]]*Table6[[#This Row],[Plant Equivalent Weightage]],"")</f>
        <v>3.8461538461538415E-2</v>
      </c>
      <c r="X1000" s="262" t="s">
        <v>269</v>
      </c>
      <c r="Y1000" s="263" t="s">
        <v>136</v>
      </c>
      <c r="Z1000" s="102">
        <v>56229</v>
      </c>
      <c r="AA1000" s="257">
        <f>(Table6[[#This Row],[Paired WTG Generation for loss calculation]]/24)*Table6[[#This Row],[Breakdown Time]]</f>
        <v>2342.8749999999977</v>
      </c>
      <c r="AB1000" s="102"/>
      <c r="AC1000" s="35"/>
      <c r="AD1000" s="35"/>
    </row>
    <row r="1001" spans="1:30">
      <c r="A1001" s="102">
        <f t="shared" si="16"/>
        <v>1000</v>
      </c>
      <c r="B1001" s="257">
        <f>YEAR(Table6[[#This Row],[Date]])+IF(MONTH(Table6[[#This Row],[Date]])&gt;=4,1,0)</f>
        <v>2026</v>
      </c>
      <c r="C1001" s="102">
        <f>YEAR(Table6[[#This Row],[Date]])</f>
        <v>2025</v>
      </c>
      <c r="D1001" s="102" t="s">
        <v>265</v>
      </c>
      <c r="E1001" s="258">
        <f>Table6[[#This Row],[Date]]-DAY(Table6[[#This Row],[Date]])+1</f>
        <v>45809</v>
      </c>
      <c r="F1001" s="259">
        <v>45809</v>
      </c>
      <c r="G1001" s="35" t="s">
        <v>133</v>
      </c>
      <c r="H1001" s="35" t="str">
        <f>IFERROR(_xlfn.XLOOKUP(Table6[[#This Row],[Affected WTG]],'Basic Data'!$A:$A,'Basic Data'!$B:$B),"")</f>
        <v>TQGXIIPL</v>
      </c>
      <c r="I1001" s="35" t="str">
        <f>IFERROR(_xlfn.XLOOKUP(Table6[[#This Row],[Affected WTG]],'Basic Data'!$A:$A,'Basic Data'!$C:$C),"")</f>
        <v>GEDA</v>
      </c>
      <c r="J1001" s="260">
        <f>IFERROR(_xlfn.XLOOKUP(Table6[[#This Row],[Affected WTG]],'Basic Data'!$A:$A,'Basic Data'!$E:$E),"")</f>
        <v>3.846153846153845E-2</v>
      </c>
      <c r="K1001" s="102">
        <v>4970</v>
      </c>
      <c r="L1001" s="35" t="str">
        <f>IFERROR(_xlfn.XLOOKUP(Table6[[#This Row],[Error Code]],'Basic Data'!$AA:$AA,'Basic Data'!$AB:$AB),"Incorrect Error Code")</f>
        <v>Tower oscillation XF</v>
      </c>
      <c r="M1001" s="35" t="s">
        <v>278</v>
      </c>
      <c r="N1001" s="264"/>
      <c r="O1001" s="265">
        <v>0.53472222222222221</v>
      </c>
      <c r="P1001" s="265">
        <v>0.53472222222222221</v>
      </c>
      <c r="Q1001" s="266">
        <v>0.54513888888888895</v>
      </c>
      <c r="R1001" s="261">
        <f>IF(Table6[[#This Row],[Work Start TimeStamp]]="","",(Table6[[#This Row],[Work Start TimeStamp]]-Table6[[#This Row],[Fault Start TimeStamp]])*24)</f>
        <v>0</v>
      </c>
      <c r="S1001" s="261">
        <f>(Table6[[#This Row],[Fault Clearance time]]-Table6[[#This Row],[Work Start TimeStamp]])*24</f>
        <v>0.25000000000000178</v>
      </c>
      <c r="T1001" s="261">
        <f>(Table6[[#This Row],[Fault Clearance time]]-Table6[[#This Row],[Fault Start TimeStamp]])*24</f>
        <v>0.25000000000000178</v>
      </c>
      <c r="U1001" s="35" t="s">
        <v>277</v>
      </c>
      <c r="V1001" s="102" t="s">
        <v>268</v>
      </c>
      <c r="W1001" s="267">
        <f>IFERROR(Table6[[#This Row],[Breakdown Time]]*Table6[[#This Row],[Plant Equivalent Weightage]],"")</f>
        <v>9.6153846153846801E-3</v>
      </c>
      <c r="X1001" s="262" t="s">
        <v>269</v>
      </c>
      <c r="Y1001" s="263" t="s">
        <v>121</v>
      </c>
      <c r="Z1001" s="102">
        <v>51412.666666666664</v>
      </c>
      <c r="AA1001" s="257">
        <f>(Table6[[#This Row],[Paired WTG Generation for loss calculation]]/24)*Table6[[#This Row],[Breakdown Time]]</f>
        <v>535.54861111111484</v>
      </c>
      <c r="AB1001" s="102"/>
      <c r="AC1001" s="35"/>
      <c r="AD1001" s="35"/>
    </row>
    <row r="1002" spans="1:30">
      <c r="A1002" s="102">
        <f t="shared" si="16"/>
        <v>1001</v>
      </c>
      <c r="B1002" s="257">
        <f>YEAR(Table6[[#This Row],[Date]])+IF(MONTH(Table6[[#This Row],[Date]])&gt;=4,1,0)</f>
        <v>2026</v>
      </c>
      <c r="C1002" s="102">
        <f>YEAR(Table6[[#This Row],[Date]])</f>
        <v>2025</v>
      </c>
      <c r="D1002" s="102" t="s">
        <v>265</v>
      </c>
      <c r="E1002" s="258">
        <f>Table6[[#This Row],[Date]]-DAY(Table6[[#This Row],[Date]])+1</f>
        <v>45809</v>
      </c>
      <c r="F1002" s="259">
        <v>45809</v>
      </c>
      <c r="G1002" s="35" t="s">
        <v>134</v>
      </c>
      <c r="H1002" s="35" t="str">
        <f>IFERROR(_xlfn.XLOOKUP(Table6[[#This Row],[Affected WTG]],'Basic Data'!$A:$A,'Basic Data'!$B:$B),"")</f>
        <v>TQGXIIPL</v>
      </c>
      <c r="I1002" s="35" t="str">
        <f>IFERROR(_xlfn.XLOOKUP(Table6[[#This Row],[Affected WTG]],'Basic Data'!$A:$A,'Basic Data'!$C:$C),"")</f>
        <v>GEDA</v>
      </c>
      <c r="J1002" s="260">
        <f>IFERROR(_xlfn.XLOOKUP(Table6[[#This Row],[Affected WTG]],'Basic Data'!$A:$A,'Basic Data'!$E:$E),"")</f>
        <v>3.846153846153845E-2</v>
      </c>
      <c r="K1002" s="102">
        <v>6130</v>
      </c>
      <c r="L1002" s="35" t="str">
        <f>IFERROR(_xlfn.XLOOKUP(Table6[[#This Row],[Error Code]],'Basic Data'!$AA:$AA,'Basic Data'!$AB:$AB),"Incorrect Error Code")</f>
        <v>Yaw speed high</v>
      </c>
      <c r="M1002" s="35" t="s">
        <v>278</v>
      </c>
      <c r="N1002" s="264"/>
      <c r="O1002" s="265">
        <v>0.51597222222222228</v>
      </c>
      <c r="P1002" s="265">
        <v>0.51597222222222228</v>
      </c>
      <c r="Q1002" s="266">
        <v>0.52152777777777781</v>
      </c>
      <c r="R1002" s="261">
        <f>IF(Table6[[#This Row],[Work Start TimeStamp]]="","",(Table6[[#This Row],[Work Start TimeStamp]]-Table6[[#This Row],[Fault Start TimeStamp]])*24)</f>
        <v>0</v>
      </c>
      <c r="S1002" s="261">
        <f>(Table6[[#This Row],[Fault Clearance time]]-Table6[[#This Row],[Work Start TimeStamp]])*24</f>
        <v>0.13333333333333286</v>
      </c>
      <c r="T1002" s="261">
        <f>(Table6[[#This Row],[Fault Clearance time]]-Table6[[#This Row],[Fault Start TimeStamp]])*24</f>
        <v>0.13333333333333286</v>
      </c>
      <c r="U1002" s="35" t="s">
        <v>277</v>
      </c>
      <c r="V1002" s="102" t="s">
        <v>268</v>
      </c>
      <c r="W1002" s="267">
        <f>IFERROR(Table6[[#This Row],[Breakdown Time]]*Table6[[#This Row],[Plant Equivalent Weightage]],"")</f>
        <v>5.1282051282051083E-3</v>
      </c>
      <c r="X1002" s="262" t="s">
        <v>269</v>
      </c>
      <c r="Y1002" s="263" t="s">
        <v>138</v>
      </c>
      <c r="Z1002" s="102">
        <v>53390.833333333336</v>
      </c>
      <c r="AA1002" s="257">
        <f>(Table6[[#This Row],[Paired WTG Generation for loss calculation]]/24)*Table6[[#This Row],[Breakdown Time]]</f>
        <v>296.61574074073968</v>
      </c>
      <c r="AB1002" s="102"/>
      <c r="AC1002" s="35"/>
      <c r="AD1002" s="35"/>
    </row>
    <row r="1003" spans="1:30">
      <c r="A1003" s="102">
        <f t="shared" si="16"/>
        <v>1002</v>
      </c>
      <c r="B1003" s="257">
        <f>YEAR(Table6[[#This Row],[Date]])+IF(MONTH(Table6[[#This Row],[Date]])&gt;=4,1,0)</f>
        <v>2026</v>
      </c>
      <c r="C1003" s="102">
        <f>YEAR(Table6[[#This Row],[Date]])</f>
        <v>2025</v>
      </c>
      <c r="D1003" s="102" t="s">
        <v>265</v>
      </c>
      <c r="E1003" s="258">
        <f>Table6[[#This Row],[Date]]-DAY(Table6[[#This Row],[Date]])+1</f>
        <v>45809</v>
      </c>
      <c r="F1003" s="259">
        <v>45809</v>
      </c>
      <c r="G1003" s="35" t="s">
        <v>135</v>
      </c>
      <c r="H1003" s="35" t="str">
        <f>IFERROR(_xlfn.XLOOKUP(Table6[[#This Row],[Affected WTG]],'Basic Data'!$A:$A,'Basic Data'!$B:$B),"")</f>
        <v>TQGXIIPL</v>
      </c>
      <c r="I1003" s="35" t="str">
        <f>IFERROR(_xlfn.XLOOKUP(Table6[[#This Row],[Affected WTG]],'Basic Data'!$A:$A,'Basic Data'!$C:$C),"")</f>
        <v>GEDA</v>
      </c>
      <c r="J1003" s="260">
        <f>IFERROR(_xlfn.XLOOKUP(Table6[[#This Row],[Affected WTG]],'Basic Data'!$A:$A,'Basic Data'!$E:$E),"")</f>
        <v>3.846153846153845E-2</v>
      </c>
      <c r="K1003" s="102">
        <v>4970</v>
      </c>
      <c r="L1003" s="35" t="str">
        <f>IFERROR(_xlfn.XLOOKUP(Table6[[#This Row],[Error Code]],'Basic Data'!$AA:$AA,'Basic Data'!$AB:$AB),"Incorrect Error Code")</f>
        <v>Tower oscillation XF</v>
      </c>
      <c r="M1003" s="35" t="s">
        <v>278</v>
      </c>
      <c r="N1003" s="264"/>
      <c r="O1003" s="265">
        <v>0.56527777777777777</v>
      </c>
      <c r="P1003" s="265">
        <v>0.56527777777777777</v>
      </c>
      <c r="Q1003" s="266">
        <v>0.57638888888888895</v>
      </c>
      <c r="R1003" s="261">
        <f>IF(Table6[[#This Row],[Work Start TimeStamp]]="","",(Table6[[#This Row],[Work Start TimeStamp]]-Table6[[#This Row],[Fault Start TimeStamp]])*24)</f>
        <v>0</v>
      </c>
      <c r="S1003" s="261">
        <f>(Table6[[#This Row],[Fault Clearance time]]-Table6[[#This Row],[Work Start TimeStamp]])*24</f>
        <v>0.26666666666666838</v>
      </c>
      <c r="T1003" s="261">
        <f>(Table6[[#This Row],[Fault Clearance time]]-Table6[[#This Row],[Fault Start TimeStamp]])*24</f>
        <v>0.26666666666666838</v>
      </c>
      <c r="U1003" s="35" t="s">
        <v>277</v>
      </c>
      <c r="V1003" s="102" t="s">
        <v>268</v>
      </c>
      <c r="W1003" s="267">
        <f>IFERROR(Table6[[#This Row],[Breakdown Time]]*Table6[[#This Row],[Plant Equivalent Weightage]],"")</f>
        <v>1.0256410256410319E-2</v>
      </c>
      <c r="X1003" s="262" t="s">
        <v>269</v>
      </c>
      <c r="Y1003" s="263" t="s">
        <v>120</v>
      </c>
      <c r="Z1003" s="102">
        <v>52292.166666666672</v>
      </c>
      <c r="AA1003" s="257">
        <f>(Table6[[#This Row],[Paired WTG Generation for loss calculation]]/24)*Table6[[#This Row],[Breakdown Time]]</f>
        <v>581.02407407407782</v>
      </c>
      <c r="AB1003" s="102"/>
      <c r="AC1003" s="35"/>
      <c r="AD1003" s="35"/>
    </row>
    <row r="1004" spans="1:30">
      <c r="A1004" s="102">
        <f t="shared" si="16"/>
        <v>1003</v>
      </c>
      <c r="B1004" s="257">
        <f>YEAR(Table6[[#This Row],[Date]])+IF(MONTH(Table6[[#This Row],[Date]])&gt;=4,1,0)</f>
        <v>2026</v>
      </c>
      <c r="C1004" s="102">
        <f>YEAR(Table6[[#This Row],[Date]])</f>
        <v>2025</v>
      </c>
      <c r="D1004" s="102" t="s">
        <v>265</v>
      </c>
      <c r="E1004" s="258">
        <f>Table6[[#This Row],[Date]]-DAY(Table6[[#This Row],[Date]])+1</f>
        <v>45809</v>
      </c>
      <c r="F1004" s="259">
        <v>45809</v>
      </c>
      <c r="G1004" s="35" t="s">
        <v>137</v>
      </c>
      <c r="H1004" s="35" t="str">
        <f>IFERROR(_xlfn.XLOOKUP(Table6[[#This Row],[Affected WTG]],'Basic Data'!$A:$A,'Basic Data'!$B:$B),"")</f>
        <v>TQGXIIPL</v>
      </c>
      <c r="I1004" s="35" t="str">
        <f>IFERROR(_xlfn.XLOOKUP(Table6[[#This Row],[Affected WTG]],'Basic Data'!$A:$A,'Basic Data'!$C:$C),"")</f>
        <v>GEDA</v>
      </c>
      <c r="J1004" s="260">
        <f>IFERROR(_xlfn.XLOOKUP(Table6[[#This Row],[Affected WTG]],'Basic Data'!$A:$A,'Basic Data'!$E:$E),"")</f>
        <v>3.846153846153845E-2</v>
      </c>
      <c r="K1004" s="102">
        <v>6130</v>
      </c>
      <c r="L1004" s="35" t="str">
        <f>IFERROR(_xlfn.XLOOKUP(Table6[[#This Row],[Error Code]],'Basic Data'!$AA:$AA,'Basic Data'!$AB:$AB),"Incorrect Error Code")</f>
        <v>Yaw speed high</v>
      </c>
      <c r="M1004" s="35" t="s">
        <v>278</v>
      </c>
      <c r="N1004" s="264"/>
      <c r="O1004" s="265">
        <v>0.48888888888888887</v>
      </c>
      <c r="P1004" s="265">
        <v>0.48888888888888887</v>
      </c>
      <c r="Q1004" s="266">
        <v>0.49027777777777776</v>
      </c>
      <c r="R1004" s="261">
        <f>IF(Table6[[#This Row],[Work Start TimeStamp]]="","",(Table6[[#This Row],[Work Start TimeStamp]]-Table6[[#This Row],[Fault Start TimeStamp]])*24)</f>
        <v>0</v>
      </c>
      <c r="S1004" s="261">
        <f>(Table6[[#This Row],[Fault Clearance time]]-Table6[[#This Row],[Work Start TimeStamp]])*24</f>
        <v>3.3333333333333215E-2</v>
      </c>
      <c r="T1004" s="261">
        <f>(Table6[[#This Row],[Fault Clearance time]]-Table6[[#This Row],[Fault Start TimeStamp]])*24</f>
        <v>3.3333333333333215E-2</v>
      </c>
      <c r="U1004" s="35" t="s">
        <v>277</v>
      </c>
      <c r="V1004" s="102" t="s">
        <v>268</v>
      </c>
      <c r="W1004" s="267">
        <f>IFERROR(Table6[[#This Row],[Breakdown Time]]*Table6[[#This Row],[Plant Equivalent Weightage]],"")</f>
        <v>1.2820512820512771E-3</v>
      </c>
      <c r="X1004" s="262" t="s">
        <v>269</v>
      </c>
      <c r="Y1004" s="263" t="s">
        <v>125</v>
      </c>
      <c r="Z1004" s="102">
        <v>51597</v>
      </c>
      <c r="AA1004" s="257">
        <f>(Table6[[#This Row],[Paired WTG Generation for loss calculation]]/24)*Table6[[#This Row],[Breakdown Time]]</f>
        <v>71.662499999999739</v>
      </c>
      <c r="AB1004" s="102"/>
      <c r="AC1004" s="35"/>
      <c r="AD1004" s="35"/>
    </row>
    <row r="1005" spans="1:30">
      <c r="A1005" s="102">
        <f t="shared" si="16"/>
        <v>1004</v>
      </c>
      <c r="B1005" s="257">
        <f>YEAR(Table6[[#This Row],[Date]])+IF(MONTH(Table6[[#This Row],[Date]])&gt;=4,1,0)</f>
        <v>2026</v>
      </c>
      <c r="C1005" s="102">
        <f>YEAR(Table6[[#This Row],[Date]])</f>
        <v>2025</v>
      </c>
      <c r="D1005" s="102" t="s">
        <v>265</v>
      </c>
      <c r="E1005" s="258">
        <f>Table6[[#This Row],[Date]]-DAY(Table6[[#This Row],[Date]])+1</f>
        <v>45809</v>
      </c>
      <c r="F1005" s="259">
        <v>45809</v>
      </c>
      <c r="G1005" s="35" t="s">
        <v>138</v>
      </c>
      <c r="H1005" s="35" t="str">
        <f>IFERROR(_xlfn.XLOOKUP(Table6[[#This Row],[Affected WTG]],'Basic Data'!$A:$A,'Basic Data'!$B:$B),"")</f>
        <v>TQGXIIPL</v>
      </c>
      <c r="I1005" s="35" t="str">
        <f>IFERROR(_xlfn.XLOOKUP(Table6[[#This Row],[Affected WTG]],'Basic Data'!$A:$A,'Basic Data'!$C:$C),"")</f>
        <v>GEDA</v>
      </c>
      <c r="J1005" s="260">
        <f>IFERROR(_xlfn.XLOOKUP(Table6[[#This Row],[Affected WTG]],'Basic Data'!$A:$A,'Basic Data'!$E:$E),"")</f>
        <v>3.846153846153845E-2</v>
      </c>
      <c r="K1005" s="102">
        <v>6130</v>
      </c>
      <c r="L1005" s="35" t="str">
        <f>IFERROR(_xlfn.XLOOKUP(Table6[[#This Row],[Error Code]],'Basic Data'!$AA:$AA,'Basic Data'!$AB:$AB),"Incorrect Error Code")</f>
        <v>Yaw speed high</v>
      </c>
      <c r="M1005" s="35" t="s">
        <v>278</v>
      </c>
      <c r="N1005" s="264"/>
      <c r="O1005" s="265">
        <v>0.52222222222222225</v>
      </c>
      <c r="P1005" s="265">
        <v>0.52222222222222225</v>
      </c>
      <c r="Q1005" s="266">
        <v>0.52638888888888891</v>
      </c>
      <c r="R1005" s="261">
        <f>IF(Table6[[#This Row],[Work Start TimeStamp]]="","",(Table6[[#This Row],[Work Start TimeStamp]]-Table6[[#This Row],[Fault Start TimeStamp]])*24)</f>
        <v>0</v>
      </c>
      <c r="S1005" s="261">
        <f>(Table6[[#This Row],[Fault Clearance time]]-Table6[[#This Row],[Work Start TimeStamp]])*24</f>
        <v>9.9999999999999645E-2</v>
      </c>
      <c r="T1005" s="261">
        <f>(Table6[[#This Row],[Fault Clearance time]]-Table6[[#This Row],[Fault Start TimeStamp]])*24</f>
        <v>9.9999999999999645E-2</v>
      </c>
      <c r="U1005" s="35" t="s">
        <v>277</v>
      </c>
      <c r="V1005" s="102" t="s">
        <v>268</v>
      </c>
      <c r="W1005" s="267">
        <f>IFERROR(Table6[[#This Row],[Breakdown Time]]*Table6[[#This Row],[Plant Equivalent Weightage]],"")</f>
        <v>3.8461538461538312E-3</v>
      </c>
      <c r="X1005" s="262" t="s">
        <v>269</v>
      </c>
      <c r="Y1005" s="263" t="s">
        <v>134</v>
      </c>
      <c r="Z1005" s="102">
        <v>53693</v>
      </c>
      <c r="AA1005" s="257">
        <f>(Table6[[#This Row],[Paired WTG Generation for loss calculation]]/24)*Table6[[#This Row],[Breakdown Time]]</f>
        <v>223.72083333333256</v>
      </c>
      <c r="AB1005" s="102"/>
      <c r="AC1005" s="35"/>
      <c r="AD1005" s="35"/>
    </row>
    <row r="1006" spans="1:30">
      <c r="A1006" s="102">
        <f t="shared" si="16"/>
        <v>1005</v>
      </c>
      <c r="B1006" s="257">
        <f>YEAR(Table6[[#This Row],[Date]])+IF(MONTH(Table6[[#This Row],[Date]])&gt;=4,1,0)</f>
        <v>2026</v>
      </c>
      <c r="C1006" s="102">
        <f>YEAR(Table6[[#This Row],[Date]])</f>
        <v>2025</v>
      </c>
      <c r="D1006" s="102" t="s">
        <v>265</v>
      </c>
      <c r="E1006" s="258">
        <f>Table6[[#This Row],[Date]]-DAY(Table6[[#This Row],[Date]])+1</f>
        <v>45809</v>
      </c>
      <c r="F1006" s="259">
        <v>45809</v>
      </c>
      <c r="G1006" s="35" t="s">
        <v>139</v>
      </c>
      <c r="H1006" s="35" t="str">
        <f>IFERROR(_xlfn.XLOOKUP(Table6[[#This Row],[Affected WTG]],'Basic Data'!$A:$A,'Basic Data'!$B:$B),"")</f>
        <v>TQGXIIPL</v>
      </c>
      <c r="I1006" s="35" t="str">
        <f>IFERROR(_xlfn.XLOOKUP(Table6[[#This Row],[Affected WTG]],'Basic Data'!$A:$A,'Basic Data'!$C:$C),"")</f>
        <v>GEDA</v>
      </c>
      <c r="J1006" s="260">
        <f>IFERROR(_xlfn.XLOOKUP(Table6[[#This Row],[Affected WTG]],'Basic Data'!$A:$A,'Basic Data'!$E:$E),"")</f>
        <v>3.846153846153845E-2</v>
      </c>
      <c r="K1006" s="102">
        <v>3110</v>
      </c>
      <c r="L1006" s="35" t="str">
        <f>IFERROR(_xlfn.XLOOKUP(Table6[[#This Row],[Error Code]],'Basic Data'!$AA:$AA,'Basic Data'!$AB:$AB),"Incorrect Error Code")</f>
        <v>Frequency converter error</v>
      </c>
      <c r="M1006" s="35" t="s">
        <v>266</v>
      </c>
      <c r="N1006" s="264"/>
      <c r="O1006" s="265">
        <v>0.11736111111111111</v>
      </c>
      <c r="P1006" s="265">
        <v>0.11736111111111111</v>
      </c>
      <c r="Q1006" s="266">
        <v>0.12291666666666666</v>
      </c>
      <c r="R1006" s="261">
        <f>IF(Table6[[#This Row],[Work Start TimeStamp]]="","",(Table6[[#This Row],[Work Start TimeStamp]]-Table6[[#This Row],[Fault Start TimeStamp]])*24)</f>
        <v>0</v>
      </c>
      <c r="S1006" s="261">
        <f>(Table6[[#This Row],[Fault Clearance time]]-Table6[[#This Row],[Work Start TimeStamp]])*24</f>
        <v>0.13333333333333319</v>
      </c>
      <c r="T1006" s="261">
        <f>(Table6[[#This Row],[Fault Clearance time]]-Table6[[#This Row],[Fault Start TimeStamp]])*24</f>
        <v>0.13333333333333319</v>
      </c>
      <c r="U1006" s="35" t="s">
        <v>492</v>
      </c>
      <c r="V1006" s="102" t="s">
        <v>268</v>
      </c>
      <c r="W1006" s="267">
        <f>IFERROR(Table6[[#This Row],[Breakdown Time]]*Table6[[#This Row],[Plant Equivalent Weightage]],"")</f>
        <v>5.1282051282051213E-3</v>
      </c>
      <c r="X1006" s="262" t="s">
        <v>269</v>
      </c>
      <c r="Y1006" s="263" t="s">
        <v>115</v>
      </c>
      <c r="Z1006" s="102">
        <v>50690.166666666672</v>
      </c>
      <c r="AA1006" s="257">
        <f>(Table6[[#This Row],[Paired WTG Generation for loss calculation]]/24)*Table6[[#This Row],[Breakdown Time]]</f>
        <v>281.61203703703677</v>
      </c>
      <c r="AB1006" s="102"/>
      <c r="AC1006" s="35"/>
      <c r="AD1006" s="35"/>
    </row>
    <row r="1007" spans="1:30">
      <c r="A1007" s="102">
        <f t="shared" si="16"/>
        <v>1006</v>
      </c>
      <c r="B1007" s="257">
        <f>YEAR(Table6[[#This Row],[Date]])+IF(MONTH(Table6[[#This Row],[Date]])&gt;=4,1,0)</f>
        <v>2026</v>
      </c>
      <c r="C1007" s="102">
        <f>YEAR(Table6[[#This Row],[Date]])</f>
        <v>2025</v>
      </c>
      <c r="D1007" s="102" t="s">
        <v>265</v>
      </c>
      <c r="E1007" s="258">
        <f>Table6[[#This Row],[Date]]-DAY(Table6[[#This Row],[Date]])+1</f>
        <v>45809</v>
      </c>
      <c r="F1007" s="259">
        <v>45809</v>
      </c>
      <c r="G1007" s="35" t="s">
        <v>140</v>
      </c>
      <c r="H1007" s="35" t="str">
        <f>IFERROR(_xlfn.XLOOKUP(Table6[[#This Row],[Affected WTG]],'Basic Data'!$A:$A,'Basic Data'!$B:$B),"")</f>
        <v>TQGXIIPL</v>
      </c>
      <c r="I1007" s="35" t="str">
        <f>IFERROR(_xlfn.XLOOKUP(Table6[[#This Row],[Affected WTG]],'Basic Data'!$A:$A,'Basic Data'!$C:$C),"")</f>
        <v>GEDA</v>
      </c>
      <c r="J1007" s="260">
        <f>IFERROR(_xlfn.XLOOKUP(Table6[[#This Row],[Affected WTG]],'Basic Data'!$A:$A,'Basic Data'!$E:$E),"")</f>
        <v>3.846153846153845E-2</v>
      </c>
      <c r="K1007" s="102">
        <v>6130</v>
      </c>
      <c r="L1007" s="35" t="str">
        <f>IFERROR(_xlfn.XLOOKUP(Table6[[#This Row],[Error Code]],'Basic Data'!$AA:$AA,'Basic Data'!$AB:$AB),"Incorrect Error Code")</f>
        <v>Yaw speed high</v>
      </c>
      <c r="M1007" s="35" t="s">
        <v>278</v>
      </c>
      <c r="N1007" s="264"/>
      <c r="O1007" s="265">
        <v>0.63125000000000009</v>
      </c>
      <c r="P1007" s="265">
        <v>0.63125000000000009</v>
      </c>
      <c r="Q1007" s="266">
        <v>0.63541666666666674</v>
      </c>
      <c r="R1007" s="261">
        <f>IF(Table6[[#This Row],[Work Start TimeStamp]]="","",(Table6[[#This Row],[Work Start TimeStamp]]-Table6[[#This Row],[Fault Start TimeStamp]])*24)</f>
        <v>0</v>
      </c>
      <c r="S1007" s="261">
        <f>(Table6[[#This Row],[Fault Clearance time]]-Table6[[#This Row],[Work Start TimeStamp]])*24</f>
        <v>9.9999999999999645E-2</v>
      </c>
      <c r="T1007" s="261">
        <f>(Table6[[#This Row],[Fault Clearance time]]-Table6[[#This Row],[Fault Start TimeStamp]])*24</f>
        <v>9.9999999999999645E-2</v>
      </c>
      <c r="U1007" s="35" t="s">
        <v>277</v>
      </c>
      <c r="V1007" s="102" t="s">
        <v>268</v>
      </c>
      <c r="W1007" s="267">
        <f>IFERROR(Table6[[#This Row],[Breakdown Time]]*Table6[[#This Row],[Plant Equivalent Weightage]],"")</f>
        <v>3.8461538461538312E-3</v>
      </c>
      <c r="X1007" s="262" t="s">
        <v>269</v>
      </c>
      <c r="Y1007" s="263" t="s">
        <v>115</v>
      </c>
      <c r="Z1007" s="102">
        <v>50690.166666666672</v>
      </c>
      <c r="AA1007" s="257">
        <f>(Table6[[#This Row],[Paired WTG Generation for loss calculation]]/24)*Table6[[#This Row],[Breakdown Time]]</f>
        <v>211.20902777777704</v>
      </c>
      <c r="AB1007" s="102"/>
      <c r="AC1007" s="35"/>
      <c r="AD1007" s="35"/>
    </row>
    <row r="1008" spans="1:30">
      <c r="A1008" s="102">
        <f t="shared" si="16"/>
        <v>1007</v>
      </c>
      <c r="B1008" s="257">
        <f>YEAR(Table6[[#This Row],[Date]])+IF(MONTH(Table6[[#This Row],[Date]])&gt;=4,1,0)</f>
        <v>2026</v>
      </c>
      <c r="C1008" s="102">
        <f>YEAR(Table6[[#This Row],[Date]])</f>
        <v>2025</v>
      </c>
      <c r="D1008" s="102" t="s">
        <v>265</v>
      </c>
      <c r="E1008" s="258">
        <f>Table6[[#This Row],[Date]]-DAY(Table6[[#This Row],[Date]])+1</f>
        <v>45809</v>
      </c>
      <c r="F1008" s="259">
        <v>45809</v>
      </c>
      <c r="G1008" s="35" t="s">
        <v>140</v>
      </c>
      <c r="H1008" s="35" t="str">
        <f>IFERROR(_xlfn.XLOOKUP(Table6[[#This Row],[Affected WTG]],'Basic Data'!$A:$A,'Basic Data'!$B:$B),"")</f>
        <v>TQGXIIPL</v>
      </c>
      <c r="I1008" s="35" t="str">
        <f>IFERROR(_xlfn.XLOOKUP(Table6[[#This Row],[Affected WTG]],'Basic Data'!$A:$A,'Basic Data'!$C:$C),"")</f>
        <v>GEDA</v>
      </c>
      <c r="J1008" s="260">
        <f>IFERROR(_xlfn.XLOOKUP(Table6[[#This Row],[Affected WTG]],'Basic Data'!$A:$A,'Basic Data'!$E:$E),"")</f>
        <v>3.846153846153845E-2</v>
      </c>
      <c r="K1008" s="102">
        <v>4970</v>
      </c>
      <c r="L1008" s="35" t="str">
        <f>IFERROR(_xlfn.XLOOKUP(Table6[[#This Row],[Error Code]],'Basic Data'!$AA:$AA,'Basic Data'!$AB:$AB),"Incorrect Error Code")</f>
        <v>Tower oscillation XF</v>
      </c>
      <c r="M1008" s="35" t="s">
        <v>278</v>
      </c>
      <c r="N1008" s="264"/>
      <c r="O1008" s="265">
        <v>0.70486111111111116</v>
      </c>
      <c r="P1008" s="265">
        <v>0.70486111111111116</v>
      </c>
      <c r="Q1008" s="266">
        <v>0.71180555555555558</v>
      </c>
      <c r="R1008" s="261">
        <f>IF(Table6[[#This Row],[Work Start TimeStamp]]="","",(Table6[[#This Row],[Work Start TimeStamp]]-Table6[[#This Row],[Fault Start TimeStamp]])*24)</f>
        <v>0</v>
      </c>
      <c r="S1008" s="261">
        <f>(Table6[[#This Row],[Fault Clearance time]]-Table6[[#This Row],[Work Start TimeStamp]])*24</f>
        <v>0.16666666666666607</v>
      </c>
      <c r="T1008" s="261">
        <f>(Table6[[#This Row],[Fault Clearance time]]-Table6[[#This Row],[Fault Start TimeStamp]])*24</f>
        <v>0.16666666666666607</v>
      </c>
      <c r="U1008" s="35" t="s">
        <v>277</v>
      </c>
      <c r="V1008" s="102" t="s">
        <v>268</v>
      </c>
      <c r="W1008" s="267">
        <f>IFERROR(Table6[[#This Row],[Breakdown Time]]*Table6[[#This Row],[Plant Equivalent Weightage]],"")</f>
        <v>6.4102564102563857E-3</v>
      </c>
      <c r="X1008" s="262" t="s">
        <v>269</v>
      </c>
      <c r="Y1008" s="263" t="s">
        <v>115</v>
      </c>
      <c r="Z1008" s="102">
        <v>50690.166666666672</v>
      </c>
      <c r="AA1008" s="257">
        <f>(Table6[[#This Row],[Paired WTG Generation for loss calculation]]/24)*Table6[[#This Row],[Breakdown Time]]</f>
        <v>352.01504629629505</v>
      </c>
      <c r="AB1008" s="102"/>
      <c r="AC1008" s="35"/>
      <c r="AD1008" s="35"/>
    </row>
    <row r="1009" spans="1:30">
      <c r="A1009" s="102">
        <f t="shared" si="16"/>
        <v>1008</v>
      </c>
      <c r="B1009" s="257">
        <f>YEAR(Table6[[#This Row],[Date]])+IF(MONTH(Table6[[#This Row],[Date]])&gt;=4,1,0)</f>
        <v>2026</v>
      </c>
      <c r="C1009" s="102">
        <f>YEAR(Table6[[#This Row],[Date]])</f>
        <v>2025</v>
      </c>
      <c r="D1009" s="102" t="s">
        <v>265</v>
      </c>
      <c r="E1009" s="258">
        <f>Table6[[#This Row],[Date]]-DAY(Table6[[#This Row],[Date]])+1</f>
        <v>45809</v>
      </c>
      <c r="F1009" s="259">
        <v>45810</v>
      </c>
      <c r="G1009" s="35" t="s">
        <v>115</v>
      </c>
      <c r="H1009" s="35" t="str">
        <f>IFERROR(_xlfn.XLOOKUP(Table6[[#This Row],[Affected WTG]],'Basic Data'!$A:$A,'Basic Data'!$B:$B),"")</f>
        <v>TQGXIIPL</v>
      </c>
      <c r="I1009" s="35" t="str">
        <f>IFERROR(_xlfn.XLOOKUP(Table6[[#This Row],[Affected WTG]],'Basic Data'!$A:$A,'Basic Data'!$C:$C),"")</f>
        <v>GEDA</v>
      </c>
      <c r="J1009" s="260">
        <f>IFERROR(_xlfn.XLOOKUP(Table6[[#This Row],[Affected WTG]],'Basic Data'!$A:$A,'Basic Data'!$E:$E),"")</f>
        <v>3.846153846153845E-2</v>
      </c>
      <c r="K1009" s="102">
        <v>6130</v>
      </c>
      <c r="L1009" s="35" t="str">
        <f>IFERROR(_xlfn.XLOOKUP(Table6[[#This Row],[Error Code]],'Basic Data'!$AA:$AA,'Basic Data'!$AB:$AB),"Incorrect Error Code")</f>
        <v>Yaw speed high</v>
      </c>
      <c r="M1009" s="35" t="s">
        <v>278</v>
      </c>
      <c r="N1009" s="264"/>
      <c r="O1009" s="265">
        <v>0.51111111111111107</v>
      </c>
      <c r="P1009" s="265">
        <v>0.51111111111111107</v>
      </c>
      <c r="Q1009" s="266">
        <v>0.51249999999999996</v>
      </c>
      <c r="R1009" s="261">
        <f>IF(Table6[[#This Row],[Work Start TimeStamp]]="","",(Table6[[#This Row],[Work Start TimeStamp]]-Table6[[#This Row],[Fault Start TimeStamp]])*24)</f>
        <v>0</v>
      </c>
      <c r="S1009" s="261">
        <f>(Table6[[#This Row],[Fault Clearance time]]-Table6[[#This Row],[Work Start TimeStamp]])*24</f>
        <v>3.3333333333333215E-2</v>
      </c>
      <c r="T1009" s="261">
        <f>(Table6[[#This Row],[Fault Clearance time]]-Table6[[#This Row],[Fault Start TimeStamp]])*24</f>
        <v>3.3333333333333215E-2</v>
      </c>
      <c r="U1009" s="35" t="s">
        <v>277</v>
      </c>
      <c r="V1009" s="102" t="s">
        <v>268</v>
      </c>
      <c r="W1009" s="267">
        <f>IFERROR(Table6[[#This Row],[Breakdown Time]]*Table6[[#This Row],[Plant Equivalent Weightage]],"")</f>
        <v>1.2820512820512771E-3</v>
      </c>
      <c r="X1009" s="262" t="s">
        <v>269</v>
      </c>
      <c r="Y1009" s="263" t="s">
        <v>140</v>
      </c>
      <c r="Z1009" s="102">
        <v>44649.833333333328</v>
      </c>
      <c r="AA1009" s="257">
        <f>(Table6[[#This Row],[Paired WTG Generation for loss calculation]]/24)*Table6[[#This Row],[Breakdown Time]]</f>
        <v>62.01365740740718</v>
      </c>
      <c r="AB1009" s="102"/>
      <c r="AC1009" s="35"/>
      <c r="AD1009" s="35"/>
    </row>
    <row r="1010" spans="1:30">
      <c r="A1010" s="102">
        <f t="shared" si="16"/>
        <v>1009</v>
      </c>
      <c r="B1010" s="257">
        <f>YEAR(Table6[[#This Row],[Date]])+IF(MONTH(Table6[[#This Row],[Date]])&gt;=4,1,0)</f>
        <v>2026</v>
      </c>
      <c r="C1010" s="102">
        <f>YEAR(Table6[[#This Row],[Date]])</f>
        <v>2025</v>
      </c>
      <c r="D1010" s="102" t="s">
        <v>265</v>
      </c>
      <c r="E1010" s="258">
        <f>Table6[[#This Row],[Date]]-DAY(Table6[[#This Row],[Date]])+1</f>
        <v>45809</v>
      </c>
      <c r="F1010" s="259">
        <v>45810</v>
      </c>
      <c r="G1010" s="35" t="s">
        <v>118</v>
      </c>
      <c r="H1010" s="35" t="str">
        <f>IFERROR(_xlfn.XLOOKUP(Table6[[#This Row],[Affected WTG]],'Basic Data'!$A:$A,'Basic Data'!$B:$B),"")</f>
        <v>TQGXIIPL</v>
      </c>
      <c r="I1010" s="35" t="str">
        <f>IFERROR(_xlfn.XLOOKUP(Table6[[#This Row],[Affected WTG]],'Basic Data'!$A:$A,'Basic Data'!$C:$C),"")</f>
        <v>GEDA</v>
      </c>
      <c r="J1010" s="260">
        <f>IFERROR(_xlfn.XLOOKUP(Table6[[#This Row],[Affected WTG]],'Basic Data'!$A:$A,'Basic Data'!$E:$E),"")</f>
        <v>3.846153846153845E-2</v>
      </c>
      <c r="K1010" s="102">
        <v>6130</v>
      </c>
      <c r="L1010" s="35" t="str">
        <f>IFERROR(_xlfn.XLOOKUP(Table6[[#This Row],[Error Code]],'Basic Data'!$AA:$AA,'Basic Data'!$AB:$AB),"Incorrect Error Code")</f>
        <v>Yaw speed high</v>
      </c>
      <c r="M1010" s="35" t="s">
        <v>278</v>
      </c>
      <c r="N1010" s="264"/>
      <c r="O1010" s="265">
        <v>0.52361111111111114</v>
      </c>
      <c r="P1010" s="265">
        <v>0.52361111111111114</v>
      </c>
      <c r="Q1010" s="266">
        <v>0.52777777777777779</v>
      </c>
      <c r="R1010" s="261">
        <f>IF(Table6[[#This Row],[Work Start TimeStamp]]="","",(Table6[[#This Row],[Work Start TimeStamp]]-Table6[[#This Row],[Fault Start TimeStamp]])*24)</f>
        <v>0</v>
      </c>
      <c r="S1010" s="261">
        <f>(Table6[[#This Row],[Fault Clearance time]]-Table6[[#This Row],[Work Start TimeStamp]])*24</f>
        <v>9.9999999999999645E-2</v>
      </c>
      <c r="T1010" s="261">
        <f>(Table6[[#This Row],[Fault Clearance time]]-Table6[[#This Row],[Fault Start TimeStamp]])*24</f>
        <v>9.9999999999999645E-2</v>
      </c>
      <c r="U1010" s="35" t="s">
        <v>277</v>
      </c>
      <c r="V1010" s="102" t="s">
        <v>268</v>
      </c>
      <c r="W1010" s="267">
        <f>IFERROR(Table6[[#This Row],[Breakdown Time]]*Table6[[#This Row],[Plant Equivalent Weightage]],"")</f>
        <v>3.8461538461538312E-3</v>
      </c>
      <c r="X1010" s="262" t="s">
        <v>269</v>
      </c>
      <c r="Y1010" s="263" t="s">
        <v>121</v>
      </c>
      <c r="Z1010" s="102">
        <v>43345.333333333336</v>
      </c>
      <c r="AA1010" s="257">
        <f>(Table6[[#This Row],[Paired WTG Generation for loss calculation]]/24)*Table6[[#This Row],[Breakdown Time]]</f>
        <v>180.60555555555493</v>
      </c>
      <c r="AB1010" s="102"/>
      <c r="AC1010" s="35"/>
      <c r="AD1010" s="35"/>
    </row>
    <row r="1011" spans="1:30">
      <c r="A1011" s="102">
        <f t="shared" si="16"/>
        <v>1010</v>
      </c>
      <c r="B1011" s="257">
        <f>YEAR(Table6[[#This Row],[Date]])+IF(MONTH(Table6[[#This Row],[Date]])&gt;=4,1,0)</f>
        <v>2026</v>
      </c>
      <c r="C1011" s="102">
        <f>YEAR(Table6[[#This Row],[Date]])</f>
        <v>2025</v>
      </c>
      <c r="D1011" s="102" t="s">
        <v>265</v>
      </c>
      <c r="E1011" s="258">
        <f>Table6[[#This Row],[Date]]-DAY(Table6[[#This Row],[Date]])+1</f>
        <v>45809</v>
      </c>
      <c r="F1011" s="259">
        <v>45810</v>
      </c>
      <c r="G1011" s="35" t="s">
        <v>119</v>
      </c>
      <c r="H1011" s="35" t="str">
        <f>IFERROR(_xlfn.XLOOKUP(Table6[[#This Row],[Affected WTG]],'Basic Data'!$A:$A,'Basic Data'!$B:$B),"")</f>
        <v>TQGXIIPL</v>
      </c>
      <c r="I1011" s="35" t="str">
        <f>IFERROR(_xlfn.XLOOKUP(Table6[[#This Row],[Affected WTG]],'Basic Data'!$A:$A,'Basic Data'!$C:$C),"")</f>
        <v>GEDA</v>
      </c>
      <c r="J1011" s="260">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266</v>
      </c>
      <c r="N1011" s="264"/>
      <c r="O1011" s="265">
        <v>0.67708333333333337</v>
      </c>
      <c r="P1011" s="265">
        <v>0.67708333333333337</v>
      </c>
      <c r="Q1011" s="266">
        <v>0.71736111111111112</v>
      </c>
      <c r="R1011" s="261">
        <f>IF(Table6[[#This Row],[Work Start TimeStamp]]="","",(Table6[[#This Row],[Work Start TimeStamp]]-Table6[[#This Row],[Fault Start TimeStamp]])*24)</f>
        <v>0</v>
      </c>
      <c r="S1011" s="261">
        <f>(Table6[[#This Row],[Fault Clearance time]]-Table6[[#This Row],[Work Start TimeStamp]])*24</f>
        <v>0.9666666666666659</v>
      </c>
      <c r="T1011" s="261">
        <f>(Table6[[#This Row],[Fault Clearance time]]-Table6[[#This Row],[Fault Start TimeStamp]])*24</f>
        <v>0.9666666666666659</v>
      </c>
      <c r="U1011" s="35" t="s">
        <v>493</v>
      </c>
      <c r="V1011" s="102" t="s">
        <v>268</v>
      </c>
      <c r="W1011" s="267">
        <f>IFERROR(Table6[[#This Row],[Breakdown Time]]*Table6[[#This Row],[Plant Equivalent Weightage]],"")</f>
        <v>3.7179487179487138E-2</v>
      </c>
      <c r="X1011" s="262" t="s">
        <v>269</v>
      </c>
      <c r="Y1011" s="263" t="s">
        <v>116</v>
      </c>
      <c r="Z1011" s="102">
        <v>43828.333333333336</v>
      </c>
      <c r="AA1011" s="257">
        <f>(Table6[[#This Row],[Paired WTG Generation for loss calculation]]/24)*Table6[[#This Row],[Breakdown Time]]</f>
        <v>1765.3078703703691</v>
      </c>
      <c r="AB1011" s="102"/>
      <c r="AC1011" s="35"/>
      <c r="AD1011" s="35"/>
    </row>
    <row r="1012" spans="1:30">
      <c r="A1012" s="102">
        <f t="shared" si="16"/>
        <v>1011</v>
      </c>
      <c r="B1012" s="257">
        <f>YEAR(Table6[[#This Row],[Date]])+IF(MONTH(Table6[[#This Row],[Date]])&gt;=4,1,0)</f>
        <v>2026</v>
      </c>
      <c r="C1012" s="102">
        <f>YEAR(Table6[[#This Row],[Date]])</f>
        <v>2025</v>
      </c>
      <c r="D1012" s="102" t="s">
        <v>265</v>
      </c>
      <c r="E1012" s="258">
        <f>Table6[[#This Row],[Date]]-DAY(Table6[[#This Row],[Date]])+1</f>
        <v>45809</v>
      </c>
      <c r="F1012" s="259">
        <v>45810</v>
      </c>
      <c r="G1012" s="35" t="s">
        <v>119</v>
      </c>
      <c r="H1012" s="35" t="str">
        <f>IFERROR(_xlfn.XLOOKUP(Table6[[#This Row],[Affected WTG]],'Basic Data'!$A:$A,'Basic Data'!$B:$B),"")</f>
        <v>TQGXIIPL</v>
      </c>
      <c r="I1012" s="35" t="str">
        <f>IFERROR(_xlfn.XLOOKUP(Table6[[#This Row],[Affected WTG]],'Basic Data'!$A:$A,'Basic Data'!$C:$C),"")</f>
        <v>GEDA</v>
      </c>
      <c r="J1012" s="260">
        <f>IFERROR(_xlfn.XLOOKUP(Table6[[#This Row],[Affected WTG]],'Basic Data'!$A:$A,'Basic Data'!$E:$E),"")</f>
        <v>3.846153846153845E-2</v>
      </c>
      <c r="K1012" s="102">
        <v>4960</v>
      </c>
      <c r="L1012" s="35" t="str">
        <f>IFERROR(_xlfn.XLOOKUP(Table6[[#This Row],[Error Code]],'Basic Data'!$AA:$AA,'Basic Data'!$AB:$AB),"Incorrect Error Code")</f>
        <v>Tower oscillation YF</v>
      </c>
      <c r="M1012" s="35" t="s">
        <v>278</v>
      </c>
      <c r="N1012" s="264"/>
      <c r="O1012" s="265">
        <v>0.7597222222222223</v>
      </c>
      <c r="P1012" s="265">
        <v>0.7597222222222223</v>
      </c>
      <c r="Q1012" s="266">
        <v>0.77083333333333337</v>
      </c>
      <c r="R1012" s="261">
        <f>IF(Table6[[#This Row],[Work Start TimeStamp]]="","",(Table6[[#This Row],[Work Start TimeStamp]]-Table6[[#This Row],[Fault Start TimeStamp]])*24)</f>
        <v>0</v>
      </c>
      <c r="S1012" s="261">
        <f>(Table6[[#This Row],[Fault Clearance time]]-Table6[[#This Row],[Work Start TimeStamp]])*24</f>
        <v>0.26666666666666572</v>
      </c>
      <c r="T1012" s="261">
        <f>(Table6[[#This Row],[Fault Clearance time]]-Table6[[#This Row],[Fault Start TimeStamp]])*24</f>
        <v>0.26666666666666572</v>
      </c>
      <c r="U1012" s="35" t="s">
        <v>277</v>
      </c>
      <c r="V1012" s="102" t="s">
        <v>268</v>
      </c>
      <c r="W1012" s="267">
        <f>IFERROR(Table6[[#This Row],[Breakdown Time]]*Table6[[#This Row],[Plant Equivalent Weightage]],"")</f>
        <v>1.0256410256410217E-2</v>
      </c>
      <c r="X1012" s="262" t="s">
        <v>269</v>
      </c>
      <c r="Y1012" s="263" t="s">
        <v>116</v>
      </c>
      <c r="Z1012" s="102">
        <v>43828.333333333336</v>
      </c>
      <c r="AA1012" s="257">
        <f>(Table6[[#This Row],[Paired WTG Generation for loss calculation]]/24)*Table6[[#This Row],[Breakdown Time]]</f>
        <v>486.98148148147976</v>
      </c>
      <c r="AB1012" s="102"/>
      <c r="AC1012" s="35"/>
      <c r="AD1012" s="35"/>
    </row>
    <row r="1013" spans="1:30">
      <c r="A1013" s="102">
        <f t="shared" si="16"/>
        <v>1012</v>
      </c>
      <c r="B1013" s="257">
        <f>YEAR(Table6[[#This Row],[Date]])+IF(MONTH(Table6[[#This Row],[Date]])&gt;=4,1,0)</f>
        <v>2026</v>
      </c>
      <c r="C1013" s="102">
        <f>YEAR(Table6[[#This Row],[Date]])</f>
        <v>2025</v>
      </c>
      <c r="D1013" s="102" t="s">
        <v>265</v>
      </c>
      <c r="E1013" s="258">
        <f>Table6[[#This Row],[Date]]-DAY(Table6[[#This Row],[Date]])+1</f>
        <v>45809</v>
      </c>
      <c r="F1013" s="259">
        <v>45810</v>
      </c>
      <c r="G1013" s="35" t="s">
        <v>119</v>
      </c>
      <c r="H1013" s="35" t="str">
        <f>IFERROR(_xlfn.XLOOKUP(Table6[[#This Row],[Affected WTG]],'Basic Data'!$A:$A,'Basic Data'!$B:$B),"")</f>
        <v>TQGXIIPL</v>
      </c>
      <c r="I1013" s="35" t="str">
        <f>IFERROR(_xlfn.XLOOKUP(Table6[[#This Row],[Affected WTG]],'Basic Data'!$A:$A,'Basic Data'!$C:$C),"")</f>
        <v>GEDA</v>
      </c>
      <c r="J1013" s="260">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266</v>
      </c>
      <c r="N1013" s="264"/>
      <c r="O1013" s="265">
        <v>0.90763888888888888</v>
      </c>
      <c r="P1013" s="265">
        <v>0.90763888888888888</v>
      </c>
      <c r="Q1013" s="266">
        <v>0.91736111111111118</v>
      </c>
      <c r="R1013" s="261">
        <f>IF(Table6[[#This Row],[Work Start TimeStamp]]="","",(Table6[[#This Row],[Work Start TimeStamp]]-Table6[[#This Row],[Fault Start TimeStamp]])*24)</f>
        <v>0</v>
      </c>
      <c r="S1013" s="261">
        <f>(Table6[[#This Row],[Fault Clearance time]]-Table6[[#This Row],[Work Start TimeStamp]])*24</f>
        <v>0.23333333333333517</v>
      </c>
      <c r="T1013" s="261">
        <f>(Table6[[#This Row],[Fault Clearance time]]-Table6[[#This Row],[Fault Start TimeStamp]])*24</f>
        <v>0.23333333333333517</v>
      </c>
      <c r="U1013" s="35" t="s">
        <v>494</v>
      </c>
      <c r="V1013" s="102" t="s">
        <v>268</v>
      </c>
      <c r="W1013" s="267">
        <f>IFERROR(Table6[[#This Row],[Breakdown Time]]*Table6[[#This Row],[Plant Equivalent Weightage]],"")</f>
        <v>8.9743589743590414E-3</v>
      </c>
      <c r="X1013" s="262" t="s">
        <v>269</v>
      </c>
      <c r="Y1013" s="263" t="s">
        <v>116</v>
      </c>
      <c r="Z1013" s="102">
        <v>43828.333333333336</v>
      </c>
      <c r="AA1013" s="257">
        <f>(Table6[[#This Row],[Paired WTG Generation for loss calculation]]/24)*Table6[[#This Row],[Breakdown Time]]</f>
        <v>426.10879629629966</v>
      </c>
      <c r="AB1013" s="102"/>
      <c r="AC1013" s="35"/>
      <c r="AD1013" s="35"/>
    </row>
    <row r="1014" spans="1:30">
      <c r="A1014" s="102">
        <f t="shared" si="16"/>
        <v>1013</v>
      </c>
      <c r="B1014" s="257">
        <f>YEAR(Table6[[#This Row],[Date]])+IF(MONTH(Table6[[#This Row],[Date]])&gt;=4,1,0)</f>
        <v>2026</v>
      </c>
      <c r="C1014" s="102">
        <f>YEAR(Table6[[#This Row],[Date]])</f>
        <v>2025</v>
      </c>
      <c r="D1014" s="102" t="s">
        <v>265</v>
      </c>
      <c r="E1014" s="258">
        <f>Table6[[#This Row],[Date]]-DAY(Table6[[#This Row],[Date]])+1</f>
        <v>45809</v>
      </c>
      <c r="F1014" s="259">
        <v>45810</v>
      </c>
      <c r="G1014" s="35" t="s">
        <v>120</v>
      </c>
      <c r="H1014" s="35" t="str">
        <f>IFERROR(_xlfn.XLOOKUP(Table6[[#This Row],[Affected WTG]],'Basic Data'!$A:$A,'Basic Data'!$B:$B),"")</f>
        <v>TQGXIIPL</v>
      </c>
      <c r="I1014" s="35" t="str">
        <f>IFERROR(_xlfn.XLOOKUP(Table6[[#This Row],[Affected WTG]],'Basic Data'!$A:$A,'Basic Data'!$C:$C),"")</f>
        <v>GEDA</v>
      </c>
      <c r="J1014" s="260">
        <f>IFERROR(_xlfn.XLOOKUP(Table6[[#This Row],[Affected WTG]],'Basic Data'!$A:$A,'Basic Data'!$E:$E),"")</f>
        <v>3.846153846153845E-2</v>
      </c>
      <c r="K1014" s="102">
        <v>6130</v>
      </c>
      <c r="L1014" s="35" t="str">
        <f>IFERROR(_xlfn.XLOOKUP(Table6[[#This Row],[Error Code]],'Basic Data'!$AA:$AA,'Basic Data'!$AB:$AB),"Incorrect Error Code")</f>
        <v>Yaw speed high</v>
      </c>
      <c r="M1014" s="35" t="s">
        <v>278</v>
      </c>
      <c r="N1014" s="264"/>
      <c r="O1014" s="265">
        <v>0.77777777777777779</v>
      </c>
      <c r="P1014" s="265">
        <v>0.77777777777777779</v>
      </c>
      <c r="Q1014" s="266">
        <v>0.78194444444444444</v>
      </c>
      <c r="R1014" s="261">
        <f>IF(Table6[[#This Row],[Work Start TimeStamp]]="","",(Table6[[#This Row],[Work Start TimeStamp]]-Table6[[#This Row],[Fault Start TimeStamp]])*24)</f>
        <v>0</v>
      </c>
      <c r="S1014" s="261">
        <f>(Table6[[#This Row],[Fault Clearance time]]-Table6[[#This Row],[Work Start TimeStamp]])*24</f>
        <v>9.9999999999999645E-2</v>
      </c>
      <c r="T1014" s="261">
        <f>(Table6[[#This Row],[Fault Clearance time]]-Table6[[#This Row],[Fault Start TimeStamp]])*24</f>
        <v>9.9999999999999645E-2</v>
      </c>
      <c r="U1014" s="35" t="s">
        <v>277</v>
      </c>
      <c r="V1014" s="102" t="s">
        <v>268</v>
      </c>
      <c r="W1014" s="267">
        <f>IFERROR(Table6[[#This Row],[Breakdown Time]]*Table6[[#This Row],[Plant Equivalent Weightage]],"")</f>
        <v>3.8461538461538312E-3</v>
      </c>
      <c r="X1014" s="262" t="s">
        <v>269</v>
      </c>
      <c r="Y1014" s="263" t="s">
        <v>135</v>
      </c>
      <c r="Z1014" s="102">
        <v>48023.333333333328</v>
      </c>
      <c r="AA1014" s="257">
        <f>(Table6[[#This Row],[Paired WTG Generation for loss calculation]]/24)*Table6[[#This Row],[Breakdown Time]]</f>
        <v>200.09722222222149</v>
      </c>
      <c r="AB1014" s="102"/>
      <c r="AC1014" s="35"/>
      <c r="AD1014" s="35"/>
    </row>
    <row r="1015" spans="1:30">
      <c r="A1015" s="102">
        <f t="shared" si="16"/>
        <v>1014</v>
      </c>
      <c r="B1015" s="257">
        <f>YEAR(Table6[[#This Row],[Date]])+IF(MONTH(Table6[[#This Row],[Date]])&gt;=4,1,0)</f>
        <v>2026</v>
      </c>
      <c r="C1015" s="102">
        <f>YEAR(Table6[[#This Row],[Date]])</f>
        <v>2025</v>
      </c>
      <c r="D1015" s="102" t="s">
        <v>265</v>
      </c>
      <c r="E1015" s="258">
        <f>Table6[[#This Row],[Date]]-DAY(Table6[[#This Row],[Date]])+1</f>
        <v>45809</v>
      </c>
      <c r="F1015" s="259">
        <v>45810</v>
      </c>
      <c r="G1015" s="35" t="s">
        <v>122</v>
      </c>
      <c r="H1015" s="35" t="str">
        <f>IFERROR(_xlfn.XLOOKUP(Table6[[#This Row],[Affected WTG]],'Basic Data'!$A:$A,'Basic Data'!$B:$B),"")</f>
        <v>TQGXIIPL</v>
      </c>
      <c r="I1015" s="35" t="str">
        <f>IFERROR(_xlfn.XLOOKUP(Table6[[#This Row],[Affected WTG]],'Basic Data'!$A:$A,'Basic Data'!$C:$C),"")</f>
        <v>GEDA</v>
      </c>
      <c r="J1015" s="260">
        <f>IFERROR(_xlfn.XLOOKUP(Table6[[#This Row],[Affected WTG]],'Basic Data'!$A:$A,'Basic Data'!$E:$E),"")</f>
        <v>3.846153846153845E-2</v>
      </c>
      <c r="K1015" s="102">
        <v>6605</v>
      </c>
      <c r="L1015" s="35" t="str">
        <f>IFERROR(_xlfn.XLOOKUP(Table6[[#This Row],[Error Code]],'Basic Data'!$AA:$AA,'Basic Data'!$AB:$AB),"Incorrect Error Code")</f>
        <v>Wind.dir. diff. level 2</v>
      </c>
      <c r="M1015" s="35" t="s">
        <v>278</v>
      </c>
      <c r="N1015" s="264"/>
      <c r="O1015" s="265">
        <v>0.57152777777777786</v>
      </c>
      <c r="P1015" s="265">
        <v>0.57152777777777786</v>
      </c>
      <c r="Q1015" s="266">
        <v>0.5722222222222223</v>
      </c>
      <c r="R1015" s="261">
        <f>IF(Table6[[#This Row],[Work Start TimeStamp]]="","",(Table6[[#This Row],[Work Start TimeStamp]]-Table6[[#This Row],[Fault Start TimeStamp]])*24)</f>
        <v>0</v>
      </c>
      <c r="S1015" s="261">
        <f>(Table6[[#This Row],[Fault Clearance time]]-Table6[[#This Row],[Work Start TimeStamp]])*24</f>
        <v>1.6666666666666607E-2</v>
      </c>
      <c r="T1015" s="261">
        <f>(Table6[[#This Row],[Fault Clearance time]]-Table6[[#This Row],[Fault Start TimeStamp]])*24</f>
        <v>1.6666666666666607E-2</v>
      </c>
      <c r="U1015" s="35" t="s">
        <v>277</v>
      </c>
      <c r="V1015" s="102" t="s">
        <v>268</v>
      </c>
      <c r="W1015" s="267">
        <f>IFERROR(Table6[[#This Row],[Breakdown Time]]*Table6[[#This Row],[Plant Equivalent Weightage]],"")</f>
        <v>6.4102564102563853E-4</v>
      </c>
      <c r="X1015" s="262" t="s">
        <v>269</v>
      </c>
      <c r="Y1015" s="263" t="s">
        <v>140</v>
      </c>
      <c r="Z1015" s="102">
        <v>44649.833333333328</v>
      </c>
      <c r="AA1015" s="257">
        <f>(Table6[[#This Row],[Paired WTG Generation for loss calculation]]/24)*Table6[[#This Row],[Breakdown Time]]</f>
        <v>31.00682870370359</v>
      </c>
      <c r="AB1015" s="102"/>
      <c r="AC1015" s="35"/>
      <c r="AD1015" s="35"/>
    </row>
    <row r="1016" spans="1:30">
      <c r="A1016" s="102">
        <f t="shared" si="16"/>
        <v>1015</v>
      </c>
      <c r="B1016" s="257">
        <f>YEAR(Table6[[#This Row],[Date]])+IF(MONTH(Table6[[#This Row],[Date]])&gt;=4,1,0)</f>
        <v>2026</v>
      </c>
      <c r="C1016" s="102">
        <f>YEAR(Table6[[#This Row],[Date]])</f>
        <v>2025</v>
      </c>
      <c r="D1016" s="102" t="s">
        <v>265</v>
      </c>
      <c r="E1016" s="258">
        <f>Table6[[#This Row],[Date]]-DAY(Table6[[#This Row],[Date]])+1</f>
        <v>45809</v>
      </c>
      <c r="F1016" s="259">
        <v>45810</v>
      </c>
      <c r="G1016" s="35" t="s">
        <v>122</v>
      </c>
      <c r="H1016" s="35" t="str">
        <f>IFERROR(_xlfn.XLOOKUP(Table6[[#This Row],[Affected WTG]],'Basic Data'!$A:$A,'Basic Data'!$B:$B),"")</f>
        <v>TQGXIIPL</v>
      </c>
      <c r="I1016" s="35" t="str">
        <f>IFERROR(_xlfn.XLOOKUP(Table6[[#This Row],[Affected WTG]],'Basic Data'!$A:$A,'Basic Data'!$C:$C),"")</f>
        <v>GEDA</v>
      </c>
      <c r="J1016" s="260">
        <f>IFERROR(_xlfn.XLOOKUP(Table6[[#This Row],[Affected WTG]],'Basic Data'!$A:$A,'Basic Data'!$E:$E),"")</f>
        <v>3.846153846153845E-2</v>
      </c>
      <c r="K1016" s="102">
        <v>6130</v>
      </c>
      <c r="L1016" s="35" t="str">
        <f>IFERROR(_xlfn.XLOOKUP(Table6[[#This Row],[Error Code]],'Basic Data'!$AA:$AA,'Basic Data'!$AB:$AB),"Incorrect Error Code")</f>
        <v>Yaw speed high</v>
      </c>
      <c r="M1016" s="35" t="s">
        <v>278</v>
      </c>
      <c r="N1016" s="264"/>
      <c r="O1016" s="265">
        <v>0.64027777777777783</v>
      </c>
      <c r="P1016" s="265">
        <v>0.64027777777777783</v>
      </c>
      <c r="Q1016" s="266">
        <v>0.64444444444444449</v>
      </c>
      <c r="R1016" s="261">
        <f>IF(Table6[[#This Row],[Work Start TimeStamp]]="","",(Table6[[#This Row],[Work Start TimeStamp]]-Table6[[#This Row],[Fault Start TimeStamp]])*24)</f>
        <v>0</v>
      </c>
      <c r="S1016" s="261">
        <f>(Table6[[#This Row],[Fault Clearance time]]-Table6[[#This Row],[Work Start TimeStamp]])*24</f>
        <v>9.9999999999999645E-2</v>
      </c>
      <c r="T1016" s="261">
        <f>(Table6[[#This Row],[Fault Clearance time]]-Table6[[#This Row],[Fault Start TimeStamp]])*24</f>
        <v>9.9999999999999645E-2</v>
      </c>
      <c r="U1016" s="35" t="s">
        <v>277</v>
      </c>
      <c r="V1016" s="102" t="s">
        <v>268</v>
      </c>
      <c r="W1016" s="267">
        <f>IFERROR(Table6[[#This Row],[Breakdown Time]]*Table6[[#This Row],[Plant Equivalent Weightage]],"")</f>
        <v>3.8461538461538312E-3</v>
      </c>
      <c r="X1016" s="262" t="s">
        <v>269</v>
      </c>
      <c r="Y1016" s="263" t="s">
        <v>140</v>
      </c>
      <c r="Z1016" s="102">
        <v>44649.833333333328</v>
      </c>
      <c r="AA1016" s="257">
        <f>(Table6[[#This Row],[Paired WTG Generation for loss calculation]]/24)*Table6[[#This Row],[Breakdown Time]]</f>
        <v>186.04097222222154</v>
      </c>
      <c r="AB1016" s="102"/>
      <c r="AC1016" s="35"/>
      <c r="AD1016" s="35"/>
    </row>
    <row r="1017" spans="1:30">
      <c r="A1017" s="102">
        <f t="shared" si="16"/>
        <v>1016</v>
      </c>
      <c r="B1017" s="257">
        <f>YEAR(Table6[[#This Row],[Date]])+IF(MONTH(Table6[[#This Row],[Date]])&gt;=4,1,0)</f>
        <v>2026</v>
      </c>
      <c r="C1017" s="102">
        <f>YEAR(Table6[[#This Row],[Date]])</f>
        <v>2025</v>
      </c>
      <c r="D1017" s="102" t="s">
        <v>265</v>
      </c>
      <c r="E1017" s="258">
        <f>Table6[[#This Row],[Date]]-DAY(Table6[[#This Row],[Date]])+1</f>
        <v>45809</v>
      </c>
      <c r="F1017" s="259">
        <v>45810</v>
      </c>
      <c r="G1017" s="35" t="s">
        <v>122</v>
      </c>
      <c r="H1017" s="35" t="str">
        <f>IFERROR(_xlfn.XLOOKUP(Table6[[#This Row],[Affected WTG]],'Basic Data'!$A:$A,'Basic Data'!$B:$B),"")</f>
        <v>TQGXIIPL</v>
      </c>
      <c r="I1017" s="35" t="str">
        <f>IFERROR(_xlfn.XLOOKUP(Table6[[#This Row],[Affected WTG]],'Basic Data'!$A:$A,'Basic Data'!$C:$C),"")</f>
        <v>GEDA</v>
      </c>
      <c r="J1017" s="260">
        <f>IFERROR(_xlfn.XLOOKUP(Table6[[#This Row],[Affected WTG]],'Basic Data'!$A:$A,'Basic Data'!$E:$E),"")</f>
        <v>3.846153846153845E-2</v>
      </c>
      <c r="K1017" s="102">
        <v>6605</v>
      </c>
      <c r="L1017" s="35" t="str">
        <f>IFERROR(_xlfn.XLOOKUP(Table6[[#This Row],[Error Code]],'Basic Data'!$AA:$AA,'Basic Data'!$AB:$AB),"Incorrect Error Code")</f>
        <v>Wind.dir. diff. level 2</v>
      </c>
      <c r="M1017" s="35" t="s">
        <v>278</v>
      </c>
      <c r="N1017" s="264"/>
      <c r="O1017" s="265">
        <v>0.67152777777777783</v>
      </c>
      <c r="P1017" s="265">
        <v>0.67152777777777783</v>
      </c>
      <c r="Q1017" s="266">
        <v>0.67291666666666672</v>
      </c>
      <c r="R1017" s="261">
        <f>IF(Table6[[#This Row],[Work Start TimeStamp]]="","",(Table6[[#This Row],[Work Start TimeStamp]]-Table6[[#This Row],[Fault Start TimeStamp]])*24)</f>
        <v>0</v>
      </c>
      <c r="S1017" s="261">
        <f>(Table6[[#This Row],[Fault Clearance time]]-Table6[[#This Row],[Work Start TimeStamp]])*24</f>
        <v>3.3333333333333215E-2</v>
      </c>
      <c r="T1017" s="261">
        <f>(Table6[[#This Row],[Fault Clearance time]]-Table6[[#This Row],[Fault Start TimeStamp]])*24</f>
        <v>3.3333333333333215E-2</v>
      </c>
      <c r="U1017" s="35" t="s">
        <v>277</v>
      </c>
      <c r="V1017" s="102" t="s">
        <v>268</v>
      </c>
      <c r="W1017" s="267">
        <f>IFERROR(Table6[[#This Row],[Breakdown Time]]*Table6[[#This Row],[Plant Equivalent Weightage]],"")</f>
        <v>1.2820512820512771E-3</v>
      </c>
      <c r="X1017" s="262" t="s">
        <v>269</v>
      </c>
      <c r="Y1017" s="263" t="s">
        <v>140</v>
      </c>
      <c r="Z1017" s="102">
        <v>44649.833333333328</v>
      </c>
      <c r="AA1017" s="257">
        <f>(Table6[[#This Row],[Paired WTG Generation for loss calculation]]/24)*Table6[[#This Row],[Breakdown Time]]</f>
        <v>62.01365740740718</v>
      </c>
      <c r="AB1017" s="102"/>
      <c r="AC1017" s="35"/>
      <c r="AD1017" s="35"/>
    </row>
    <row r="1018" spans="1:30">
      <c r="A1018" s="102">
        <f t="shared" si="16"/>
        <v>1017</v>
      </c>
      <c r="B1018" s="257">
        <f>YEAR(Table6[[#This Row],[Date]])+IF(MONTH(Table6[[#This Row],[Date]])&gt;=4,1,0)</f>
        <v>2026</v>
      </c>
      <c r="C1018" s="102">
        <f>YEAR(Table6[[#This Row],[Date]])</f>
        <v>2025</v>
      </c>
      <c r="D1018" s="102" t="s">
        <v>265</v>
      </c>
      <c r="E1018" s="258">
        <f>Table6[[#This Row],[Date]]-DAY(Table6[[#This Row],[Date]])+1</f>
        <v>45809</v>
      </c>
      <c r="F1018" s="259">
        <v>45810</v>
      </c>
      <c r="G1018" s="35" t="s">
        <v>122</v>
      </c>
      <c r="H1018" s="35" t="str">
        <f>IFERROR(_xlfn.XLOOKUP(Table6[[#This Row],[Affected WTG]],'Basic Data'!$A:$A,'Basic Data'!$B:$B),"")</f>
        <v>TQGXIIPL</v>
      </c>
      <c r="I1018" s="35" t="str">
        <f>IFERROR(_xlfn.XLOOKUP(Table6[[#This Row],[Affected WTG]],'Basic Data'!$A:$A,'Basic Data'!$C:$C),"")</f>
        <v>GEDA</v>
      </c>
      <c r="J1018" s="260">
        <f>IFERROR(_xlfn.XLOOKUP(Table6[[#This Row],[Affected WTG]],'Basic Data'!$A:$A,'Basic Data'!$E:$E),"")</f>
        <v>3.846153846153845E-2</v>
      </c>
      <c r="K1018" s="102">
        <v>4970</v>
      </c>
      <c r="L1018" s="35" t="str">
        <f>IFERROR(_xlfn.XLOOKUP(Table6[[#This Row],[Error Code]],'Basic Data'!$AA:$AA,'Basic Data'!$AB:$AB),"Incorrect Error Code")</f>
        <v>Tower oscillation XF</v>
      </c>
      <c r="M1018" s="35" t="s">
        <v>278</v>
      </c>
      <c r="N1018" s="264"/>
      <c r="O1018" s="265">
        <v>0.69097222222222221</v>
      </c>
      <c r="P1018" s="265">
        <v>0.69097222222222221</v>
      </c>
      <c r="Q1018" s="266">
        <v>0.70208333333333339</v>
      </c>
      <c r="R1018" s="261">
        <f>IF(Table6[[#This Row],[Work Start TimeStamp]]="","",(Table6[[#This Row],[Work Start TimeStamp]]-Table6[[#This Row],[Fault Start TimeStamp]])*24)</f>
        <v>0</v>
      </c>
      <c r="S1018" s="261">
        <f>(Table6[[#This Row],[Fault Clearance time]]-Table6[[#This Row],[Work Start TimeStamp]])*24</f>
        <v>0.26666666666666838</v>
      </c>
      <c r="T1018" s="261">
        <f>(Table6[[#This Row],[Fault Clearance time]]-Table6[[#This Row],[Fault Start TimeStamp]])*24</f>
        <v>0.26666666666666838</v>
      </c>
      <c r="U1018" s="35" t="s">
        <v>277</v>
      </c>
      <c r="V1018" s="102" t="s">
        <v>268</v>
      </c>
      <c r="W1018" s="267">
        <f>IFERROR(Table6[[#This Row],[Breakdown Time]]*Table6[[#This Row],[Plant Equivalent Weightage]],"")</f>
        <v>1.0256410256410319E-2</v>
      </c>
      <c r="X1018" s="262" t="s">
        <v>269</v>
      </c>
      <c r="Y1018" s="263" t="s">
        <v>140</v>
      </c>
      <c r="Z1018" s="102">
        <v>44649.833333333328</v>
      </c>
      <c r="AA1018" s="257">
        <f>(Table6[[#This Row],[Paired WTG Generation for loss calculation]]/24)*Table6[[#This Row],[Breakdown Time]]</f>
        <v>496.10925925926239</v>
      </c>
      <c r="AB1018" s="102"/>
      <c r="AC1018" s="35"/>
      <c r="AD1018" s="35"/>
    </row>
    <row r="1019" spans="1:30">
      <c r="A1019" s="102">
        <f t="shared" si="16"/>
        <v>1018</v>
      </c>
      <c r="B1019" s="257">
        <f>YEAR(Table6[[#This Row],[Date]])+IF(MONTH(Table6[[#This Row],[Date]])&gt;=4,1,0)</f>
        <v>2026</v>
      </c>
      <c r="C1019" s="102">
        <f>YEAR(Table6[[#This Row],[Date]])</f>
        <v>2025</v>
      </c>
      <c r="D1019" s="102" t="s">
        <v>265</v>
      </c>
      <c r="E1019" s="258">
        <f>Table6[[#This Row],[Date]]-DAY(Table6[[#This Row],[Date]])+1</f>
        <v>45809</v>
      </c>
      <c r="F1019" s="259">
        <v>45810</v>
      </c>
      <c r="G1019" s="35" t="s">
        <v>122</v>
      </c>
      <c r="H1019" s="35" t="str">
        <f>IFERROR(_xlfn.XLOOKUP(Table6[[#This Row],[Affected WTG]],'Basic Data'!$A:$A,'Basic Data'!$B:$B),"")</f>
        <v>TQGXIIPL</v>
      </c>
      <c r="I1019" s="35" t="str">
        <f>IFERROR(_xlfn.XLOOKUP(Table6[[#This Row],[Affected WTG]],'Basic Data'!$A:$A,'Basic Data'!$C:$C),"")</f>
        <v>GEDA</v>
      </c>
      <c r="J1019" s="260">
        <f>IFERROR(_xlfn.XLOOKUP(Table6[[#This Row],[Affected WTG]],'Basic Data'!$A:$A,'Basic Data'!$E:$E),"")</f>
        <v>3.846153846153845E-2</v>
      </c>
      <c r="K1019" s="102">
        <v>665</v>
      </c>
      <c r="L1019" s="35" t="str">
        <f>IFERROR(_xlfn.XLOOKUP(Table6[[#This Row],[Error Code]],'Basic Data'!$AA:$AA,'Basic Data'!$AB:$AB),"Incorrect Error Code")</f>
        <v>Pitch error</v>
      </c>
      <c r="M1019" s="35" t="s">
        <v>266</v>
      </c>
      <c r="N1019" s="264"/>
      <c r="O1019" s="265">
        <v>0.90416666666666667</v>
      </c>
      <c r="P1019" s="265">
        <v>0.90416666666666667</v>
      </c>
      <c r="Q1019" s="266">
        <v>0.90833333333333333</v>
      </c>
      <c r="R1019" s="261">
        <f>IF(Table6[[#This Row],[Work Start TimeStamp]]="","",(Table6[[#This Row],[Work Start TimeStamp]]-Table6[[#This Row],[Fault Start TimeStamp]])*24)</f>
        <v>0</v>
      </c>
      <c r="S1019" s="261">
        <f>(Table6[[#This Row],[Fault Clearance time]]-Table6[[#This Row],[Work Start TimeStamp]])*24</f>
        <v>9.9999999999999645E-2</v>
      </c>
      <c r="T1019" s="261">
        <f>(Table6[[#This Row],[Fault Clearance time]]-Table6[[#This Row],[Fault Start TimeStamp]])*24</f>
        <v>9.9999999999999645E-2</v>
      </c>
      <c r="U1019" s="35" t="s">
        <v>495</v>
      </c>
      <c r="V1019" s="102" t="s">
        <v>268</v>
      </c>
      <c r="W1019" s="267">
        <f>IFERROR(Table6[[#This Row],[Breakdown Time]]*Table6[[#This Row],[Plant Equivalent Weightage]],"")</f>
        <v>3.8461538461538312E-3</v>
      </c>
      <c r="X1019" s="262" t="s">
        <v>269</v>
      </c>
      <c r="Y1019" s="263" t="s">
        <v>140</v>
      </c>
      <c r="Z1019" s="102">
        <v>44649.833333333328</v>
      </c>
      <c r="AA1019" s="257">
        <f>(Table6[[#This Row],[Paired WTG Generation for loss calculation]]/24)*Table6[[#This Row],[Breakdown Time]]</f>
        <v>186.04097222222154</v>
      </c>
      <c r="AB1019" s="102"/>
      <c r="AC1019" s="35"/>
      <c r="AD1019" s="35"/>
    </row>
    <row r="1020" spans="1:30">
      <c r="A1020" s="102">
        <f t="shared" si="16"/>
        <v>1019</v>
      </c>
      <c r="B1020" s="257">
        <f>YEAR(Table6[[#This Row],[Date]])+IF(MONTH(Table6[[#This Row],[Date]])&gt;=4,1,0)</f>
        <v>2026</v>
      </c>
      <c r="C1020" s="102">
        <f>YEAR(Table6[[#This Row],[Date]])</f>
        <v>2025</v>
      </c>
      <c r="D1020" s="102" t="s">
        <v>265</v>
      </c>
      <c r="E1020" s="258">
        <f>Table6[[#This Row],[Date]]-DAY(Table6[[#This Row],[Date]])+1</f>
        <v>45809</v>
      </c>
      <c r="F1020" s="259">
        <v>45810</v>
      </c>
      <c r="G1020" s="35" t="s">
        <v>127</v>
      </c>
      <c r="H1020" s="35" t="str">
        <f>IFERROR(_xlfn.XLOOKUP(Table6[[#This Row],[Affected WTG]],'Basic Data'!$A:$A,'Basic Data'!$B:$B),"")</f>
        <v>TQGXIIPL</v>
      </c>
      <c r="I1020" s="35" t="str">
        <f>IFERROR(_xlfn.XLOOKUP(Table6[[#This Row],[Affected WTG]],'Basic Data'!$A:$A,'Basic Data'!$C:$C),"")</f>
        <v>GEDA</v>
      </c>
      <c r="J1020" s="260">
        <f>IFERROR(_xlfn.XLOOKUP(Table6[[#This Row],[Affected WTG]],'Basic Data'!$A:$A,'Basic Data'!$E:$E),"")</f>
        <v>3.846153846153845E-2</v>
      </c>
      <c r="K1020" s="102">
        <v>6130</v>
      </c>
      <c r="L1020" s="35" t="str">
        <f>IFERROR(_xlfn.XLOOKUP(Table6[[#This Row],[Error Code]],'Basic Data'!$AA:$AA,'Basic Data'!$AB:$AB),"Incorrect Error Code")</f>
        <v>Yaw speed high</v>
      </c>
      <c r="M1020" s="35" t="s">
        <v>278</v>
      </c>
      <c r="N1020" s="264"/>
      <c r="O1020" s="265">
        <v>0.70277777777777783</v>
      </c>
      <c r="P1020" s="265">
        <v>0.70277777777777783</v>
      </c>
      <c r="Q1020" s="266">
        <v>0.70694444444444449</v>
      </c>
      <c r="R1020" s="261">
        <f>IF(Table6[[#This Row],[Work Start TimeStamp]]="","",(Table6[[#This Row],[Work Start TimeStamp]]-Table6[[#This Row],[Fault Start TimeStamp]])*24)</f>
        <v>0</v>
      </c>
      <c r="S1020" s="261">
        <f>(Table6[[#This Row],[Fault Clearance time]]-Table6[[#This Row],[Work Start TimeStamp]])*24</f>
        <v>9.9999999999999645E-2</v>
      </c>
      <c r="T1020" s="261">
        <f>(Table6[[#This Row],[Fault Clearance time]]-Table6[[#This Row],[Fault Start TimeStamp]])*24</f>
        <v>9.9999999999999645E-2</v>
      </c>
      <c r="U1020" s="35" t="s">
        <v>277</v>
      </c>
      <c r="V1020" s="102" t="s">
        <v>268</v>
      </c>
      <c r="W1020" s="267">
        <f>IFERROR(Table6[[#This Row],[Breakdown Time]]*Table6[[#This Row],[Plant Equivalent Weightage]],"")</f>
        <v>3.8461538461538312E-3</v>
      </c>
      <c r="X1020" s="262" t="s">
        <v>269</v>
      </c>
      <c r="Y1020" s="263" t="s">
        <v>125</v>
      </c>
      <c r="Z1020" s="102">
        <v>44131.333333333336</v>
      </c>
      <c r="AA1020" s="257">
        <f>(Table6[[#This Row],[Paired WTG Generation for loss calculation]]/24)*Table6[[#This Row],[Breakdown Time]]</f>
        <v>183.88055555555491</v>
      </c>
      <c r="AB1020" s="102"/>
      <c r="AC1020" s="35"/>
      <c r="AD1020" s="35"/>
    </row>
    <row r="1021" spans="1:30">
      <c r="A1021" s="102">
        <f t="shared" si="16"/>
        <v>1020</v>
      </c>
      <c r="B1021" s="257">
        <f>YEAR(Table6[[#This Row],[Date]])+IF(MONTH(Table6[[#This Row],[Date]])&gt;=4,1,0)</f>
        <v>2026</v>
      </c>
      <c r="C1021" s="102">
        <f>YEAR(Table6[[#This Row],[Date]])</f>
        <v>2025</v>
      </c>
      <c r="D1021" s="102" t="s">
        <v>265</v>
      </c>
      <c r="E1021" s="258">
        <f>Table6[[#This Row],[Date]]-DAY(Table6[[#This Row],[Date]])+1</f>
        <v>45809</v>
      </c>
      <c r="F1021" s="259">
        <v>45810</v>
      </c>
      <c r="G1021" s="35" t="s">
        <v>128</v>
      </c>
      <c r="H1021" s="35" t="str">
        <f>IFERROR(_xlfn.XLOOKUP(Table6[[#This Row],[Affected WTG]],'Basic Data'!$A:$A,'Basic Data'!$B:$B),"")</f>
        <v>TQGXIIPL</v>
      </c>
      <c r="I1021" s="35" t="str">
        <f>IFERROR(_xlfn.XLOOKUP(Table6[[#This Row],[Affected WTG]],'Basic Data'!$A:$A,'Basic Data'!$C:$C),"")</f>
        <v>GEDA</v>
      </c>
      <c r="J1021" s="260">
        <f>IFERROR(_xlfn.XLOOKUP(Table6[[#This Row],[Affected WTG]],'Basic Data'!$A:$A,'Basic Data'!$E:$E),"")</f>
        <v>3.846153846153845E-2</v>
      </c>
      <c r="K1021" s="102">
        <v>6130</v>
      </c>
      <c r="L1021" s="35" t="str">
        <f>IFERROR(_xlfn.XLOOKUP(Table6[[#This Row],[Error Code]],'Basic Data'!$AA:$AA,'Basic Data'!$AB:$AB),"Incorrect Error Code")</f>
        <v>Yaw speed high</v>
      </c>
      <c r="M1021" s="35" t="s">
        <v>278</v>
      </c>
      <c r="N1021" s="264"/>
      <c r="O1021" s="265">
        <v>0.58819444444444446</v>
      </c>
      <c r="P1021" s="265">
        <v>0.58819444444444446</v>
      </c>
      <c r="Q1021" s="266">
        <v>0.59236111111111112</v>
      </c>
      <c r="R1021" s="261">
        <f>IF(Table6[[#This Row],[Work Start TimeStamp]]="","",(Table6[[#This Row],[Work Start TimeStamp]]-Table6[[#This Row],[Fault Start TimeStamp]])*24)</f>
        <v>0</v>
      </c>
      <c r="S1021" s="261">
        <f>(Table6[[#This Row],[Fault Clearance time]]-Table6[[#This Row],[Work Start TimeStamp]])*24</f>
        <v>9.9999999999999645E-2</v>
      </c>
      <c r="T1021" s="261">
        <f>(Table6[[#This Row],[Fault Clearance time]]-Table6[[#This Row],[Fault Start TimeStamp]])*24</f>
        <v>9.9999999999999645E-2</v>
      </c>
      <c r="U1021" s="35" t="s">
        <v>277</v>
      </c>
      <c r="V1021" s="102" t="s">
        <v>268</v>
      </c>
      <c r="W1021" s="267">
        <f>IFERROR(Table6[[#This Row],[Breakdown Time]]*Table6[[#This Row],[Plant Equivalent Weightage]],"")</f>
        <v>3.8461538461538312E-3</v>
      </c>
      <c r="X1021" s="262" t="s">
        <v>269</v>
      </c>
      <c r="Y1021" s="263" t="s">
        <v>126</v>
      </c>
      <c r="Z1021" s="102">
        <v>42844.333333333336</v>
      </c>
      <c r="AA1021" s="257">
        <f>(Table6[[#This Row],[Paired WTG Generation for loss calculation]]/24)*Table6[[#This Row],[Breakdown Time]]</f>
        <v>178.51805555555492</v>
      </c>
      <c r="AB1021" s="102"/>
      <c r="AC1021" s="35"/>
      <c r="AD1021" s="35"/>
    </row>
    <row r="1022" spans="1:30">
      <c r="A1022" s="102">
        <f t="shared" si="16"/>
        <v>1021</v>
      </c>
      <c r="B1022" s="257">
        <f>YEAR(Table6[[#This Row],[Date]])+IF(MONTH(Table6[[#This Row],[Date]])&gt;=4,1,0)</f>
        <v>2026</v>
      </c>
      <c r="C1022" s="102">
        <f>YEAR(Table6[[#This Row],[Date]])</f>
        <v>2025</v>
      </c>
      <c r="D1022" s="102" t="s">
        <v>265</v>
      </c>
      <c r="E1022" s="258">
        <f>Table6[[#This Row],[Date]]-DAY(Table6[[#This Row],[Date]])+1</f>
        <v>45809</v>
      </c>
      <c r="F1022" s="259">
        <v>45810</v>
      </c>
      <c r="G1022" s="35" t="s">
        <v>129</v>
      </c>
      <c r="H1022" s="35" t="str">
        <f>IFERROR(_xlfn.XLOOKUP(Table6[[#This Row],[Affected WTG]],'Basic Data'!$A:$A,'Basic Data'!$B:$B),"")</f>
        <v>TQGXIIPL</v>
      </c>
      <c r="I1022" s="35" t="str">
        <f>IFERROR(_xlfn.XLOOKUP(Table6[[#This Row],[Affected WTG]],'Basic Data'!$A:$A,'Basic Data'!$C:$C),"")</f>
        <v>GEDA</v>
      </c>
      <c r="J1022" s="260">
        <f>IFERROR(_xlfn.XLOOKUP(Table6[[#This Row],[Affected WTG]],'Basic Data'!$A:$A,'Basic Data'!$E:$E),"")</f>
        <v>3.846153846153845E-2</v>
      </c>
      <c r="K1022" s="102">
        <v>6130</v>
      </c>
      <c r="L1022" s="35" t="str">
        <f>IFERROR(_xlfn.XLOOKUP(Table6[[#This Row],[Error Code]],'Basic Data'!$AA:$AA,'Basic Data'!$AB:$AB),"Incorrect Error Code")</f>
        <v>Yaw speed high</v>
      </c>
      <c r="M1022" s="35" t="s">
        <v>278</v>
      </c>
      <c r="N1022" s="264"/>
      <c r="O1022" s="265">
        <v>0.73333333333333339</v>
      </c>
      <c r="P1022" s="265">
        <v>0.73333333333333339</v>
      </c>
      <c r="Q1022" s="266">
        <v>0.73541666666666672</v>
      </c>
      <c r="R1022" s="261">
        <f>IF(Table6[[#This Row],[Work Start TimeStamp]]="","",(Table6[[#This Row],[Work Start TimeStamp]]-Table6[[#This Row],[Fault Start TimeStamp]])*24)</f>
        <v>0</v>
      </c>
      <c r="S1022" s="261">
        <f>(Table6[[#This Row],[Fault Clearance time]]-Table6[[#This Row],[Work Start TimeStamp]])*24</f>
        <v>4.9999999999999822E-2</v>
      </c>
      <c r="T1022" s="261">
        <f>(Table6[[#This Row],[Fault Clearance time]]-Table6[[#This Row],[Fault Start TimeStamp]])*24</f>
        <v>4.9999999999999822E-2</v>
      </c>
      <c r="U1022" s="35" t="s">
        <v>277</v>
      </c>
      <c r="V1022" s="102" t="s">
        <v>268</v>
      </c>
      <c r="W1022" s="267">
        <f>IFERROR(Table6[[#This Row],[Breakdown Time]]*Table6[[#This Row],[Plant Equivalent Weightage]],"")</f>
        <v>1.9230769230769156E-3</v>
      </c>
      <c r="X1022" s="262" t="s">
        <v>269</v>
      </c>
      <c r="Y1022" s="263" t="s">
        <v>124</v>
      </c>
      <c r="Z1022" s="102">
        <v>43054.666666666664</v>
      </c>
      <c r="AA1022" s="257">
        <f>(Table6[[#This Row],[Paired WTG Generation for loss calculation]]/24)*Table6[[#This Row],[Breakdown Time]]</f>
        <v>89.697222222221896</v>
      </c>
      <c r="AB1022" s="102"/>
      <c r="AC1022" s="35"/>
      <c r="AD1022" s="35"/>
    </row>
    <row r="1023" spans="1:30">
      <c r="A1023" s="102">
        <f t="shared" si="16"/>
        <v>1022</v>
      </c>
      <c r="B1023" s="257">
        <f>YEAR(Table6[[#This Row],[Date]])+IF(MONTH(Table6[[#This Row],[Date]])&gt;=4,1,0)</f>
        <v>2026</v>
      </c>
      <c r="C1023" s="102">
        <f>YEAR(Table6[[#This Row],[Date]])</f>
        <v>2025</v>
      </c>
      <c r="D1023" s="102" t="s">
        <v>265</v>
      </c>
      <c r="E1023" s="258">
        <f>Table6[[#This Row],[Date]]-DAY(Table6[[#This Row],[Date]])+1</f>
        <v>45809</v>
      </c>
      <c r="F1023" s="259">
        <v>45810</v>
      </c>
      <c r="G1023" s="35" t="s">
        <v>130</v>
      </c>
      <c r="H1023" s="35" t="str">
        <f>IFERROR(_xlfn.XLOOKUP(Table6[[#This Row],[Affected WTG]],'Basic Data'!$A:$A,'Basic Data'!$B:$B),"")</f>
        <v>TQGXIIPL</v>
      </c>
      <c r="I1023" s="35" t="str">
        <f>IFERROR(_xlfn.XLOOKUP(Table6[[#This Row],[Affected WTG]],'Basic Data'!$A:$A,'Basic Data'!$C:$C),"")</f>
        <v>GEDA</v>
      </c>
      <c r="J1023" s="260">
        <f>IFERROR(_xlfn.XLOOKUP(Table6[[#This Row],[Affected WTG]],'Basic Data'!$A:$A,'Basic Data'!$E:$E),"")</f>
        <v>3.846153846153845E-2</v>
      </c>
      <c r="K1023" s="102">
        <v>6605</v>
      </c>
      <c r="L1023" s="35" t="str">
        <f>IFERROR(_xlfn.XLOOKUP(Table6[[#This Row],[Error Code]],'Basic Data'!$AA:$AA,'Basic Data'!$AB:$AB),"Incorrect Error Code")</f>
        <v>Wind.dir. diff. level 2</v>
      </c>
      <c r="M1023" s="35" t="s">
        <v>278</v>
      </c>
      <c r="N1023" s="264"/>
      <c r="O1023" s="265">
        <v>0.41944444444444445</v>
      </c>
      <c r="P1023" s="265">
        <v>0.41944444444444445</v>
      </c>
      <c r="Q1023" s="266">
        <v>0.4236111111111111</v>
      </c>
      <c r="R1023" s="261">
        <f>IF(Table6[[#This Row],[Work Start TimeStamp]]="","",(Table6[[#This Row],[Work Start TimeStamp]]-Table6[[#This Row],[Fault Start TimeStamp]])*24)</f>
        <v>0</v>
      </c>
      <c r="S1023" s="261">
        <f>(Table6[[#This Row],[Fault Clearance time]]-Table6[[#This Row],[Work Start TimeStamp]])*24</f>
        <v>9.9999999999999645E-2</v>
      </c>
      <c r="T1023" s="261">
        <f>(Table6[[#This Row],[Fault Clearance time]]-Table6[[#This Row],[Fault Start TimeStamp]])*24</f>
        <v>9.9999999999999645E-2</v>
      </c>
      <c r="U1023" s="35" t="s">
        <v>277</v>
      </c>
      <c r="V1023" s="102" t="s">
        <v>268</v>
      </c>
      <c r="W1023" s="267">
        <f>IFERROR(Table6[[#This Row],[Breakdown Time]]*Table6[[#This Row],[Plant Equivalent Weightage]],"")</f>
        <v>3.8461538461538312E-3</v>
      </c>
      <c r="X1023" s="262" t="s">
        <v>269</v>
      </c>
      <c r="Y1023" s="263" t="s">
        <v>135</v>
      </c>
      <c r="Z1023" s="102">
        <v>48023.333333333328</v>
      </c>
      <c r="AA1023" s="257">
        <f>(Table6[[#This Row],[Paired WTG Generation for loss calculation]]/24)*Table6[[#This Row],[Breakdown Time]]</f>
        <v>200.09722222222149</v>
      </c>
      <c r="AB1023" s="102"/>
      <c r="AC1023" s="35"/>
      <c r="AD1023" s="35"/>
    </row>
    <row r="1024" spans="1:30">
      <c r="A1024" s="102">
        <f t="shared" si="16"/>
        <v>1023</v>
      </c>
      <c r="B1024" s="257">
        <f>YEAR(Table6[[#This Row],[Date]])+IF(MONTH(Table6[[#This Row],[Date]])&gt;=4,1,0)</f>
        <v>2026</v>
      </c>
      <c r="C1024" s="102">
        <f>YEAR(Table6[[#This Row],[Date]])</f>
        <v>2025</v>
      </c>
      <c r="D1024" s="102" t="s">
        <v>265</v>
      </c>
      <c r="E1024" s="258">
        <f>Table6[[#This Row],[Date]]-DAY(Table6[[#This Row],[Date]])+1</f>
        <v>45809</v>
      </c>
      <c r="F1024" s="259">
        <v>45810</v>
      </c>
      <c r="G1024" s="35" t="s">
        <v>130</v>
      </c>
      <c r="H1024" s="35" t="str">
        <f>IFERROR(_xlfn.XLOOKUP(Table6[[#This Row],[Affected WTG]],'Basic Data'!$A:$A,'Basic Data'!$B:$B),"")</f>
        <v>TQGXIIPL</v>
      </c>
      <c r="I1024" s="35" t="str">
        <f>IFERROR(_xlfn.XLOOKUP(Table6[[#This Row],[Affected WTG]],'Basic Data'!$A:$A,'Basic Data'!$C:$C),"")</f>
        <v>GEDA</v>
      </c>
      <c r="J1024" s="260">
        <f>IFERROR(_xlfn.XLOOKUP(Table6[[#This Row],[Affected WTG]],'Basic Data'!$A:$A,'Basic Data'!$E:$E),"")</f>
        <v>3.846153846153845E-2</v>
      </c>
      <c r="K1024" s="102">
        <v>6130</v>
      </c>
      <c r="L1024" s="35" t="str">
        <f>IFERROR(_xlfn.XLOOKUP(Table6[[#This Row],[Error Code]],'Basic Data'!$AA:$AA,'Basic Data'!$AB:$AB),"Incorrect Error Code")</f>
        <v>Yaw speed high</v>
      </c>
      <c r="M1024" s="35" t="s">
        <v>278</v>
      </c>
      <c r="N1024" s="264"/>
      <c r="O1024" s="265">
        <v>0.48680555555555555</v>
      </c>
      <c r="P1024" s="265">
        <v>0.48680555555555555</v>
      </c>
      <c r="Q1024" s="266">
        <v>0.4909722222222222</v>
      </c>
      <c r="R1024" s="261">
        <f>IF(Table6[[#This Row],[Work Start TimeStamp]]="","",(Table6[[#This Row],[Work Start TimeStamp]]-Table6[[#This Row],[Fault Start TimeStamp]])*24)</f>
        <v>0</v>
      </c>
      <c r="S1024" s="261">
        <f>(Table6[[#This Row],[Fault Clearance time]]-Table6[[#This Row],[Work Start TimeStamp]])*24</f>
        <v>9.9999999999999645E-2</v>
      </c>
      <c r="T1024" s="261">
        <f>(Table6[[#This Row],[Fault Clearance time]]-Table6[[#This Row],[Fault Start TimeStamp]])*24</f>
        <v>9.9999999999999645E-2</v>
      </c>
      <c r="U1024" s="35" t="s">
        <v>277</v>
      </c>
      <c r="V1024" s="102" t="s">
        <v>268</v>
      </c>
      <c r="W1024" s="267">
        <f>IFERROR(Table6[[#This Row],[Breakdown Time]]*Table6[[#This Row],[Plant Equivalent Weightage]],"")</f>
        <v>3.8461538461538312E-3</v>
      </c>
      <c r="X1024" s="262" t="s">
        <v>269</v>
      </c>
      <c r="Y1024" s="263" t="s">
        <v>135</v>
      </c>
      <c r="Z1024" s="102">
        <v>48023.333333333328</v>
      </c>
      <c r="AA1024" s="257">
        <f>(Table6[[#This Row],[Paired WTG Generation for loss calculation]]/24)*Table6[[#This Row],[Breakdown Time]]</f>
        <v>200.09722222222149</v>
      </c>
      <c r="AB1024" s="102"/>
      <c r="AC1024" s="35"/>
      <c r="AD1024" s="35"/>
    </row>
    <row r="1025" spans="1:30">
      <c r="A1025" s="102">
        <f t="shared" si="16"/>
        <v>1024</v>
      </c>
      <c r="B1025" s="257">
        <f>YEAR(Table6[[#This Row],[Date]])+IF(MONTH(Table6[[#This Row],[Date]])&gt;=4,1,0)</f>
        <v>2026</v>
      </c>
      <c r="C1025" s="102">
        <f>YEAR(Table6[[#This Row],[Date]])</f>
        <v>2025</v>
      </c>
      <c r="D1025" s="102" t="s">
        <v>265</v>
      </c>
      <c r="E1025" s="258">
        <f>Table6[[#This Row],[Date]]-DAY(Table6[[#This Row],[Date]])+1</f>
        <v>45809</v>
      </c>
      <c r="F1025" s="259">
        <v>45810</v>
      </c>
      <c r="G1025" s="35" t="s">
        <v>131</v>
      </c>
      <c r="H1025" s="35" t="str">
        <f>IFERROR(_xlfn.XLOOKUP(Table6[[#This Row],[Affected WTG]],'Basic Data'!$A:$A,'Basic Data'!$B:$B),"")</f>
        <v>TQGXIIPL</v>
      </c>
      <c r="I1025" s="35" t="str">
        <f>IFERROR(_xlfn.XLOOKUP(Table6[[#This Row],[Affected WTG]],'Basic Data'!$A:$A,'Basic Data'!$C:$C),"")</f>
        <v>GEDA</v>
      </c>
      <c r="J1025" s="260">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266</v>
      </c>
      <c r="N1025" s="264"/>
      <c r="O1025" s="265">
        <v>0.8125</v>
      </c>
      <c r="P1025" s="265">
        <v>0.8125</v>
      </c>
      <c r="Q1025" s="266">
        <v>0.83263888888888893</v>
      </c>
      <c r="R1025" s="261">
        <f>IF(Table6[[#This Row],[Work Start TimeStamp]]="","",(Table6[[#This Row],[Work Start TimeStamp]]-Table6[[#This Row],[Fault Start TimeStamp]])*24)</f>
        <v>0</v>
      </c>
      <c r="S1025" s="261">
        <f>(Table6[[#This Row],[Fault Clearance time]]-Table6[[#This Row],[Work Start TimeStamp]])*24</f>
        <v>0.48333333333333428</v>
      </c>
      <c r="T1025" s="261">
        <f>(Table6[[#This Row],[Fault Clearance time]]-Table6[[#This Row],[Fault Start TimeStamp]])*24</f>
        <v>0.48333333333333428</v>
      </c>
      <c r="U1025" s="35" t="s">
        <v>491</v>
      </c>
      <c r="V1025" s="102" t="s">
        <v>268</v>
      </c>
      <c r="W1025" s="267">
        <f>IFERROR(Table6[[#This Row],[Breakdown Time]]*Table6[[#This Row],[Plant Equivalent Weightage]],"")</f>
        <v>1.8589743589743621E-2</v>
      </c>
      <c r="X1025" s="262" t="s">
        <v>269</v>
      </c>
      <c r="Y1025" s="263" t="s">
        <v>136</v>
      </c>
      <c r="Z1025" s="102">
        <v>51023</v>
      </c>
      <c r="AA1025" s="257">
        <f>(Table6[[#This Row],[Paired WTG Generation for loss calculation]]/24)*Table6[[#This Row],[Breakdown Time]]</f>
        <v>1027.5465277777798</v>
      </c>
      <c r="AB1025" s="102"/>
      <c r="AC1025" s="35"/>
      <c r="AD1025" s="35"/>
    </row>
    <row r="1026" spans="1:30">
      <c r="A1026" s="102">
        <f t="shared" si="16"/>
        <v>1025</v>
      </c>
      <c r="B1026" s="257">
        <f>YEAR(Table6[[#This Row],[Date]])+IF(MONTH(Table6[[#This Row],[Date]])&gt;=4,1,0)</f>
        <v>2026</v>
      </c>
      <c r="C1026" s="102">
        <f>YEAR(Table6[[#This Row],[Date]])</f>
        <v>2025</v>
      </c>
      <c r="D1026" s="102" t="s">
        <v>265</v>
      </c>
      <c r="E1026" s="258">
        <f>Table6[[#This Row],[Date]]-DAY(Table6[[#This Row],[Date]])+1</f>
        <v>45809</v>
      </c>
      <c r="F1026" s="259">
        <v>45810</v>
      </c>
      <c r="G1026" s="35" t="s">
        <v>134</v>
      </c>
      <c r="H1026" s="35" t="str">
        <f>IFERROR(_xlfn.XLOOKUP(Table6[[#This Row],[Affected WTG]],'Basic Data'!$A:$A,'Basic Data'!$B:$B),"")</f>
        <v>TQGXIIPL</v>
      </c>
      <c r="I1026" s="35" t="str">
        <f>IFERROR(_xlfn.XLOOKUP(Table6[[#This Row],[Affected WTG]],'Basic Data'!$A:$A,'Basic Data'!$C:$C),"")</f>
        <v>GEDA</v>
      </c>
      <c r="J1026" s="260">
        <f>IFERROR(_xlfn.XLOOKUP(Table6[[#This Row],[Affected WTG]],'Basic Data'!$A:$A,'Basic Data'!$E:$E),"")</f>
        <v>3.846153846153845E-2</v>
      </c>
      <c r="K1026" s="102">
        <v>6130</v>
      </c>
      <c r="L1026" s="35" t="str">
        <f>IFERROR(_xlfn.XLOOKUP(Table6[[#This Row],[Error Code]],'Basic Data'!$AA:$AA,'Basic Data'!$AB:$AB),"Incorrect Error Code")</f>
        <v>Yaw speed high</v>
      </c>
      <c r="M1026" s="35" t="s">
        <v>278</v>
      </c>
      <c r="N1026" s="264"/>
      <c r="O1026" s="265">
        <v>0.57013888888888897</v>
      </c>
      <c r="P1026" s="265">
        <v>0.57013888888888897</v>
      </c>
      <c r="Q1026" s="266">
        <v>0.57430555555555562</v>
      </c>
      <c r="R1026" s="261">
        <f>IF(Table6[[#This Row],[Work Start TimeStamp]]="","",(Table6[[#This Row],[Work Start TimeStamp]]-Table6[[#This Row],[Fault Start TimeStamp]])*24)</f>
        <v>0</v>
      </c>
      <c r="S1026" s="261">
        <f>(Table6[[#This Row],[Fault Clearance time]]-Table6[[#This Row],[Work Start TimeStamp]])*24</f>
        <v>9.9999999999999645E-2</v>
      </c>
      <c r="T1026" s="261">
        <f>(Table6[[#This Row],[Fault Clearance time]]-Table6[[#This Row],[Fault Start TimeStamp]])*24</f>
        <v>9.9999999999999645E-2</v>
      </c>
      <c r="U1026" s="35" t="s">
        <v>277</v>
      </c>
      <c r="V1026" s="102" t="s">
        <v>268</v>
      </c>
      <c r="W1026" s="267">
        <f>IFERROR(Table6[[#This Row],[Breakdown Time]]*Table6[[#This Row],[Plant Equivalent Weightage]],"")</f>
        <v>3.8461538461538312E-3</v>
      </c>
      <c r="X1026" s="262" t="s">
        <v>269</v>
      </c>
      <c r="Y1026" s="263" t="s">
        <v>138</v>
      </c>
      <c r="Z1026" s="102">
        <v>46021.333333333336</v>
      </c>
      <c r="AA1026" s="257">
        <f>(Table6[[#This Row],[Paired WTG Generation for loss calculation]]/24)*Table6[[#This Row],[Breakdown Time]]</f>
        <v>191.75555555555488</v>
      </c>
      <c r="AB1026" s="102"/>
      <c r="AC1026" s="35"/>
      <c r="AD1026" s="35"/>
    </row>
    <row r="1027" spans="1:30">
      <c r="A1027" s="102">
        <f t="shared" si="16"/>
        <v>1026</v>
      </c>
      <c r="B1027" s="257">
        <f>YEAR(Table6[[#This Row],[Date]])+IF(MONTH(Table6[[#This Row],[Date]])&gt;=4,1,0)</f>
        <v>2026</v>
      </c>
      <c r="C1027" s="102">
        <f>YEAR(Table6[[#This Row],[Date]])</f>
        <v>2025</v>
      </c>
      <c r="D1027" s="102" t="s">
        <v>265</v>
      </c>
      <c r="E1027" s="258">
        <f>Table6[[#This Row],[Date]]-DAY(Table6[[#This Row],[Date]])+1</f>
        <v>45809</v>
      </c>
      <c r="F1027" s="259">
        <v>45810</v>
      </c>
      <c r="G1027" s="35" t="s">
        <v>135</v>
      </c>
      <c r="H1027" s="35" t="str">
        <f>IFERROR(_xlfn.XLOOKUP(Table6[[#This Row],[Affected WTG]],'Basic Data'!$A:$A,'Basic Data'!$B:$B),"")</f>
        <v>TQGXIIPL</v>
      </c>
      <c r="I1027" s="35" t="str">
        <f>IFERROR(_xlfn.XLOOKUP(Table6[[#This Row],[Affected WTG]],'Basic Data'!$A:$A,'Basic Data'!$C:$C),"")</f>
        <v>GEDA</v>
      </c>
      <c r="J1027" s="260">
        <f>IFERROR(_xlfn.XLOOKUP(Table6[[#This Row],[Affected WTG]],'Basic Data'!$A:$A,'Basic Data'!$E:$E),"")</f>
        <v>3.846153846153845E-2</v>
      </c>
      <c r="K1027" s="102">
        <v>6130</v>
      </c>
      <c r="L1027" s="35" t="str">
        <f>IFERROR(_xlfn.XLOOKUP(Table6[[#This Row],[Error Code]],'Basic Data'!$AA:$AA,'Basic Data'!$AB:$AB),"Incorrect Error Code")</f>
        <v>Yaw speed high</v>
      </c>
      <c r="M1027" s="35" t="s">
        <v>278</v>
      </c>
      <c r="N1027" s="264"/>
      <c r="O1027" s="265">
        <v>0.55902777777777779</v>
      </c>
      <c r="P1027" s="265">
        <v>0.55902777777777779</v>
      </c>
      <c r="Q1027" s="266">
        <v>0.5625</v>
      </c>
      <c r="R1027" s="261">
        <f>IF(Table6[[#This Row],[Work Start TimeStamp]]="","",(Table6[[#This Row],[Work Start TimeStamp]]-Table6[[#This Row],[Fault Start TimeStamp]])*24)</f>
        <v>0</v>
      </c>
      <c r="S1027" s="261">
        <f>(Table6[[#This Row],[Fault Clearance time]]-Table6[[#This Row],[Work Start TimeStamp]])*24</f>
        <v>8.3333333333333037E-2</v>
      </c>
      <c r="T1027" s="261">
        <f>(Table6[[#This Row],[Fault Clearance time]]-Table6[[#This Row],[Fault Start TimeStamp]])*24</f>
        <v>8.3333333333333037E-2</v>
      </c>
      <c r="U1027" s="35" t="s">
        <v>277</v>
      </c>
      <c r="V1027" s="102" t="s">
        <v>268</v>
      </c>
      <c r="W1027" s="267">
        <f>IFERROR(Table6[[#This Row],[Breakdown Time]]*Table6[[#This Row],[Plant Equivalent Weightage]],"")</f>
        <v>3.2051282051281929E-3</v>
      </c>
      <c r="X1027" s="262" t="s">
        <v>269</v>
      </c>
      <c r="Y1027" s="263" t="s">
        <v>120</v>
      </c>
      <c r="Z1027" s="102">
        <v>47731</v>
      </c>
      <c r="AA1027" s="257">
        <f>(Table6[[#This Row],[Paired WTG Generation for loss calculation]]/24)*Table6[[#This Row],[Breakdown Time]]</f>
        <v>165.73263888888832</v>
      </c>
      <c r="AB1027" s="102"/>
      <c r="AC1027" s="35"/>
      <c r="AD1027" s="35"/>
    </row>
    <row r="1028" spans="1:30">
      <c r="A1028" s="102">
        <f t="shared" si="16"/>
        <v>1027</v>
      </c>
      <c r="B1028" s="257">
        <f>YEAR(Table6[[#This Row],[Date]])+IF(MONTH(Table6[[#This Row],[Date]])&gt;=4,1,0)</f>
        <v>2026</v>
      </c>
      <c r="C1028" s="102">
        <f>YEAR(Table6[[#This Row],[Date]])</f>
        <v>2025</v>
      </c>
      <c r="D1028" s="102" t="s">
        <v>265</v>
      </c>
      <c r="E1028" s="258">
        <f>Table6[[#This Row],[Date]]-DAY(Table6[[#This Row],[Date]])+1</f>
        <v>45809</v>
      </c>
      <c r="F1028" s="259">
        <v>45810</v>
      </c>
      <c r="G1028" s="35" t="s">
        <v>137</v>
      </c>
      <c r="H1028" s="35" t="str">
        <f>IFERROR(_xlfn.XLOOKUP(Table6[[#This Row],[Affected WTG]],'Basic Data'!$A:$A,'Basic Data'!$B:$B),"")</f>
        <v>TQGXIIPL</v>
      </c>
      <c r="I1028" s="35" t="str">
        <f>IFERROR(_xlfn.XLOOKUP(Table6[[#This Row],[Affected WTG]],'Basic Data'!$A:$A,'Basic Data'!$C:$C),"")</f>
        <v>GEDA</v>
      </c>
      <c r="J1028" s="260">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278</v>
      </c>
      <c r="N1028" s="264"/>
      <c r="O1028" s="265">
        <v>0.59930555555555565</v>
      </c>
      <c r="P1028" s="265">
        <v>0.59930555555555565</v>
      </c>
      <c r="Q1028" s="266">
        <v>0.61250000000000004</v>
      </c>
      <c r="R1028" s="261">
        <f>IF(Table6[[#This Row],[Work Start TimeStamp]]="","",(Table6[[#This Row],[Work Start TimeStamp]]-Table6[[#This Row],[Fault Start TimeStamp]])*24)</f>
        <v>0</v>
      </c>
      <c r="S1028" s="261">
        <f>(Table6[[#This Row],[Fault Clearance time]]-Table6[[#This Row],[Work Start TimeStamp]])*24</f>
        <v>0.31666666666666554</v>
      </c>
      <c r="T1028" s="261">
        <f>(Table6[[#This Row],[Fault Clearance time]]-Table6[[#This Row],[Fault Start TimeStamp]])*24</f>
        <v>0.31666666666666554</v>
      </c>
      <c r="U1028" s="35" t="s">
        <v>277</v>
      </c>
      <c r="V1028" s="102" t="s">
        <v>268</v>
      </c>
      <c r="W1028" s="267">
        <f>IFERROR(Table6[[#This Row],[Breakdown Time]]*Table6[[#This Row],[Plant Equivalent Weightage]],"")</f>
        <v>1.2179487179487133E-2</v>
      </c>
      <c r="X1028" s="262" t="s">
        <v>269</v>
      </c>
      <c r="Y1028" s="263" t="s">
        <v>125</v>
      </c>
      <c r="Z1028" s="102">
        <v>44131.333333333336</v>
      </c>
      <c r="AA1028" s="257">
        <f>(Table6[[#This Row],[Paired WTG Generation for loss calculation]]/24)*Table6[[#This Row],[Breakdown Time]]</f>
        <v>582.28842592592389</v>
      </c>
      <c r="AB1028" s="102"/>
      <c r="AC1028" s="35"/>
      <c r="AD1028" s="35"/>
    </row>
    <row r="1029" spans="1:30">
      <c r="A1029" s="102">
        <f t="shared" si="16"/>
        <v>1028</v>
      </c>
      <c r="B1029" s="257">
        <f>YEAR(Table6[[#This Row],[Date]])+IF(MONTH(Table6[[#This Row],[Date]])&gt;=4,1,0)</f>
        <v>2026</v>
      </c>
      <c r="C1029" s="102">
        <f>YEAR(Table6[[#This Row],[Date]])</f>
        <v>2025</v>
      </c>
      <c r="D1029" s="102" t="s">
        <v>265</v>
      </c>
      <c r="E1029" s="258">
        <f>Table6[[#This Row],[Date]]-DAY(Table6[[#This Row],[Date]])+1</f>
        <v>45809</v>
      </c>
      <c r="F1029" s="259">
        <v>45811</v>
      </c>
      <c r="G1029" s="35" t="s">
        <v>115</v>
      </c>
      <c r="H1029" s="35" t="str">
        <f>IFERROR(_xlfn.XLOOKUP(Table6[[#This Row],[Affected WTG]],'Basic Data'!$A:$A,'Basic Data'!$B:$B),"")</f>
        <v>TQGXIIPL</v>
      </c>
      <c r="I1029" s="35" t="str">
        <f>IFERROR(_xlfn.XLOOKUP(Table6[[#This Row],[Affected WTG]],'Basic Data'!$A:$A,'Basic Data'!$C:$C),"")</f>
        <v>GEDA</v>
      </c>
      <c r="J1029" s="260">
        <f>IFERROR(_xlfn.XLOOKUP(Table6[[#This Row],[Affected WTG]],'Basic Data'!$A:$A,'Basic Data'!$E:$E),"")</f>
        <v>3.846153846153845E-2</v>
      </c>
      <c r="K1029" s="102">
        <v>6130</v>
      </c>
      <c r="L1029" s="35" t="str">
        <f>IFERROR(_xlfn.XLOOKUP(Table6[[#This Row],[Error Code]],'Basic Data'!$AA:$AA,'Basic Data'!$AB:$AB),"Incorrect Error Code")</f>
        <v>Yaw speed high</v>
      </c>
      <c r="M1029" s="35" t="s">
        <v>278</v>
      </c>
      <c r="N1029" s="264"/>
      <c r="O1029" s="265">
        <v>0.57777777777777783</v>
      </c>
      <c r="P1029" s="265">
        <v>0.57777777777777783</v>
      </c>
      <c r="Q1029" s="266">
        <v>0.58194444444444449</v>
      </c>
      <c r="R1029" s="261">
        <f>IF(Table6[[#This Row],[Work Start TimeStamp]]="","",(Table6[[#This Row],[Work Start TimeStamp]]-Table6[[#This Row],[Fault Start TimeStamp]])*24)</f>
        <v>0</v>
      </c>
      <c r="S1029" s="261">
        <f>(Table6[[#This Row],[Fault Clearance time]]-Table6[[#This Row],[Work Start TimeStamp]])*24</f>
        <v>9.9999999999999645E-2</v>
      </c>
      <c r="T1029" s="261">
        <f>(Table6[[#This Row],[Fault Clearance time]]-Table6[[#This Row],[Fault Start TimeStamp]])*24</f>
        <v>9.9999999999999645E-2</v>
      </c>
      <c r="U1029" s="35" t="s">
        <v>277</v>
      </c>
      <c r="V1029" s="102" t="s">
        <v>268</v>
      </c>
      <c r="W1029" s="267">
        <f>IFERROR(Table6[[#This Row],[Breakdown Time]]*Table6[[#This Row],[Plant Equivalent Weightage]],"")</f>
        <v>3.8461538461538312E-3</v>
      </c>
      <c r="X1029" s="262" t="s">
        <v>269</v>
      </c>
      <c r="Y1029" s="263" t="s">
        <v>140</v>
      </c>
      <c r="Z1029" s="102">
        <v>38729.760000000002</v>
      </c>
      <c r="AA1029" s="257">
        <f>(Table6[[#This Row],[Paired WTG Generation for loss calculation]]/24)*Table6[[#This Row],[Breakdown Time]]</f>
        <v>161.37399999999943</v>
      </c>
      <c r="AB1029" s="102"/>
      <c r="AC1029" s="35"/>
      <c r="AD1029" s="35"/>
    </row>
    <row r="1030" spans="1:30">
      <c r="A1030" s="102">
        <f t="shared" si="16"/>
        <v>1029</v>
      </c>
      <c r="B1030" s="257">
        <f>YEAR(Table6[[#This Row],[Date]])+IF(MONTH(Table6[[#This Row],[Date]])&gt;=4,1,0)</f>
        <v>2026</v>
      </c>
      <c r="C1030" s="102">
        <f>YEAR(Table6[[#This Row],[Date]])</f>
        <v>2025</v>
      </c>
      <c r="D1030" s="102" t="s">
        <v>265</v>
      </c>
      <c r="E1030" s="258">
        <f>Table6[[#This Row],[Date]]-DAY(Table6[[#This Row],[Date]])+1</f>
        <v>45809</v>
      </c>
      <c r="F1030" s="259">
        <v>45811</v>
      </c>
      <c r="G1030" s="35" t="s">
        <v>115</v>
      </c>
      <c r="H1030" s="35" t="str">
        <f>IFERROR(_xlfn.XLOOKUP(Table6[[#This Row],[Affected WTG]],'Basic Data'!$A:$A,'Basic Data'!$B:$B),"")</f>
        <v>TQGXIIPL</v>
      </c>
      <c r="I1030" s="35" t="str">
        <f>IFERROR(_xlfn.XLOOKUP(Table6[[#This Row],[Affected WTG]],'Basic Data'!$A:$A,'Basic Data'!$C:$C),"")</f>
        <v>GEDA</v>
      </c>
      <c r="J1030" s="260">
        <f>IFERROR(_xlfn.XLOOKUP(Table6[[#This Row],[Affected WTG]],'Basic Data'!$A:$A,'Basic Data'!$E:$E),"")</f>
        <v>3.846153846153845E-2</v>
      </c>
      <c r="K1030" s="102">
        <v>6130</v>
      </c>
      <c r="L1030" s="35" t="str">
        <f>IFERROR(_xlfn.XLOOKUP(Table6[[#This Row],[Error Code]],'Basic Data'!$AA:$AA,'Basic Data'!$AB:$AB),"Incorrect Error Code")</f>
        <v>Yaw speed high</v>
      </c>
      <c r="M1030" s="35" t="s">
        <v>266</v>
      </c>
      <c r="N1030" s="264"/>
      <c r="O1030" s="265">
        <v>0.66666666666666674</v>
      </c>
      <c r="P1030" s="265">
        <v>0.66666666666666674</v>
      </c>
      <c r="Q1030" s="266">
        <v>0.66805555555555562</v>
      </c>
      <c r="R1030" s="261">
        <f>IF(Table6[[#This Row],[Work Start TimeStamp]]="","",(Table6[[#This Row],[Work Start TimeStamp]]-Table6[[#This Row],[Fault Start TimeStamp]])*24)</f>
        <v>0</v>
      </c>
      <c r="S1030" s="261">
        <f>(Table6[[#This Row],[Fault Clearance time]]-Table6[[#This Row],[Work Start TimeStamp]])*24</f>
        <v>3.3333333333333215E-2</v>
      </c>
      <c r="T1030" s="261">
        <f>(Table6[[#This Row],[Fault Clearance time]]-Table6[[#This Row],[Fault Start TimeStamp]])*24</f>
        <v>3.3333333333333215E-2</v>
      </c>
      <c r="U1030" s="35" t="s">
        <v>483</v>
      </c>
      <c r="V1030" s="102" t="s">
        <v>268</v>
      </c>
      <c r="W1030" s="267">
        <f>IFERROR(Table6[[#This Row],[Breakdown Time]]*Table6[[#This Row],[Plant Equivalent Weightage]],"")</f>
        <v>1.2820512820512771E-3</v>
      </c>
      <c r="X1030" s="262" t="s">
        <v>269</v>
      </c>
      <c r="Y1030" s="263" t="s">
        <v>140</v>
      </c>
      <c r="Z1030" s="102">
        <v>38729.760000000002</v>
      </c>
      <c r="AA1030" s="257">
        <f>(Table6[[#This Row],[Paired WTG Generation for loss calculation]]/24)*Table6[[#This Row],[Breakdown Time]]</f>
        <v>53.791333333333142</v>
      </c>
      <c r="AB1030" s="102"/>
      <c r="AC1030" s="35"/>
      <c r="AD1030" s="35"/>
    </row>
    <row r="1031" spans="1:30">
      <c r="A1031" s="102">
        <f t="shared" si="16"/>
        <v>1030</v>
      </c>
      <c r="B1031" s="257">
        <f>YEAR(Table6[[#This Row],[Date]])+IF(MONTH(Table6[[#This Row],[Date]])&gt;=4,1,0)</f>
        <v>2026</v>
      </c>
      <c r="C1031" s="102">
        <f>YEAR(Table6[[#This Row],[Date]])</f>
        <v>2025</v>
      </c>
      <c r="D1031" s="102" t="s">
        <v>265</v>
      </c>
      <c r="E1031" s="258">
        <f>Table6[[#This Row],[Date]]-DAY(Table6[[#This Row],[Date]])+1</f>
        <v>45809</v>
      </c>
      <c r="F1031" s="259">
        <v>45811</v>
      </c>
      <c r="G1031" s="35" t="s">
        <v>118</v>
      </c>
      <c r="H1031" s="35" t="str">
        <f>IFERROR(_xlfn.XLOOKUP(Table6[[#This Row],[Affected WTG]],'Basic Data'!$A:$A,'Basic Data'!$B:$B),"")</f>
        <v>TQGXIIPL</v>
      </c>
      <c r="I1031" s="35" t="str">
        <f>IFERROR(_xlfn.XLOOKUP(Table6[[#This Row],[Affected WTG]],'Basic Data'!$A:$A,'Basic Data'!$C:$C),"")</f>
        <v>GEDA</v>
      </c>
      <c r="J1031" s="260">
        <f>IFERROR(_xlfn.XLOOKUP(Table6[[#This Row],[Affected WTG]],'Basic Data'!$A:$A,'Basic Data'!$E:$E),"")</f>
        <v>3.846153846153845E-2</v>
      </c>
      <c r="K1031" s="102">
        <v>6130</v>
      </c>
      <c r="L1031" s="35" t="str">
        <f>IFERROR(_xlfn.XLOOKUP(Table6[[#This Row],[Error Code]],'Basic Data'!$AA:$AA,'Basic Data'!$AB:$AB),"Incorrect Error Code")</f>
        <v>Yaw speed high</v>
      </c>
      <c r="M1031" s="35" t="s">
        <v>266</v>
      </c>
      <c r="N1031" s="264"/>
      <c r="O1031" s="265">
        <v>0.53888888888888897</v>
      </c>
      <c r="P1031" s="265">
        <v>0.53888888888888897</v>
      </c>
      <c r="Q1031" s="266">
        <v>0.54513888888888895</v>
      </c>
      <c r="R1031" s="261">
        <f>IF(Table6[[#This Row],[Work Start TimeStamp]]="","",(Table6[[#This Row],[Work Start TimeStamp]]-Table6[[#This Row],[Fault Start TimeStamp]])*24)</f>
        <v>0</v>
      </c>
      <c r="S1031" s="261">
        <f>(Table6[[#This Row],[Fault Clearance time]]-Table6[[#This Row],[Work Start TimeStamp]])*24</f>
        <v>0.14999999999999947</v>
      </c>
      <c r="T1031" s="261">
        <f>(Table6[[#This Row],[Fault Clearance time]]-Table6[[#This Row],[Fault Start TimeStamp]])*24</f>
        <v>0.14999999999999947</v>
      </c>
      <c r="U1031" s="35" t="s">
        <v>483</v>
      </c>
      <c r="V1031" s="102" t="s">
        <v>268</v>
      </c>
      <c r="W1031" s="267">
        <f>IFERROR(Table6[[#This Row],[Breakdown Time]]*Table6[[#This Row],[Plant Equivalent Weightage]],"")</f>
        <v>5.769230769230747E-3</v>
      </c>
      <c r="X1031" s="262" t="s">
        <v>269</v>
      </c>
      <c r="Y1031" s="263" t="s">
        <v>121</v>
      </c>
      <c r="Z1031" s="102">
        <v>39912.239999999998</v>
      </c>
      <c r="AA1031" s="257">
        <f>(Table6[[#This Row],[Paired WTG Generation for loss calculation]]/24)*Table6[[#This Row],[Breakdown Time]]</f>
        <v>249.4514999999991</v>
      </c>
      <c r="AB1031" s="102"/>
      <c r="AC1031" s="35"/>
      <c r="AD1031" s="35"/>
    </row>
    <row r="1032" spans="1:30">
      <c r="A1032" s="102">
        <f t="shared" si="16"/>
        <v>1031</v>
      </c>
      <c r="B1032" s="257">
        <f>YEAR(Table6[[#This Row],[Date]])+IF(MONTH(Table6[[#This Row],[Date]])&gt;=4,1,0)</f>
        <v>2026</v>
      </c>
      <c r="C1032" s="102">
        <f>YEAR(Table6[[#This Row],[Date]])</f>
        <v>2025</v>
      </c>
      <c r="D1032" s="102" t="s">
        <v>265</v>
      </c>
      <c r="E1032" s="258">
        <f>Table6[[#This Row],[Date]]-DAY(Table6[[#This Row],[Date]])+1</f>
        <v>45809</v>
      </c>
      <c r="F1032" s="259">
        <v>45811</v>
      </c>
      <c r="G1032" s="35" t="s">
        <v>118</v>
      </c>
      <c r="H1032" s="35" t="str">
        <f>IFERROR(_xlfn.XLOOKUP(Table6[[#This Row],[Affected WTG]],'Basic Data'!$A:$A,'Basic Data'!$B:$B),"")</f>
        <v>TQGXIIPL</v>
      </c>
      <c r="I1032" s="35" t="str">
        <f>IFERROR(_xlfn.XLOOKUP(Table6[[#This Row],[Affected WTG]],'Basic Data'!$A:$A,'Basic Data'!$C:$C),"")</f>
        <v>GEDA</v>
      </c>
      <c r="J1032" s="260">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266</v>
      </c>
      <c r="N1032" s="264"/>
      <c r="O1032" s="265">
        <v>0.54652777777777783</v>
      </c>
      <c r="P1032" s="265">
        <v>0.54652777777777783</v>
      </c>
      <c r="Q1032" s="266">
        <v>0.54791666666666672</v>
      </c>
      <c r="R1032" s="261">
        <f>IF(Table6[[#This Row],[Work Start TimeStamp]]="","",(Table6[[#This Row],[Work Start TimeStamp]]-Table6[[#This Row],[Fault Start TimeStamp]])*24)</f>
        <v>0</v>
      </c>
      <c r="S1032" s="261">
        <f>(Table6[[#This Row],[Fault Clearance time]]-Table6[[#This Row],[Work Start TimeStamp]])*24</f>
        <v>3.3333333333333215E-2</v>
      </c>
      <c r="T1032" s="261">
        <f>(Table6[[#This Row],[Fault Clearance time]]-Table6[[#This Row],[Fault Start TimeStamp]])*24</f>
        <v>3.3333333333333215E-2</v>
      </c>
      <c r="U1032" s="35" t="s">
        <v>496</v>
      </c>
      <c r="V1032" s="102" t="s">
        <v>268</v>
      </c>
      <c r="W1032" s="267">
        <f>IFERROR(Table6[[#This Row],[Breakdown Time]]*Table6[[#This Row],[Plant Equivalent Weightage]],"")</f>
        <v>1.2820512820512771E-3</v>
      </c>
      <c r="X1032" s="262" t="s">
        <v>269</v>
      </c>
      <c r="Y1032" s="263" t="s">
        <v>121</v>
      </c>
      <c r="Z1032" s="102">
        <v>39912.239999999998</v>
      </c>
      <c r="AA1032" s="257">
        <f>(Table6[[#This Row],[Paired WTG Generation for loss calculation]]/24)*Table6[[#This Row],[Breakdown Time]]</f>
        <v>55.433666666666468</v>
      </c>
      <c r="AB1032" s="102"/>
      <c r="AC1032" s="35"/>
      <c r="AD1032" s="35"/>
    </row>
    <row r="1033" spans="1:30">
      <c r="A1033" s="102">
        <f t="shared" si="16"/>
        <v>1032</v>
      </c>
      <c r="B1033" s="257">
        <f>YEAR(Table6[[#This Row],[Date]])+IF(MONTH(Table6[[#This Row],[Date]])&gt;=4,1,0)</f>
        <v>2026</v>
      </c>
      <c r="C1033" s="102">
        <f>YEAR(Table6[[#This Row],[Date]])</f>
        <v>2025</v>
      </c>
      <c r="D1033" s="102" t="s">
        <v>265</v>
      </c>
      <c r="E1033" s="258">
        <f>Table6[[#This Row],[Date]]-DAY(Table6[[#This Row],[Date]])+1</f>
        <v>45809</v>
      </c>
      <c r="F1033" s="259">
        <v>45811</v>
      </c>
      <c r="G1033" s="35" t="s">
        <v>118</v>
      </c>
      <c r="H1033" s="35" t="str">
        <f>IFERROR(_xlfn.XLOOKUP(Table6[[#This Row],[Affected WTG]],'Basic Data'!$A:$A,'Basic Data'!$B:$B),"")</f>
        <v>TQGXIIPL</v>
      </c>
      <c r="I1033" s="35" t="str">
        <f>IFERROR(_xlfn.XLOOKUP(Table6[[#This Row],[Affected WTG]],'Basic Data'!$A:$A,'Basic Data'!$C:$C),"")</f>
        <v>GEDA</v>
      </c>
      <c r="J1033" s="260">
        <f>IFERROR(_xlfn.XLOOKUP(Table6[[#This Row],[Affected WTG]],'Basic Data'!$A:$A,'Basic Data'!$E:$E),"")</f>
        <v>3.846153846153845E-2</v>
      </c>
      <c r="K1033" s="102">
        <v>6130</v>
      </c>
      <c r="L1033" s="35" t="str">
        <f>IFERROR(_xlfn.XLOOKUP(Table6[[#This Row],[Error Code]],'Basic Data'!$AA:$AA,'Basic Data'!$AB:$AB),"Incorrect Error Code")</f>
        <v>Yaw speed high</v>
      </c>
      <c r="M1033" s="35" t="s">
        <v>278</v>
      </c>
      <c r="N1033" s="264"/>
      <c r="O1033" s="265">
        <v>0.625</v>
      </c>
      <c r="P1033" s="265">
        <v>0.625</v>
      </c>
      <c r="Q1033" s="266">
        <v>0.62916666666666665</v>
      </c>
      <c r="R1033" s="261">
        <f>IF(Table6[[#This Row],[Work Start TimeStamp]]="","",(Table6[[#This Row],[Work Start TimeStamp]]-Table6[[#This Row],[Fault Start TimeStamp]])*24)</f>
        <v>0</v>
      </c>
      <c r="S1033" s="261">
        <f>(Table6[[#This Row],[Fault Clearance time]]-Table6[[#This Row],[Work Start TimeStamp]])*24</f>
        <v>9.9999999999999645E-2</v>
      </c>
      <c r="T1033" s="261">
        <f>(Table6[[#This Row],[Fault Clearance time]]-Table6[[#This Row],[Fault Start TimeStamp]])*24</f>
        <v>9.9999999999999645E-2</v>
      </c>
      <c r="U1033" s="35" t="s">
        <v>277</v>
      </c>
      <c r="V1033" s="102" t="s">
        <v>268</v>
      </c>
      <c r="W1033" s="267">
        <f>IFERROR(Table6[[#This Row],[Breakdown Time]]*Table6[[#This Row],[Plant Equivalent Weightage]],"")</f>
        <v>3.8461538461538312E-3</v>
      </c>
      <c r="X1033" s="262" t="s">
        <v>269</v>
      </c>
      <c r="Y1033" s="263" t="s">
        <v>121</v>
      </c>
      <c r="Z1033" s="102">
        <v>39912.239999999998</v>
      </c>
      <c r="AA1033" s="257">
        <f>(Table6[[#This Row],[Paired WTG Generation for loss calculation]]/24)*Table6[[#This Row],[Breakdown Time]]</f>
        <v>166.30099999999942</v>
      </c>
      <c r="AB1033" s="102"/>
      <c r="AC1033" s="35"/>
      <c r="AD1033" s="35"/>
    </row>
    <row r="1034" spans="1:30">
      <c r="A1034" s="102">
        <f t="shared" si="16"/>
        <v>1033</v>
      </c>
      <c r="B1034" s="257">
        <f>YEAR(Table6[[#This Row],[Date]])+IF(MONTH(Table6[[#This Row],[Date]])&gt;=4,1,0)</f>
        <v>2026</v>
      </c>
      <c r="C1034" s="102">
        <f>YEAR(Table6[[#This Row],[Date]])</f>
        <v>2025</v>
      </c>
      <c r="D1034" s="102" t="s">
        <v>265</v>
      </c>
      <c r="E1034" s="258">
        <f>Table6[[#This Row],[Date]]-DAY(Table6[[#This Row],[Date]])+1</f>
        <v>45809</v>
      </c>
      <c r="F1034" s="259">
        <v>45811</v>
      </c>
      <c r="G1034" s="35" t="s">
        <v>119</v>
      </c>
      <c r="H1034" s="35" t="str">
        <f>IFERROR(_xlfn.XLOOKUP(Table6[[#This Row],[Affected WTG]],'Basic Data'!$A:$A,'Basic Data'!$B:$B),"")</f>
        <v>TQGXIIPL</v>
      </c>
      <c r="I1034" s="35" t="str">
        <f>IFERROR(_xlfn.XLOOKUP(Table6[[#This Row],[Affected WTG]],'Basic Data'!$A:$A,'Basic Data'!$C:$C),"")</f>
        <v>GEDA</v>
      </c>
      <c r="J1034" s="260">
        <f>IFERROR(_xlfn.XLOOKUP(Table6[[#This Row],[Affected WTG]],'Basic Data'!$A:$A,'Basic Data'!$E:$E),"")</f>
        <v>3.846153846153845E-2</v>
      </c>
      <c r="K1034" s="102">
        <v>6605</v>
      </c>
      <c r="L1034" s="35" t="str">
        <f>IFERROR(_xlfn.XLOOKUP(Table6[[#This Row],[Error Code]],'Basic Data'!$AA:$AA,'Basic Data'!$AB:$AB),"Incorrect Error Code")</f>
        <v>Wind.dir. diff. level 2</v>
      </c>
      <c r="M1034" s="35" t="s">
        <v>266</v>
      </c>
      <c r="N1034" s="264"/>
      <c r="O1034" s="265">
        <v>0.45833333333333331</v>
      </c>
      <c r="P1034" s="265">
        <v>0.45833333333333331</v>
      </c>
      <c r="Q1034" s="266">
        <v>0.46111111111111108</v>
      </c>
      <c r="R1034" s="261">
        <f>IF(Table6[[#This Row],[Work Start TimeStamp]]="","",(Table6[[#This Row],[Work Start TimeStamp]]-Table6[[#This Row],[Fault Start TimeStamp]])*24)</f>
        <v>0</v>
      </c>
      <c r="S1034" s="261">
        <f>(Table6[[#This Row],[Fault Clearance time]]-Table6[[#This Row],[Work Start TimeStamp]])*24</f>
        <v>6.666666666666643E-2</v>
      </c>
      <c r="T1034" s="261">
        <f>(Table6[[#This Row],[Fault Clearance time]]-Table6[[#This Row],[Fault Start TimeStamp]])*24</f>
        <v>6.666666666666643E-2</v>
      </c>
      <c r="U1034" s="35" t="s">
        <v>483</v>
      </c>
      <c r="V1034" s="102" t="s">
        <v>268</v>
      </c>
      <c r="W1034" s="267">
        <f>IFERROR(Table6[[#This Row],[Breakdown Time]]*Table6[[#This Row],[Plant Equivalent Weightage]],"")</f>
        <v>2.5641025641025541E-3</v>
      </c>
      <c r="X1034" s="262" t="s">
        <v>269</v>
      </c>
      <c r="Y1034" s="263" t="s">
        <v>116</v>
      </c>
      <c r="Z1034" s="102">
        <v>40819.68</v>
      </c>
      <c r="AA1034" s="257">
        <f>(Table6[[#This Row],[Paired WTG Generation for loss calculation]]/24)*Table6[[#This Row],[Breakdown Time]]</f>
        <v>113.38799999999959</v>
      </c>
      <c r="AB1034" s="102"/>
      <c r="AC1034" s="35"/>
      <c r="AD1034" s="35"/>
    </row>
    <row r="1035" spans="1:30">
      <c r="A1035" s="102">
        <f t="shared" si="16"/>
        <v>1034</v>
      </c>
      <c r="B1035" s="257">
        <f>YEAR(Table6[[#This Row],[Date]])+IF(MONTH(Table6[[#This Row],[Date]])&gt;=4,1,0)</f>
        <v>2026</v>
      </c>
      <c r="C1035" s="102">
        <f>YEAR(Table6[[#This Row],[Date]])</f>
        <v>2025</v>
      </c>
      <c r="D1035" s="102" t="s">
        <v>265</v>
      </c>
      <c r="E1035" s="258">
        <f>Table6[[#This Row],[Date]]-DAY(Table6[[#This Row],[Date]])+1</f>
        <v>45809</v>
      </c>
      <c r="F1035" s="259">
        <v>45811</v>
      </c>
      <c r="G1035" s="35" t="s">
        <v>119</v>
      </c>
      <c r="H1035" s="35" t="str">
        <f>IFERROR(_xlfn.XLOOKUP(Table6[[#This Row],[Affected WTG]],'Basic Data'!$A:$A,'Basic Data'!$B:$B),"")</f>
        <v>TQGXIIPL</v>
      </c>
      <c r="I1035" s="35" t="str">
        <f>IFERROR(_xlfn.XLOOKUP(Table6[[#This Row],[Affected WTG]],'Basic Data'!$A:$A,'Basic Data'!$C:$C),"")</f>
        <v>GEDA</v>
      </c>
      <c r="J1035" s="260">
        <f>IFERROR(_xlfn.XLOOKUP(Table6[[#This Row],[Affected WTG]],'Basic Data'!$A:$A,'Basic Data'!$E:$E),"")</f>
        <v>3.846153846153845E-2</v>
      </c>
      <c r="K1035" s="102">
        <v>6605</v>
      </c>
      <c r="L1035" s="35" t="str">
        <f>IFERROR(_xlfn.XLOOKUP(Table6[[#This Row],[Error Code]],'Basic Data'!$AA:$AA,'Basic Data'!$AB:$AB),"Incorrect Error Code")</f>
        <v>Wind.dir. diff. level 2</v>
      </c>
      <c r="M1035" s="35" t="s">
        <v>266</v>
      </c>
      <c r="N1035" s="264"/>
      <c r="O1035" s="265">
        <v>0.64236111111111116</v>
      </c>
      <c r="P1035" s="265">
        <v>0.64236111111111116</v>
      </c>
      <c r="Q1035" s="266">
        <v>0.64375000000000004</v>
      </c>
      <c r="R1035" s="261">
        <f>IF(Table6[[#This Row],[Work Start TimeStamp]]="","",(Table6[[#This Row],[Work Start TimeStamp]]-Table6[[#This Row],[Fault Start TimeStamp]])*24)</f>
        <v>0</v>
      </c>
      <c r="S1035" s="261">
        <f>(Table6[[#This Row],[Fault Clearance time]]-Table6[[#This Row],[Work Start TimeStamp]])*24</f>
        <v>3.3333333333333215E-2</v>
      </c>
      <c r="T1035" s="261">
        <f>(Table6[[#This Row],[Fault Clearance time]]-Table6[[#This Row],[Fault Start TimeStamp]])*24</f>
        <v>3.3333333333333215E-2</v>
      </c>
      <c r="U1035" s="35" t="s">
        <v>483</v>
      </c>
      <c r="V1035" s="102" t="s">
        <v>268</v>
      </c>
      <c r="W1035" s="267">
        <f>IFERROR(Table6[[#This Row],[Breakdown Time]]*Table6[[#This Row],[Plant Equivalent Weightage]],"")</f>
        <v>1.2820512820512771E-3</v>
      </c>
      <c r="X1035" s="262" t="s">
        <v>269</v>
      </c>
      <c r="Y1035" s="263" t="s">
        <v>116</v>
      </c>
      <c r="Z1035" s="102">
        <v>40819.68</v>
      </c>
      <c r="AA1035" s="257">
        <f>(Table6[[#This Row],[Paired WTG Generation for loss calculation]]/24)*Table6[[#This Row],[Breakdown Time]]</f>
        <v>56.693999999999797</v>
      </c>
      <c r="AB1035" s="102"/>
      <c r="AC1035" s="35"/>
      <c r="AD1035" s="35"/>
    </row>
    <row r="1036" spans="1:30">
      <c r="A1036" s="102">
        <f t="shared" si="16"/>
        <v>1035</v>
      </c>
      <c r="B1036" s="257">
        <f>YEAR(Table6[[#This Row],[Date]])+IF(MONTH(Table6[[#This Row],[Date]])&gt;=4,1,0)</f>
        <v>2026</v>
      </c>
      <c r="C1036" s="102">
        <f>YEAR(Table6[[#This Row],[Date]])</f>
        <v>2025</v>
      </c>
      <c r="D1036" s="102" t="s">
        <v>265</v>
      </c>
      <c r="E1036" s="258">
        <f>Table6[[#This Row],[Date]]-DAY(Table6[[#This Row],[Date]])+1</f>
        <v>45809</v>
      </c>
      <c r="F1036" s="259">
        <v>45811</v>
      </c>
      <c r="G1036" s="35" t="s">
        <v>119</v>
      </c>
      <c r="H1036" s="35" t="str">
        <f>IFERROR(_xlfn.XLOOKUP(Table6[[#This Row],[Affected WTG]],'Basic Data'!$A:$A,'Basic Data'!$B:$B),"")</f>
        <v>TQGXIIPL</v>
      </c>
      <c r="I1036" s="35" t="str">
        <f>IFERROR(_xlfn.XLOOKUP(Table6[[#This Row],[Affected WTG]],'Basic Data'!$A:$A,'Basic Data'!$C:$C),"")</f>
        <v>GEDA</v>
      </c>
      <c r="J1036" s="260">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266</v>
      </c>
      <c r="N1036" s="264"/>
      <c r="O1036" s="265">
        <v>0.71527777777777779</v>
      </c>
      <c r="P1036" s="265">
        <v>0.71875</v>
      </c>
      <c r="Q1036" s="266">
        <v>0.77083333333333337</v>
      </c>
      <c r="R1036" s="261">
        <f>IF(Table6[[#This Row],[Work Start TimeStamp]]="","",(Table6[[#This Row],[Work Start TimeStamp]]-Table6[[#This Row],[Fault Start TimeStamp]])*24)</f>
        <v>8.3333333333333037E-2</v>
      </c>
      <c r="S1036" s="261">
        <f>(Table6[[#This Row],[Fault Clearance time]]-Table6[[#This Row],[Work Start TimeStamp]])*24</f>
        <v>1.2500000000000009</v>
      </c>
      <c r="T1036" s="261">
        <f>(Table6[[#This Row],[Fault Clearance time]]-Table6[[#This Row],[Fault Start TimeStamp]])*24</f>
        <v>1.3333333333333339</v>
      </c>
      <c r="U1036" s="35" t="s">
        <v>497</v>
      </c>
      <c r="V1036" s="102" t="s">
        <v>268</v>
      </c>
      <c r="W1036" s="267">
        <f>IFERROR(Table6[[#This Row],[Breakdown Time]]*Table6[[#This Row],[Plant Equivalent Weightage]],"")</f>
        <v>5.1282051282051287E-2</v>
      </c>
      <c r="X1036" s="262" t="s">
        <v>296</v>
      </c>
      <c r="Y1036" s="263" t="s">
        <v>116</v>
      </c>
      <c r="Z1036" s="102">
        <v>40819.68</v>
      </c>
      <c r="AA1036" s="257">
        <f>(Table6[[#This Row],[Paired WTG Generation for loss calculation]]/24)*Table6[[#This Row],[Breakdown Time]]</f>
        <v>2267.7600000000011</v>
      </c>
      <c r="AB1036" s="102"/>
      <c r="AC1036" s="35"/>
      <c r="AD1036" s="35"/>
    </row>
    <row r="1037" spans="1:30">
      <c r="A1037" s="102">
        <f t="shared" si="16"/>
        <v>1036</v>
      </c>
      <c r="B1037" s="257">
        <f>YEAR(Table6[[#This Row],[Date]])+IF(MONTH(Table6[[#This Row],[Date]])&gt;=4,1,0)</f>
        <v>2026</v>
      </c>
      <c r="C1037" s="102">
        <f>YEAR(Table6[[#This Row],[Date]])</f>
        <v>2025</v>
      </c>
      <c r="D1037" s="102" t="s">
        <v>265</v>
      </c>
      <c r="E1037" s="258">
        <f>Table6[[#This Row],[Date]]-DAY(Table6[[#This Row],[Date]])+1</f>
        <v>45809</v>
      </c>
      <c r="F1037" s="259">
        <v>45811</v>
      </c>
      <c r="G1037" s="35" t="s">
        <v>120</v>
      </c>
      <c r="H1037" s="35" t="str">
        <f>IFERROR(_xlfn.XLOOKUP(Table6[[#This Row],[Affected WTG]],'Basic Data'!$A:$A,'Basic Data'!$B:$B),"")</f>
        <v>TQGXIIPL</v>
      </c>
      <c r="I1037" s="35" t="str">
        <f>IFERROR(_xlfn.XLOOKUP(Table6[[#This Row],[Affected WTG]],'Basic Data'!$A:$A,'Basic Data'!$C:$C),"")</f>
        <v>GEDA</v>
      </c>
      <c r="J1037" s="260">
        <f>IFERROR(_xlfn.XLOOKUP(Table6[[#This Row],[Affected WTG]],'Basic Data'!$A:$A,'Basic Data'!$E:$E),"")</f>
        <v>3.846153846153845E-2</v>
      </c>
      <c r="K1037" s="102">
        <v>4970</v>
      </c>
      <c r="L1037" s="35" t="str">
        <f>IFERROR(_xlfn.XLOOKUP(Table6[[#This Row],[Error Code]],'Basic Data'!$AA:$AA,'Basic Data'!$AB:$AB),"Incorrect Error Code")</f>
        <v>Tower oscillation XF</v>
      </c>
      <c r="M1037" s="35" t="s">
        <v>278</v>
      </c>
      <c r="N1037" s="264"/>
      <c r="O1037" s="265">
        <v>0.59722222222222221</v>
      </c>
      <c r="P1037" s="265">
        <v>0.59722222222222221</v>
      </c>
      <c r="Q1037" s="266">
        <v>0.60833333333333339</v>
      </c>
      <c r="R1037" s="261">
        <f>IF(Table6[[#This Row],[Work Start TimeStamp]]="","",(Table6[[#This Row],[Work Start TimeStamp]]-Table6[[#This Row],[Fault Start TimeStamp]])*24)</f>
        <v>0</v>
      </c>
      <c r="S1037" s="261">
        <f>(Table6[[#This Row],[Fault Clearance time]]-Table6[[#This Row],[Work Start TimeStamp]])*24</f>
        <v>0.26666666666666838</v>
      </c>
      <c r="T1037" s="261">
        <f>(Table6[[#This Row],[Fault Clearance time]]-Table6[[#This Row],[Fault Start TimeStamp]])*24</f>
        <v>0.26666666666666838</v>
      </c>
      <c r="U1037" s="35" t="s">
        <v>277</v>
      </c>
      <c r="V1037" s="102" t="s">
        <v>268</v>
      </c>
      <c r="W1037" s="267">
        <f>IFERROR(Table6[[#This Row],[Breakdown Time]]*Table6[[#This Row],[Plant Equivalent Weightage]],"")</f>
        <v>1.0256410256410319E-2</v>
      </c>
      <c r="X1037" s="262" t="s">
        <v>269</v>
      </c>
      <c r="Y1037" s="263" t="s">
        <v>135</v>
      </c>
      <c r="Z1037" s="102">
        <v>43956.24</v>
      </c>
      <c r="AA1037" s="257">
        <f>(Table6[[#This Row],[Paired WTG Generation for loss calculation]]/24)*Table6[[#This Row],[Breakdown Time]]</f>
        <v>488.4026666666698</v>
      </c>
      <c r="AB1037" s="102"/>
      <c r="AC1037" s="35"/>
      <c r="AD1037" s="35"/>
    </row>
    <row r="1038" spans="1:30">
      <c r="A1038" s="102">
        <f t="shared" ref="A1038:A1101" si="17">A1037+1</f>
        <v>1037</v>
      </c>
      <c r="B1038" s="257">
        <f>YEAR(Table6[[#This Row],[Date]])+IF(MONTH(Table6[[#This Row],[Date]])&gt;=4,1,0)</f>
        <v>2026</v>
      </c>
      <c r="C1038" s="102">
        <f>YEAR(Table6[[#This Row],[Date]])</f>
        <v>2025</v>
      </c>
      <c r="D1038" s="102" t="s">
        <v>265</v>
      </c>
      <c r="E1038" s="258">
        <f>Table6[[#This Row],[Date]]-DAY(Table6[[#This Row],[Date]])+1</f>
        <v>45809</v>
      </c>
      <c r="F1038" s="259">
        <v>45811</v>
      </c>
      <c r="G1038" s="35" t="s">
        <v>124</v>
      </c>
      <c r="H1038" s="35" t="str">
        <f>IFERROR(_xlfn.XLOOKUP(Table6[[#This Row],[Affected WTG]],'Basic Data'!$A:$A,'Basic Data'!$B:$B),"")</f>
        <v>TQGXIIPL</v>
      </c>
      <c r="I1038" s="35" t="str">
        <f>IFERROR(_xlfn.XLOOKUP(Table6[[#This Row],[Affected WTG]],'Basic Data'!$A:$A,'Basic Data'!$C:$C),"")</f>
        <v>GEDA</v>
      </c>
      <c r="J1038" s="260">
        <f>IFERROR(_xlfn.XLOOKUP(Table6[[#This Row],[Affected WTG]],'Basic Data'!$A:$A,'Basic Data'!$E:$E),"")</f>
        <v>3.846153846153845E-2</v>
      </c>
      <c r="K1038" s="102">
        <v>6130</v>
      </c>
      <c r="L1038" s="35" t="str">
        <f>IFERROR(_xlfn.XLOOKUP(Table6[[#This Row],[Error Code]],'Basic Data'!$AA:$AA,'Basic Data'!$AB:$AB),"Incorrect Error Code")</f>
        <v>Yaw speed high</v>
      </c>
      <c r="M1038" s="35" t="s">
        <v>278</v>
      </c>
      <c r="N1038" s="264"/>
      <c r="O1038" s="265">
        <v>0.44652777777777775</v>
      </c>
      <c r="P1038" s="265">
        <v>0.44652777777777775</v>
      </c>
      <c r="Q1038" s="266">
        <v>0.45069444444444445</v>
      </c>
      <c r="R1038" s="261">
        <f>IF(Table6[[#This Row],[Work Start TimeStamp]]="","",(Table6[[#This Row],[Work Start TimeStamp]]-Table6[[#This Row],[Fault Start TimeStamp]])*24)</f>
        <v>0</v>
      </c>
      <c r="S1038" s="261">
        <f>(Table6[[#This Row],[Fault Clearance time]]-Table6[[#This Row],[Work Start TimeStamp]])*24</f>
        <v>0.10000000000000098</v>
      </c>
      <c r="T1038" s="261">
        <f>(Table6[[#This Row],[Fault Clearance time]]-Table6[[#This Row],[Fault Start TimeStamp]])*24</f>
        <v>0.10000000000000098</v>
      </c>
      <c r="U1038" s="35" t="s">
        <v>277</v>
      </c>
      <c r="V1038" s="102" t="s">
        <v>268</v>
      </c>
      <c r="W1038" s="267">
        <f>IFERROR(Table6[[#This Row],[Breakdown Time]]*Table6[[#This Row],[Plant Equivalent Weightage]],"")</f>
        <v>3.8461538461538824E-3</v>
      </c>
      <c r="X1038" s="262" t="s">
        <v>269</v>
      </c>
      <c r="Y1038" s="263" t="s">
        <v>129</v>
      </c>
      <c r="Z1038" s="102">
        <v>40892.639999999999</v>
      </c>
      <c r="AA1038" s="257">
        <f>(Table6[[#This Row],[Paired WTG Generation for loss calculation]]/24)*Table6[[#This Row],[Breakdown Time]]</f>
        <v>170.38600000000164</v>
      </c>
      <c r="AB1038" s="102"/>
      <c r="AC1038" s="35"/>
      <c r="AD1038" s="35"/>
    </row>
    <row r="1039" spans="1:30">
      <c r="A1039" s="102">
        <f t="shared" si="17"/>
        <v>1038</v>
      </c>
      <c r="B1039" s="257">
        <f>YEAR(Table6[[#This Row],[Date]])+IF(MONTH(Table6[[#This Row],[Date]])&gt;=4,1,0)</f>
        <v>2026</v>
      </c>
      <c r="C1039" s="102">
        <f>YEAR(Table6[[#This Row],[Date]])</f>
        <v>2025</v>
      </c>
      <c r="D1039" s="102" t="s">
        <v>265</v>
      </c>
      <c r="E1039" s="258">
        <f>Table6[[#This Row],[Date]]-DAY(Table6[[#This Row],[Date]])+1</f>
        <v>45809</v>
      </c>
      <c r="F1039" s="259">
        <v>45811</v>
      </c>
      <c r="G1039" s="35" t="s">
        <v>125</v>
      </c>
      <c r="H1039" s="35" t="str">
        <f>IFERROR(_xlfn.XLOOKUP(Table6[[#This Row],[Affected WTG]],'Basic Data'!$A:$A,'Basic Data'!$B:$B),"")</f>
        <v>TQGXIIPL</v>
      </c>
      <c r="I1039" s="35" t="str">
        <f>IFERROR(_xlfn.XLOOKUP(Table6[[#This Row],[Affected WTG]],'Basic Data'!$A:$A,'Basic Data'!$C:$C),"")</f>
        <v>GEDA</v>
      </c>
      <c r="J1039" s="260">
        <f>IFERROR(_xlfn.XLOOKUP(Table6[[#This Row],[Affected WTG]],'Basic Data'!$A:$A,'Basic Data'!$E:$E),"")</f>
        <v>3.846153846153845E-2</v>
      </c>
      <c r="K1039" s="102">
        <v>4970</v>
      </c>
      <c r="L1039" s="35" t="str">
        <f>IFERROR(_xlfn.XLOOKUP(Table6[[#This Row],[Error Code]],'Basic Data'!$AA:$AA,'Basic Data'!$AB:$AB),"Incorrect Error Code")</f>
        <v>Tower oscillation XF</v>
      </c>
      <c r="M1039" s="35" t="s">
        <v>278</v>
      </c>
      <c r="N1039" s="264"/>
      <c r="O1039" s="265">
        <v>0.53194444444444444</v>
      </c>
      <c r="P1039" s="265">
        <v>0.53194444444444444</v>
      </c>
      <c r="Q1039" s="266">
        <v>0.54305555555555562</v>
      </c>
      <c r="R1039" s="261">
        <f>IF(Table6[[#This Row],[Work Start TimeStamp]]="","",(Table6[[#This Row],[Work Start TimeStamp]]-Table6[[#This Row],[Fault Start TimeStamp]])*24)</f>
        <v>0</v>
      </c>
      <c r="S1039" s="261">
        <f>(Table6[[#This Row],[Fault Clearance time]]-Table6[[#This Row],[Work Start TimeStamp]])*24</f>
        <v>0.26666666666666838</v>
      </c>
      <c r="T1039" s="261">
        <f>(Table6[[#This Row],[Fault Clearance time]]-Table6[[#This Row],[Fault Start TimeStamp]])*24</f>
        <v>0.26666666666666838</v>
      </c>
      <c r="U1039" s="35" t="s">
        <v>277</v>
      </c>
      <c r="V1039" s="102" t="s">
        <v>268</v>
      </c>
      <c r="W1039" s="267">
        <f>IFERROR(Table6[[#This Row],[Breakdown Time]]*Table6[[#This Row],[Plant Equivalent Weightage]],"")</f>
        <v>1.0256410256410319E-2</v>
      </c>
      <c r="X1039" s="262" t="s">
        <v>269</v>
      </c>
      <c r="Y1039" s="263" t="s">
        <v>126</v>
      </c>
      <c r="Z1039" s="102">
        <v>40312.800000000003</v>
      </c>
      <c r="AA1039" s="257">
        <f>(Table6[[#This Row],[Paired WTG Generation for loss calculation]]/24)*Table6[[#This Row],[Breakdown Time]]</f>
        <v>447.92000000000291</v>
      </c>
      <c r="AB1039" s="102"/>
      <c r="AC1039" s="35"/>
      <c r="AD1039" s="35"/>
    </row>
    <row r="1040" spans="1:30">
      <c r="A1040" s="102">
        <f t="shared" si="17"/>
        <v>1039</v>
      </c>
      <c r="B1040" s="257">
        <f>YEAR(Table6[[#This Row],[Date]])+IF(MONTH(Table6[[#This Row],[Date]])&gt;=4,1,0)</f>
        <v>2026</v>
      </c>
      <c r="C1040" s="102">
        <f>YEAR(Table6[[#This Row],[Date]])</f>
        <v>2025</v>
      </c>
      <c r="D1040" s="102" t="s">
        <v>265</v>
      </c>
      <c r="E1040" s="258">
        <f>Table6[[#This Row],[Date]]-DAY(Table6[[#This Row],[Date]])+1</f>
        <v>45809</v>
      </c>
      <c r="F1040" s="259">
        <v>45811</v>
      </c>
      <c r="G1040" s="35" t="s">
        <v>129</v>
      </c>
      <c r="H1040" s="35" t="str">
        <f>IFERROR(_xlfn.XLOOKUP(Table6[[#This Row],[Affected WTG]],'Basic Data'!$A:$A,'Basic Data'!$B:$B),"")</f>
        <v>TQGXIIPL</v>
      </c>
      <c r="I1040" s="35" t="str">
        <f>IFERROR(_xlfn.XLOOKUP(Table6[[#This Row],[Affected WTG]],'Basic Data'!$A:$A,'Basic Data'!$C:$C),"")</f>
        <v>GEDA</v>
      </c>
      <c r="J1040" s="260">
        <f>IFERROR(_xlfn.XLOOKUP(Table6[[#This Row],[Affected WTG]],'Basic Data'!$A:$A,'Basic Data'!$E:$E),"")</f>
        <v>3.846153846153845E-2</v>
      </c>
      <c r="K1040" s="102">
        <v>4970</v>
      </c>
      <c r="L1040" s="35" t="str">
        <f>IFERROR(_xlfn.XLOOKUP(Table6[[#This Row],[Error Code]],'Basic Data'!$AA:$AA,'Basic Data'!$AB:$AB),"Incorrect Error Code")</f>
        <v>Tower oscillation XF</v>
      </c>
      <c r="M1040" s="35" t="s">
        <v>278</v>
      </c>
      <c r="N1040" s="264"/>
      <c r="O1040" s="265">
        <v>0.63541666666666674</v>
      </c>
      <c r="P1040" s="265">
        <v>0.63541666666666674</v>
      </c>
      <c r="Q1040" s="266">
        <v>0.64652777777777781</v>
      </c>
      <c r="R1040" s="261">
        <f>IF(Table6[[#This Row],[Work Start TimeStamp]]="","",(Table6[[#This Row],[Work Start TimeStamp]]-Table6[[#This Row],[Fault Start TimeStamp]])*24)</f>
        <v>0</v>
      </c>
      <c r="S1040" s="261">
        <f>(Table6[[#This Row],[Fault Clearance time]]-Table6[[#This Row],[Work Start TimeStamp]])*24</f>
        <v>0.26666666666666572</v>
      </c>
      <c r="T1040" s="261">
        <f>(Table6[[#This Row],[Fault Clearance time]]-Table6[[#This Row],[Fault Start TimeStamp]])*24</f>
        <v>0.26666666666666572</v>
      </c>
      <c r="U1040" s="35" t="s">
        <v>277</v>
      </c>
      <c r="V1040" s="102" t="s">
        <v>268</v>
      </c>
      <c r="W1040" s="267">
        <f>IFERROR(Table6[[#This Row],[Breakdown Time]]*Table6[[#This Row],[Plant Equivalent Weightage]],"")</f>
        <v>1.0256410256410217E-2</v>
      </c>
      <c r="X1040" s="262" t="s">
        <v>269</v>
      </c>
      <c r="Y1040" s="263" t="s">
        <v>124</v>
      </c>
      <c r="Z1040" s="102">
        <v>40083.360000000001</v>
      </c>
      <c r="AA1040" s="257">
        <f>(Table6[[#This Row],[Paired WTG Generation for loss calculation]]/24)*Table6[[#This Row],[Breakdown Time]]</f>
        <v>445.3706666666651</v>
      </c>
      <c r="AB1040" s="102"/>
      <c r="AC1040" s="35"/>
      <c r="AD1040" s="35"/>
    </row>
    <row r="1041" spans="1:30">
      <c r="A1041" s="102">
        <f t="shared" si="17"/>
        <v>1040</v>
      </c>
      <c r="B1041" s="257">
        <f>YEAR(Table6[[#This Row],[Date]])+IF(MONTH(Table6[[#This Row],[Date]])&gt;=4,1,0)</f>
        <v>2026</v>
      </c>
      <c r="C1041" s="102">
        <f>YEAR(Table6[[#This Row],[Date]])</f>
        <v>2025</v>
      </c>
      <c r="D1041" s="102" t="s">
        <v>265</v>
      </c>
      <c r="E1041" s="258">
        <f>Table6[[#This Row],[Date]]-DAY(Table6[[#This Row],[Date]])+1</f>
        <v>45809</v>
      </c>
      <c r="F1041" s="259">
        <v>45811</v>
      </c>
      <c r="G1041" s="35" t="s">
        <v>131</v>
      </c>
      <c r="H1041" s="35" t="str">
        <f>IFERROR(_xlfn.XLOOKUP(Table6[[#This Row],[Affected WTG]],'Basic Data'!$A:$A,'Basic Data'!$B:$B),"")</f>
        <v>TQGXIIPL</v>
      </c>
      <c r="I1041" s="35" t="str">
        <f>IFERROR(_xlfn.XLOOKUP(Table6[[#This Row],[Affected WTG]],'Basic Data'!$A:$A,'Basic Data'!$C:$C),"")</f>
        <v>GEDA</v>
      </c>
      <c r="J1041" s="260">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266</v>
      </c>
      <c r="N1041" s="264"/>
      <c r="O1041" s="265">
        <v>0.71944444444444444</v>
      </c>
      <c r="P1041" s="265">
        <v>0.71944444444444444</v>
      </c>
      <c r="Q1041" s="266">
        <v>0.74513888888888891</v>
      </c>
      <c r="R1041" s="261">
        <f>IF(Table6[[#This Row],[Work Start TimeStamp]]="","",(Table6[[#This Row],[Work Start TimeStamp]]-Table6[[#This Row],[Fault Start TimeStamp]])*24)</f>
        <v>0</v>
      </c>
      <c r="S1041" s="261">
        <f>(Table6[[#This Row],[Fault Clearance time]]-Table6[[#This Row],[Work Start TimeStamp]])*24</f>
        <v>0.61666666666666714</v>
      </c>
      <c r="T1041" s="261">
        <f>(Table6[[#This Row],[Fault Clearance time]]-Table6[[#This Row],[Fault Start TimeStamp]])*24</f>
        <v>0.61666666666666714</v>
      </c>
      <c r="U1041" s="35" t="s">
        <v>491</v>
      </c>
      <c r="V1041" s="102" t="s">
        <v>268</v>
      </c>
      <c r="W1041" s="267">
        <f>IFERROR(Table6[[#This Row],[Breakdown Time]]*Table6[[#This Row],[Plant Equivalent Weightage]],"")</f>
        <v>2.3717948717948727E-2</v>
      </c>
      <c r="X1041" s="262" t="s">
        <v>269</v>
      </c>
      <c r="Y1041" s="263" t="s">
        <v>136</v>
      </c>
      <c r="Z1041" s="102">
        <v>47631.360000000001</v>
      </c>
      <c r="AA1041" s="257">
        <f>(Table6[[#This Row],[Paired WTG Generation for loss calculation]]/24)*Table6[[#This Row],[Breakdown Time]]</f>
        <v>1223.8613333333344</v>
      </c>
      <c r="AB1041" s="102"/>
      <c r="AC1041" s="35"/>
      <c r="AD1041" s="35"/>
    </row>
    <row r="1042" spans="1:30">
      <c r="A1042" s="102">
        <f t="shared" si="17"/>
        <v>1041</v>
      </c>
      <c r="B1042" s="257">
        <f>YEAR(Table6[[#This Row],[Date]])+IF(MONTH(Table6[[#This Row],[Date]])&gt;=4,1,0)</f>
        <v>2026</v>
      </c>
      <c r="C1042" s="102">
        <f>YEAR(Table6[[#This Row],[Date]])</f>
        <v>2025</v>
      </c>
      <c r="D1042" s="102" t="s">
        <v>265</v>
      </c>
      <c r="E1042" s="258">
        <f>Table6[[#This Row],[Date]]-DAY(Table6[[#This Row],[Date]])+1</f>
        <v>45809</v>
      </c>
      <c r="F1042" s="259">
        <v>45811</v>
      </c>
      <c r="G1042" s="35" t="s">
        <v>133</v>
      </c>
      <c r="H1042" s="35" t="str">
        <f>IFERROR(_xlfn.XLOOKUP(Table6[[#This Row],[Affected WTG]],'Basic Data'!$A:$A,'Basic Data'!$B:$B),"")</f>
        <v>TQGXIIPL</v>
      </c>
      <c r="I1042" s="35" t="str">
        <f>IFERROR(_xlfn.XLOOKUP(Table6[[#This Row],[Affected WTG]],'Basic Data'!$A:$A,'Basic Data'!$C:$C),"")</f>
        <v>GEDA</v>
      </c>
      <c r="J1042" s="260">
        <f>IFERROR(_xlfn.XLOOKUP(Table6[[#This Row],[Affected WTG]],'Basic Data'!$A:$A,'Basic Data'!$E:$E),"")</f>
        <v>3.846153846153845E-2</v>
      </c>
      <c r="K1042" s="102">
        <v>6605</v>
      </c>
      <c r="L1042" s="35" t="str">
        <f>IFERROR(_xlfn.XLOOKUP(Table6[[#This Row],[Error Code]],'Basic Data'!$AA:$AA,'Basic Data'!$AB:$AB),"Incorrect Error Code")</f>
        <v>Wind.dir. diff. level 2</v>
      </c>
      <c r="M1042" s="35" t="s">
        <v>266</v>
      </c>
      <c r="N1042" s="264"/>
      <c r="O1042" s="265">
        <v>0.63055555555555565</v>
      </c>
      <c r="P1042" s="265">
        <v>0.63055555555555565</v>
      </c>
      <c r="Q1042" s="266">
        <v>0.63611111111111118</v>
      </c>
      <c r="R1042" s="261">
        <f>IF(Table6[[#This Row],[Work Start TimeStamp]]="","",(Table6[[#This Row],[Work Start TimeStamp]]-Table6[[#This Row],[Fault Start TimeStamp]])*24)</f>
        <v>0</v>
      </c>
      <c r="S1042" s="261">
        <f>(Table6[[#This Row],[Fault Clearance time]]-Table6[[#This Row],[Work Start TimeStamp]])*24</f>
        <v>0.13333333333333286</v>
      </c>
      <c r="T1042" s="261">
        <f>(Table6[[#This Row],[Fault Clearance time]]-Table6[[#This Row],[Fault Start TimeStamp]])*24</f>
        <v>0.13333333333333286</v>
      </c>
      <c r="U1042" s="35" t="s">
        <v>483</v>
      </c>
      <c r="V1042" s="102" t="s">
        <v>268</v>
      </c>
      <c r="W1042" s="267">
        <f>IFERROR(Table6[[#This Row],[Breakdown Time]]*Table6[[#This Row],[Plant Equivalent Weightage]],"")</f>
        <v>5.1282051282051083E-3</v>
      </c>
      <c r="X1042" s="262" t="s">
        <v>269</v>
      </c>
      <c r="Y1042" s="263" t="s">
        <v>121</v>
      </c>
      <c r="Z1042" s="102">
        <v>39912.239999999998</v>
      </c>
      <c r="AA1042" s="257">
        <f>(Table6[[#This Row],[Paired WTG Generation for loss calculation]]/24)*Table6[[#This Row],[Breakdown Time]]</f>
        <v>221.73466666666587</v>
      </c>
      <c r="AB1042" s="102"/>
      <c r="AC1042" s="35"/>
      <c r="AD1042" s="35"/>
    </row>
    <row r="1043" spans="1:30">
      <c r="A1043" s="102">
        <f t="shared" si="17"/>
        <v>1042</v>
      </c>
      <c r="B1043" s="257">
        <f>YEAR(Table6[[#This Row],[Date]])+IF(MONTH(Table6[[#This Row],[Date]])&gt;=4,1,0)</f>
        <v>2026</v>
      </c>
      <c r="C1043" s="102">
        <f>YEAR(Table6[[#This Row],[Date]])</f>
        <v>2025</v>
      </c>
      <c r="D1043" s="102" t="s">
        <v>265</v>
      </c>
      <c r="E1043" s="258">
        <f>Table6[[#This Row],[Date]]-DAY(Table6[[#This Row],[Date]])+1</f>
        <v>45809</v>
      </c>
      <c r="F1043" s="259">
        <v>45811</v>
      </c>
      <c r="G1043" s="35" t="s">
        <v>134</v>
      </c>
      <c r="H1043" s="35" t="str">
        <f>IFERROR(_xlfn.XLOOKUP(Table6[[#This Row],[Affected WTG]],'Basic Data'!$A:$A,'Basic Data'!$B:$B),"")</f>
        <v>TQGXIIPL</v>
      </c>
      <c r="I1043" s="35" t="str">
        <f>IFERROR(_xlfn.XLOOKUP(Table6[[#This Row],[Affected WTG]],'Basic Data'!$A:$A,'Basic Data'!$C:$C),"")</f>
        <v>GEDA</v>
      </c>
      <c r="J1043" s="260">
        <f>IFERROR(_xlfn.XLOOKUP(Table6[[#This Row],[Affected WTG]],'Basic Data'!$A:$A,'Basic Data'!$E:$E),"")</f>
        <v>3.846153846153845E-2</v>
      </c>
      <c r="K1043" s="102">
        <v>6130</v>
      </c>
      <c r="L1043" s="35" t="str">
        <f>IFERROR(_xlfn.XLOOKUP(Table6[[#This Row],[Error Code]],'Basic Data'!$AA:$AA,'Basic Data'!$AB:$AB),"Incorrect Error Code")</f>
        <v>Yaw speed high</v>
      </c>
      <c r="M1043" s="35" t="s">
        <v>278</v>
      </c>
      <c r="N1043" s="264"/>
      <c r="O1043" s="265">
        <v>0.63541666666666674</v>
      </c>
      <c r="P1043" s="265">
        <v>0.63541666666666674</v>
      </c>
      <c r="Q1043" s="266">
        <v>0.63958333333333339</v>
      </c>
      <c r="R1043" s="261">
        <f>IF(Table6[[#This Row],[Work Start TimeStamp]]="","",(Table6[[#This Row],[Work Start TimeStamp]]-Table6[[#This Row],[Fault Start TimeStamp]])*24)</f>
        <v>0</v>
      </c>
      <c r="S1043" s="261">
        <f>(Table6[[#This Row],[Fault Clearance time]]-Table6[[#This Row],[Work Start TimeStamp]])*24</f>
        <v>9.9999999999999645E-2</v>
      </c>
      <c r="T1043" s="261">
        <f>(Table6[[#This Row],[Fault Clearance time]]-Table6[[#This Row],[Fault Start TimeStamp]])*24</f>
        <v>9.9999999999999645E-2</v>
      </c>
      <c r="U1043" s="35" t="s">
        <v>277</v>
      </c>
      <c r="V1043" s="102" t="s">
        <v>268</v>
      </c>
      <c r="W1043" s="267">
        <f>IFERROR(Table6[[#This Row],[Breakdown Time]]*Table6[[#This Row],[Plant Equivalent Weightage]],"")</f>
        <v>3.8461538461538312E-3</v>
      </c>
      <c r="X1043" s="262" t="s">
        <v>269</v>
      </c>
      <c r="Y1043" s="263" t="s">
        <v>138</v>
      </c>
      <c r="Z1043" s="102">
        <v>42707.040000000001</v>
      </c>
      <c r="AA1043" s="257">
        <f>(Table6[[#This Row],[Paired WTG Generation for loss calculation]]/24)*Table6[[#This Row],[Breakdown Time]]</f>
        <v>177.94599999999937</v>
      </c>
      <c r="AB1043" s="102"/>
      <c r="AC1043" s="35"/>
      <c r="AD1043" s="35"/>
    </row>
    <row r="1044" spans="1:30">
      <c r="A1044" s="102">
        <f t="shared" si="17"/>
        <v>1043</v>
      </c>
      <c r="B1044" s="257">
        <f>YEAR(Table6[[#This Row],[Date]])+IF(MONTH(Table6[[#This Row],[Date]])&gt;=4,1,0)</f>
        <v>2026</v>
      </c>
      <c r="C1044" s="102">
        <f>YEAR(Table6[[#This Row],[Date]])</f>
        <v>2025</v>
      </c>
      <c r="D1044" s="102" t="s">
        <v>265</v>
      </c>
      <c r="E1044" s="258">
        <f>Table6[[#This Row],[Date]]-DAY(Table6[[#This Row],[Date]])+1</f>
        <v>45809</v>
      </c>
      <c r="F1044" s="259">
        <v>45811</v>
      </c>
      <c r="G1044" s="35" t="s">
        <v>137</v>
      </c>
      <c r="H1044" s="35" t="str">
        <f>IFERROR(_xlfn.XLOOKUP(Table6[[#This Row],[Affected WTG]],'Basic Data'!$A:$A,'Basic Data'!$B:$B),"")</f>
        <v>TQGXIIPL</v>
      </c>
      <c r="I1044" s="35" t="str">
        <f>IFERROR(_xlfn.XLOOKUP(Table6[[#This Row],[Affected WTG]],'Basic Data'!$A:$A,'Basic Data'!$C:$C),"")</f>
        <v>GEDA</v>
      </c>
      <c r="J1044" s="260">
        <f>IFERROR(_xlfn.XLOOKUP(Table6[[#This Row],[Affected WTG]],'Basic Data'!$A:$A,'Basic Data'!$E:$E),"")</f>
        <v>3.846153846153845E-2</v>
      </c>
      <c r="K1044" s="102">
        <v>6130</v>
      </c>
      <c r="L1044" s="35" t="str">
        <f>IFERROR(_xlfn.XLOOKUP(Table6[[#This Row],[Error Code]],'Basic Data'!$AA:$AA,'Basic Data'!$AB:$AB),"Incorrect Error Code")</f>
        <v>Yaw speed high</v>
      </c>
      <c r="M1044" s="35" t="s">
        <v>278</v>
      </c>
      <c r="N1044" s="264"/>
      <c r="O1044" s="265">
        <v>0.39305555555555555</v>
      </c>
      <c r="P1044" s="265">
        <v>0.39305555555555555</v>
      </c>
      <c r="Q1044" s="266">
        <v>0.3972222222222222</v>
      </c>
      <c r="R1044" s="261">
        <f>IF(Table6[[#This Row],[Work Start TimeStamp]]="","",(Table6[[#This Row],[Work Start TimeStamp]]-Table6[[#This Row],[Fault Start TimeStamp]])*24)</f>
        <v>0</v>
      </c>
      <c r="S1044" s="261">
        <f>(Table6[[#This Row],[Fault Clearance time]]-Table6[[#This Row],[Work Start TimeStamp]])*24</f>
        <v>9.9999999999999645E-2</v>
      </c>
      <c r="T1044" s="261">
        <f>(Table6[[#This Row],[Fault Clearance time]]-Table6[[#This Row],[Fault Start TimeStamp]])*24</f>
        <v>9.9999999999999645E-2</v>
      </c>
      <c r="U1044" s="35" t="s">
        <v>277</v>
      </c>
      <c r="V1044" s="102" t="s">
        <v>268</v>
      </c>
      <c r="W1044" s="267">
        <f>IFERROR(Table6[[#This Row],[Breakdown Time]]*Table6[[#This Row],[Plant Equivalent Weightage]],"")</f>
        <v>3.8461538461538312E-3</v>
      </c>
      <c r="X1044" s="262" t="s">
        <v>269</v>
      </c>
      <c r="Y1044" s="263" t="s">
        <v>125</v>
      </c>
      <c r="Z1044" s="102">
        <v>39065.040000000001</v>
      </c>
      <c r="AA1044" s="257">
        <f>(Table6[[#This Row],[Paired WTG Generation for loss calculation]]/24)*Table6[[#This Row],[Breakdown Time]]</f>
        <v>162.77099999999942</v>
      </c>
      <c r="AB1044" s="102"/>
      <c r="AC1044" s="35"/>
      <c r="AD1044" s="35"/>
    </row>
    <row r="1045" spans="1:30">
      <c r="A1045" s="102">
        <f t="shared" si="17"/>
        <v>1044</v>
      </c>
      <c r="B1045" s="257">
        <f>YEAR(Table6[[#This Row],[Date]])+IF(MONTH(Table6[[#This Row],[Date]])&gt;=4,1,0)</f>
        <v>2026</v>
      </c>
      <c r="C1045" s="102">
        <f>YEAR(Table6[[#This Row],[Date]])</f>
        <v>2025</v>
      </c>
      <c r="D1045" s="102" t="s">
        <v>265</v>
      </c>
      <c r="E1045" s="258">
        <f>Table6[[#This Row],[Date]]-DAY(Table6[[#This Row],[Date]])+1</f>
        <v>45809</v>
      </c>
      <c r="F1045" s="259">
        <v>45811</v>
      </c>
      <c r="G1045" s="35" t="s">
        <v>137</v>
      </c>
      <c r="H1045" s="35" t="str">
        <f>IFERROR(_xlfn.XLOOKUP(Table6[[#This Row],[Affected WTG]],'Basic Data'!$A:$A,'Basic Data'!$B:$B),"")</f>
        <v>TQGXIIPL</v>
      </c>
      <c r="I1045" s="35" t="str">
        <f>IFERROR(_xlfn.XLOOKUP(Table6[[#This Row],[Affected WTG]],'Basic Data'!$A:$A,'Basic Data'!$C:$C),"")</f>
        <v>GEDA</v>
      </c>
      <c r="J1045" s="260">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266</v>
      </c>
      <c r="N1045" s="264"/>
      <c r="O1045" s="265">
        <v>0.47013888888888888</v>
      </c>
      <c r="P1045" s="265">
        <v>0.47013888888888888</v>
      </c>
      <c r="Q1045" s="266">
        <v>0.47361111111111109</v>
      </c>
      <c r="R1045" s="261">
        <f>IF(Table6[[#This Row],[Work Start TimeStamp]]="","",(Table6[[#This Row],[Work Start TimeStamp]]-Table6[[#This Row],[Fault Start TimeStamp]])*24)</f>
        <v>0</v>
      </c>
      <c r="S1045" s="261">
        <f>(Table6[[#This Row],[Fault Clearance time]]-Table6[[#This Row],[Work Start TimeStamp]])*24</f>
        <v>8.3333333333333037E-2</v>
      </c>
      <c r="T1045" s="261">
        <f>(Table6[[#This Row],[Fault Clearance time]]-Table6[[#This Row],[Fault Start TimeStamp]])*24</f>
        <v>8.3333333333333037E-2</v>
      </c>
      <c r="U1045" s="35" t="s">
        <v>483</v>
      </c>
      <c r="V1045" s="102" t="s">
        <v>268</v>
      </c>
      <c r="W1045" s="267">
        <f>IFERROR(Table6[[#This Row],[Breakdown Time]]*Table6[[#This Row],[Plant Equivalent Weightage]],"")</f>
        <v>3.2051282051281929E-3</v>
      </c>
      <c r="X1045" s="262" t="s">
        <v>269</v>
      </c>
      <c r="Y1045" s="263" t="s">
        <v>125</v>
      </c>
      <c r="Z1045" s="102">
        <v>39065.040000000001</v>
      </c>
      <c r="AA1045" s="257">
        <f>(Table6[[#This Row],[Paired WTG Generation for loss calculation]]/24)*Table6[[#This Row],[Breakdown Time]]</f>
        <v>135.64249999999953</v>
      </c>
      <c r="AB1045" s="102"/>
      <c r="AC1045" s="35"/>
      <c r="AD1045" s="35"/>
    </row>
    <row r="1046" spans="1:30">
      <c r="A1046" s="102">
        <f t="shared" si="17"/>
        <v>1045</v>
      </c>
      <c r="B1046" s="257">
        <f>YEAR(Table6[[#This Row],[Date]])+IF(MONTH(Table6[[#This Row],[Date]])&gt;=4,1,0)</f>
        <v>2026</v>
      </c>
      <c r="C1046" s="102">
        <f>YEAR(Table6[[#This Row],[Date]])</f>
        <v>2025</v>
      </c>
      <c r="D1046" s="102" t="s">
        <v>265</v>
      </c>
      <c r="E1046" s="258">
        <f>Table6[[#This Row],[Date]]-DAY(Table6[[#This Row],[Date]])+1</f>
        <v>45809</v>
      </c>
      <c r="F1046" s="259">
        <v>45811</v>
      </c>
      <c r="G1046" s="35" t="s">
        <v>138</v>
      </c>
      <c r="H1046" s="35" t="str">
        <f>IFERROR(_xlfn.XLOOKUP(Table6[[#This Row],[Affected WTG]],'Basic Data'!$A:$A,'Basic Data'!$B:$B),"")</f>
        <v>TQGXIIPL</v>
      </c>
      <c r="I1046" s="35" t="str">
        <f>IFERROR(_xlfn.XLOOKUP(Table6[[#This Row],[Affected WTG]],'Basic Data'!$A:$A,'Basic Data'!$C:$C),"")</f>
        <v>GEDA</v>
      </c>
      <c r="J1046" s="260">
        <f>IFERROR(_xlfn.XLOOKUP(Table6[[#This Row],[Affected WTG]],'Basic Data'!$A:$A,'Basic Data'!$E:$E),"")</f>
        <v>3.846153846153845E-2</v>
      </c>
      <c r="K1046" s="102">
        <v>4970</v>
      </c>
      <c r="L1046" s="35" t="str">
        <f>IFERROR(_xlfn.XLOOKUP(Table6[[#This Row],[Error Code]],'Basic Data'!$AA:$AA,'Basic Data'!$AB:$AB),"Incorrect Error Code")</f>
        <v>Tower oscillation XF</v>
      </c>
      <c r="M1046" s="35" t="s">
        <v>278</v>
      </c>
      <c r="N1046" s="264"/>
      <c r="O1046" s="265">
        <v>0.65069444444444446</v>
      </c>
      <c r="P1046" s="265">
        <v>0.65069444444444446</v>
      </c>
      <c r="Q1046" s="266">
        <v>0.66180555555555565</v>
      </c>
      <c r="R1046" s="261">
        <f>IF(Table6[[#This Row],[Work Start TimeStamp]]="","",(Table6[[#This Row],[Work Start TimeStamp]]-Table6[[#This Row],[Fault Start TimeStamp]])*24)</f>
        <v>0</v>
      </c>
      <c r="S1046" s="261">
        <f>(Table6[[#This Row],[Fault Clearance time]]-Table6[[#This Row],[Work Start TimeStamp]])*24</f>
        <v>0.26666666666666838</v>
      </c>
      <c r="T1046" s="261">
        <f>(Table6[[#This Row],[Fault Clearance time]]-Table6[[#This Row],[Fault Start TimeStamp]])*24</f>
        <v>0.26666666666666838</v>
      </c>
      <c r="U1046" s="35" t="s">
        <v>277</v>
      </c>
      <c r="V1046" s="102" t="s">
        <v>268</v>
      </c>
      <c r="W1046" s="267">
        <f>IFERROR(Table6[[#This Row],[Breakdown Time]]*Table6[[#This Row],[Plant Equivalent Weightage]],"")</f>
        <v>1.0256410256410319E-2</v>
      </c>
      <c r="X1046" s="262" t="s">
        <v>269</v>
      </c>
      <c r="Y1046" s="263" t="s">
        <v>134</v>
      </c>
      <c r="Z1046" s="102">
        <v>42388.08</v>
      </c>
      <c r="AA1046" s="257">
        <f>(Table6[[#This Row],[Paired WTG Generation for loss calculation]]/24)*Table6[[#This Row],[Breakdown Time]]</f>
        <v>470.97866666666971</v>
      </c>
      <c r="AB1046" s="102"/>
      <c r="AC1046" s="35"/>
      <c r="AD1046" s="35"/>
    </row>
    <row r="1047" spans="1:30">
      <c r="A1047" s="102">
        <f t="shared" si="17"/>
        <v>1046</v>
      </c>
      <c r="B1047" s="257">
        <f>YEAR(Table6[[#This Row],[Date]])+IF(MONTH(Table6[[#This Row],[Date]])&gt;=4,1,0)</f>
        <v>2026</v>
      </c>
      <c r="C1047" s="102">
        <f>YEAR(Table6[[#This Row],[Date]])</f>
        <v>2025</v>
      </c>
      <c r="D1047" s="102" t="s">
        <v>265</v>
      </c>
      <c r="E1047" s="258">
        <f>Table6[[#This Row],[Date]]-DAY(Table6[[#This Row],[Date]])+1</f>
        <v>45809</v>
      </c>
      <c r="F1047" s="259">
        <v>45811</v>
      </c>
      <c r="G1047" s="35" t="s">
        <v>139</v>
      </c>
      <c r="H1047" s="35" t="str">
        <f>IFERROR(_xlfn.XLOOKUP(Table6[[#This Row],[Affected WTG]],'Basic Data'!$A:$A,'Basic Data'!$B:$B),"")</f>
        <v>TQGXIIPL</v>
      </c>
      <c r="I1047" s="35" t="str">
        <f>IFERROR(_xlfn.XLOOKUP(Table6[[#This Row],[Affected WTG]],'Basic Data'!$A:$A,'Basic Data'!$C:$C),"")</f>
        <v>GEDA</v>
      </c>
      <c r="J1047" s="260">
        <f>IFERROR(_xlfn.XLOOKUP(Table6[[#This Row],[Affected WTG]],'Basic Data'!$A:$A,'Basic Data'!$E:$E),"")</f>
        <v>3.846153846153845E-2</v>
      </c>
      <c r="K1047" s="102">
        <v>6130</v>
      </c>
      <c r="L1047" s="35" t="str">
        <f>IFERROR(_xlfn.XLOOKUP(Table6[[#This Row],[Error Code]],'Basic Data'!$AA:$AA,'Basic Data'!$AB:$AB),"Incorrect Error Code")</f>
        <v>Yaw speed high</v>
      </c>
      <c r="M1047" s="35" t="s">
        <v>278</v>
      </c>
      <c r="N1047" s="264"/>
      <c r="O1047" s="265">
        <v>0.55208333333333337</v>
      </c>
      <c r="P1047" s="265">
        <v>0.55208333333333337</v>
      </c>
      <c r="Q1047" s="266">
        <v>0.55625000000000002</v>
      </c>
      <c r="R1047" s="261">
        <f>IF(Table6[[#This Row],[Work Start TimeStamp]]="","",(Table6[[#This Row],[Work Start TimeStamp]]-Table6[[#This Row],[Fault Start TimeStamp]])*24)</f>
        <v>0</v>
      </c>
      <c r="S1047" s="261">
        <f>(Table6[[#This Row],[Fault Clearance time]]-Table6[[#This Row],[Work Start TimeStamp]])*24</f>
        <v>9.9999999999999645E-2</v>
      </c>
      <c r="T1047" s="261">
        <f>(Table6[[#This Row],[Fault Clearance time]]-Table6[[#This Row],[Fault Start TimeStamp]])*24</f>
        <v>9.9999999999999645E-2</v>
      </c>
      <c r="U1047" s="35" t="s">
        <v>277</v>
      </c>
      <c r="V1047" s="102" t="s">
        <v>268</v>
      </c>
      <c r="W1047" s="267">
        <f>IFERROR(Table6[[#This Row],[Breakdown Time]]*Table6[[#This Row],[Plant Equivalent Weightage]],"")</f>
        <v>3.8461538461538312E-3</v>
      </c>
      <c r="X1047" s="262" t="s">
        <v>269</v>
      </c>
      <c r="Y1047" s="263" t="s">
        <v>115</v>
      </c>
      <c r="Z1047" s="102">
        <v>39300.479999999996</v>
      </c>
      <c r="AA1047" s="257">
        <f>(Table6[[#This Row],[Paired WTG Generation for loss calculation]]/24)*Table6[[#This Row],[Breakdown Time]]</f>
        <v>163.75199999999938</v>
      </c>
      <c r="AB1047" s="102"/>
      <c r="AC1047" s="35"/>
      <c r="AD1047" s="35"/>
    </row>
    <row r="1048" spans="1:30">
      <c r="A1048" s="102">
        <f t="shared" si="17"/>
        <v>1047</v>
      </c>
      <c r="B1048" s="257">
        <f>YEAR(Table6[[#This Row],[Date]])+IF(MONTH(Table6[[#This Row],[Date]])&gt;=4,1,0)</f>
        <v>2026</v>
      </c>
      <c r="C1048" s="102">
        <f>YEAR(Table6[[#This Row],[Date]])</f>
        <v>2025</v>
      </c>
      <c r="D1048" s="102" t="s">
        <v>265</v>
      </c>
      <c r="E1048" s="258">
        <f>Table6[[#This Row],[Date]]-DAY(Table6[[#This Row],[Date]])+1</f>
        <v>45809</v>
      </c>
      <c r="F1048" s="259">
        <v>45811</v>
      </c>
      <c r="G1048" s="35" t="s">
        <v>140</v>
      </c>
      <c r="H1048" s="35" t="str">
        <f>IFERROR(_xlfn.XLOOKUP(Table6[[#This Row],[Affected WTG]],'Basic Data'!$A:$A,'Basic Data'!$B:$B),"")</f>
        <v>TQGXIIPL</v>
      </c>
      <c r="I1048" s="35" t="str">
        <f>IFERROR(_xlfn.XLOOKUP(Table6[[#This Row],[Affected WTG]],'Basic Data'!$A:$A,'Basic Data'!$C:$C),"")</f>
        <v>GEDA</v>
      </c>
      <c r="J1048" s="260">
        <f>IFERROR(_xlfn.XLOOKUP(Table6[[#This Row],[Affected WTG]],'Basic Data'!$A:$A,'Basic Data'!$E:$E),"")</f>
        <v>3.846153846153845E-2</v>
      </c>
      <c r="K1048" s="102">
        <v>4970</v>
      </c>
      <c r="L1048" s="35" t="str">
        <f>IFERROR(_xlfn.XLOOKUP(Table6[[#This Row],[Error Code]],'Basic Data'!$AA:$AA,'Basic Data'!$AB:$AB),"Incorrect Error Code")</f>
        <v>Tower oscillation XF</v>
      </c>
      <c r="M1048" s="35" t="s">
        <v>278</v>
      </c>
      <c r="N1048" s="264"/>
      <c r="O1048" s="265">
        <v>0.47222222222222221</v>
      </c>
      <c r="P1048" s="265">
        <v>0.47222222222222221</v>
      </c>
      <c r="Q1048" s="266">
        <v>0.48333333333333334</v>
      </c>
      <c r="R1048" s="261">
        <f>IF(Table6[[#This Row],[Work Start TimeStamp]]="","",(Table6[[#This Row],[Work Start TimeStamp]]-Table6[[#This Row],[Fault Start TimeStamp]])*24)</f>
        <v>0</v>
      </c>
      <c r="S1048" s="261">
        <f>(Table6[[#This Row],[Fault Clearance time]]-Table6[[#This Row],[Work Start TimeStamp]])*24</f>
        <v>0.26666666666666705</v>
      </c>
      <c r="T1048" s="261">
        <f>(Table6[[#This Row],[Fault Clearance time]]-Table6[[#This Row],[Fault Start TimeStamp]])*24</f>
        <v>0.26666666666666705</v>
      </c>
      <c r="U1048" s="35" t="s">
        <v>277</v>
      </c>
      <c r="V1048" s="102" t="s">
        <v>268</v>
      </c>
      <c r="W1048" s="267">
        <f>IFERROR(Table6[[#This Row],[Breakdown Time]]*Table6[[#This Row],[Plant Equivalent Weightage]],"")</f>
        <v>1.0256410256410269E-2</v>
      </c>
      <c r="X1048" s="262" t="s">
        <v>269</v>
      </c>
      <c r="Y1048" s="263" t="s">
        <v>115</v>
      </c>
      <c r="Z1048" s="102">
        <v>39300.479999999996</v>
      </c>
      <c r="AA1048" s="257">
        <f>(Table6[[#This Row],[Paired WTG Generation for loss calculation]]/24)*Table6[[#This Row],[Breakdown Time]]</f>
        <v>436.67200000000054</v>
      </c>
      <c r="AB1048" s="102"/>
      <c r="AC1048" s="35"/>
      <c r="AD1048" s="35"/>
    </row>
    <row r="1049" spans="1:30">
      <c r="A1049" s="102">
        <f t="shared" si="17"/>
        <v>1048</v>
      </c>
      <c r="B1049" s="257">
        <f>YEAR(Table6[[#This Row],[Date]])+IF(MONTH(Table6[[#This Row],[Date]])&gt;=4,1,0)</f>
        <v>2026</v>
      </c>
      <c r="C1049" s="102">
        <f>YEAR(Table6[[#This Row],[Date]])</f>
        <v>2025</v>
      </c>
      <c r="D1049" s="102" t="s">
        <v>265</v>
      </c>
      <c r="E1049" s="258">
        <f>Table6[[#This Row],[Date]]-DAY(Table6[[#This Row],[Date]])+1</f>
        <v>45809</v>
      </c>
      <c r="F1049" s="259">
        <v>45811</v>
      </c>
      <c r="G1049" s="35" t="s">
        <v>140</v>
      </c>
      <c r="H1049" s="35" t="str">
        <f>IFERROR(_xlfn.XLOOKUP(Table6[[#This Row],[Affected WTG]],'Basic Data'!$A:$A,'Basic Data'!$B:$B),"")</f>
        <v>TQGXIIPL</v>
      </c>
      <c r="I1049" s="35" t="str">
        <f>IFERROR(_xlfn.XLOOKUP(Table6[[#This Row],[Affected WTG]],'Basic Data'!$A:$A,'Basic Data'!$C:$C),"")</f>
        <v>GEDA</v>
      </c>
      <c r="J1049" s="260">
        <f>IFERROR(_xlfn.XLOOKUP(Table6[[#This Row],[Affected WTG]],'Basic Data'!$A:$A,'Basic Data'!$E:$E),"")</f>
        <v>3.846153846153845E-2</v>
      </c>
      <c r="K1049" s="102">
        <v>6130</v>
      </c>
      <c r="L1049" s="35" t="str">
        <f>IFERROR(_xlfn.XLOOKUP(Table6[[#This Row],[Error Code]],'Basic Data'!$AA:$AA,'Basic Data'!$AB:$AB),"Incorrect Error Code")</f>
        <v>Yaw speed high</v>
      </c>
      <c r="M1049" s="35" t="s">
        <v>278</v>
      </c>
      <c r="N1049" s="264"/>
      <c r="O1049" s="265">
        <v>0.59027777777777779</v>
      </c>
      <c r="P1049" s="265">
        <v>0.59027777777777779</v>
      </c>
      <c r="Q1049" s="266">
        <v>0.59444444444444444</v>
      </c>
      <c r="R1049" s="261">
        <f>IF(Table6[[#This Row],[Work Start TimeStamp]]="","",(Table6[[#This Row],[Work Start TimeStamp]]-Table6[[#This Row],[Fault Start TimeStamp]])*24)</f>
        <v>0</v>
      </c>
      <c r="S1049" s="261">
        <f>(Table6[[#This Row],[Fault Clearance time]]-Table6[[#This Row],[Work Start TimeStamp]])*24</f>
        <v>9.9999999999999645E-2</v>
      </c>
      <c r="T1049" s="261">
        <f>(Table6[[#This Row],[Fault Clearance time]]-Table6[[#This Row],[Fault Start TimeStamp]])*24</f>
        <v>9.9999999999999645E-2</v>
      </c>
      <c r="U1049" s="35" t="s">
        <v>277</v>
      </c>
      <c r="V1049" s="102" t="s">
        <v>268</v>
      </c>
      <c r="W1049" s="267">
        <f>IFERROR(Table6[[#This Row],[Breakdown Time]]*Table6[[#This Row],[Plant Equivalent Weightage]],"")</f>
        <v>3.8461538461538312E-3</v>
      </c>
      <c r="X1049" s="262" t="s">
        <v>269</v>
      </c>
      <c r="Y1049" s="263" t="s">
        <v>115</v>
      </c>
      <c r="Z1049" s="102">
        <v>39300.479999999996</v>
      </c>
      <c r="AA1049" s="257">
        <f>(Table6[[#This Row],[Paired WTG Generation for loss calculation]]/24)*Table6[[#This Row],[Breakdown Time]]</f>
        <v>163.75199999999938</v>
      </c>
      <c r="AB1049" s="102"/>
      <c r="AC1049" s="35"/>
      <c r="AD1049" s="35"/>
    </row>
    <row r="1050" spans="1:30">
      <c r="A1050" s="102">
        <f t="shared" si="17"/>
        <v>1049</v>
      </c>
      <c r="B1050" s="257">
        <f>YEAR(Table6[[#This Row],[Date]])+IF(MONTH(Table6[[#This Row],[Date]])&gt;=4,1,0)</f>
        <v>2026</v>
      </c>
      <c r="C1050" s="102">
        <f>YEAR(Table6[[#This Row],[Date]])</f>
        <v>2025</v>
      </c>
      <c r="D1050" s="102" t="s">
        <v>265</v>
      </c>
      <c r="E1050" s="258">
        <f>Table6[[#This Row],[Date]]-DAY(Table6[[#This Row],[Date]])+1</f>
        <v>45809</v>
      </c>
      <c r="F1050" s="259">
        <v>45812</v>
      </c>
      <c r="G1050" s="35" t="s">
        <v>118</v>
      </c>
      <c r="H1050" s="35" t="str">
        <f>IFERROR(_xlfn.XLOOKUP(Table6[[#This Row],[Affected WTG]],'Basic Data'!$A:$A,'Basic Data'!$B:$B),"")</f>
        <v>TQGXIIPL</v>
      </c>
      <c r="I1050" s="35" t="str">
        <f>IFERROR(_xlfn.XLOOKUP(Table6[[#This Row],[Affected WTG]],'Basic Data'!$A:$A,'Basic Data'!$C:$C),"")</f>
        <v>GEDA</v>
      </c>
      <c r="J1050" s="260">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266</v>
      </c>
      <c r="N1050" s="264"/>
      <c r="O1050" s="265">
        <v>0.38541666666666669</v>
      </c>
      <c r="P1050" s="265">
        <v>0.38541666666666669</v>
      </c>
      <c r="Q1050" s="266">
        <v>0.38750000000000001</v>
      </c>
      <c r="R1050" s="261">
        <f>IF(Table6[[#This Row],[Work Start TimeStamp]]="","",(Table6[[#This Row],[Work Start TimeStamp]]-Table6[[#This Row],[Fault Start TimeStamp]])*24)</f>
        <v>0</v>
      </c>
      <c r="S1050" s="261">
        <f>(Table6[[#This Row],[Fault Clearance time]]-Table6[[#This Row],[Work Start TimeStamp]])*24</f>
        <v>4.9999999999999822E-2</v>
      </c>
      <c r="T1050" s="261">
        <f>(Table6[[#This Row],[Fault Clearance time]]-Table6[[#This Row],[Fault Start TimeStamp]])*24</f>
        <v>4.9999999999999822E-2</v>
      </c>
      <c r="U1050" s="35" t="s">
        <v>483</v>
      </c>
      <c r="V1050" s="102" t="s">
        <v>268</v>
      </c>
      <c r="W1050" s="267">
        <f>IFERROR(Table6[[#This Row],[Breakdown Time]]*Table6[[#This Row],[Plant Equivalent Weightage]],"")</f>
        <v>1.9230769230769156E-3</v>
      </c>
      <c r="X1050" s="262" t="s">
        <v>269</v>
      </c>
      <c r="Y1050" s="263" t="s">
        <v>121</v>
      </c>
      <c r="Z1050" s="102">
        <v>24286</v>
      </c>
      <c r="AA1050" s="257">
        <f>(Table6[[#This Row],[Paired WTG Generation for loss calculation]]/24)*Table6[[#This Row],[Breakdown Time]]</f>
        <v>50.595833333333154</v>
      </c>
      <c r="AB1050" s="102"/>
      <c r="AC1050" s="35"/>
      <c r="AD1050" s="35"/>
    </row>
    <row r="1051" spans="1:30">
      <c r="A1051" s="102">
        <f t="shared" si="17"/>
        <v>1050</v>
      </c>
      <c r="B1051" s="257">
        <f>YEAR(Table6[[#This Row],[Date]])+IF(MONTH(Table6[[#This Row],[Date]])&gt;=4,1,0)</f>
        <v>2026</v>
      </c>
      <c r="C1051" s="102">
        <f>YEAR(Table6[[#This Row],[Date]])</f>
        <v>2025</v>
      </c>
      <c r="D1051" s="102" t="s">
        <v>265</v>
      </c>
      <c r="E1051" s="258">
        <f>Table6[[#This Row],[Date]]-DAY(Table6[[#This Row],[Date]])+1</f>
        <v>45809</v>
      </c>
      <c r="F1051" s="259">
        <v>45812</v>
      </c>
      <c r="G1051" s="35" t="s">
        <v>118</v>
      </c>
      <c r="H1051" s="35" t="str">
        <f>IFERROR(_xlfn.XLOOKUP(Table6[[#This Row],[Affected WTG]],'Basic Data'!$A:$A,'Basic Data'!$B:$B),"")</f>
        <v>TQGXIIPL</v>
      </c>
      <c r="I1051" s="35" t="str">
        <f>IFERROR(_xlfn.XLOOKUP(Table6[[#This Row],[Affected WTG]],'Basic Data'!$A:$A,'Basic Data'!$C:$C),"")</f>
        <v>GEDA</v>
      </c>
      <c r="J1051" s="260">
        <f>IFERROR(_xlfn.XLOOKUP(Table6[[#This Row],[Affected WTG]],'Basic Data'!$A:$A,'Basic Data'!$E:$E),"")</f>
        <v>3.846153846153845E-2</v>
      </c>
      <c r="K1051" s="102">
        <v>6130</v>
      </c>
      <c r="L1051" s="35" t="str">
        <f>IFERROR(_xlfn.XLOOKUP(Table6[[#This Row],[Error Code]],'Basic Data'!$AA:$AA,'Basic Data'!$AB:$AB),"Incorrect Error Code")</f>
        <v>Yaw speed high</v>
      </c>
      <c r="M1051" s="35" t="s">
        <v>266</v>
      </c>
      <c r="N1051" s="264"/>
      <c r="O1051" s="265">
        <v>0.60763888888888884</v>
      </c>
      <c r="P1051" s="265">
        <v>0.60763888888888884</v>
      </c>
      <c r="Q1051" s="266">
        <v>0.60833333333333328</v>
      </c>
      <c r="R1051" s="261">
        <f>IF(Table6[[#This Row],[Work Start TimeStamp]]="","",(Table6[[#This Row],[Work Start TimeStamp]]-Table6[[#This Row],[Fault Start TimeStamp]])*24)</f>
        <v>0</v>
      </c>
      <c r="S1051" s="261">
        <f>(Table6[[#This Row],[Fault Clearance time]]-Table6[[#This Row],[Work Start TimeStamp]])*24</f>
        <v>1.6666666666666607E-2</v>
      </c>
      <c r="T1051" s="261">
        <f>(Table6[[#This Row],[Fault Clearance time]]-Table6[[#This Row],[Fault Start TimeStamp]])*24</f>
        <v>1.6666666666666607E-2</v>
      </c>
      <c r="U1051" s="35" t="s">
        <v>483</v>
      </c>
      <c r="V1051" s="102" t="s">
        <v>268</v>
      </c>
      <c r="W1051" s="267">
        <f>IFERROR(Table6[[#This Row],[Breakdown Time]]*Table6[[#This Row],[Plant Equivalent Weightage]],"")</f>
        <v>6.4102564102563853E-4</v>
      </c>
      <c r="X1051" s="262" t="s">
        <v>269</v>
      </c>
      <c r="Y1051" s="263" t="s">
        <v>121</v>
      </c>
      <c r="Z1051" s="102">
        <v>24286</v>
      </c>
      <c r="AA1051" s="257">
        <f>(Table6[[#This Row],[Paired WTG Generation for loss calculation]]/24)*Table6[[#This Row],[Breakdown Time]]</f>
        <v>16.865277777777717</v>
      </c>
      <c r="AB1051" s="102"/>
      <c r="AC1051" s="35"/>
      <c r="AD1051" s="35"/>
    </row>
    <row r="1052" spans="1:30">
      <c r="A1052" s="102">
        <f t="shared" si="17"/>
        <v>1051</v>
      </c>
      <c r="B1052" s="257">
        <f>YEAR(Table6[[#This Row],[Date]])+IF(MONTH(Table6[[#This Row],[Date]])&gt;=4,1,0)</f>
        <v>2026</v>
      </c>
      <c r="C1052" s="102">
        <f>YEAR(Table6[[#This Row],[Date]])</f>
        <v>2025</v>
      </c>
      <c r="D1052" s="102" t="s">
        <v>265</v>
      </c>
      <c r="E1052" s="258">
        <f>Table6[[#This Row],[Date]]-DAY(Table6[[#This Row],[Date]])+1</f>
        <v>45809</v>
      </c>
      <c r="F1052" s="259">
        <v>45812</v>
      </c>
      <c r="G1052" s="35" t="s">
        <v>119</v>
      </c>
      <c r="H1052" s="35" t="str">
        <f>IFERROR(_xlfn.XLOOKUP(Table6[[#This Row],[Affected WTG]],'Basic Data'!$A:$A,'Basic Data'!$B:$B),"")</f>
        <v>TQGXIIPL</v>
      </c>
      <c r="I1052" s="35" t="str">
        <f>IFERROR(_xlfn.XLOOKUP(Table6[[#This Row],[Affected WTG]],'Basic Data'!$A:$A,'Basic Data'!$C:$C),"")</f>
        <v>GEDA</v>
      </c>
      <c r="J1052" s="260">
        <f>IFERROR(_xlfn.XLOOKUP(Table6[[#This Row],[Affected WTG]],'Basic Data'!$A:$A,'Basic Data'!$E:$E),"")</f>
        <v>3.846153846153845E-2</v>
      </c>
      <c r="K1052" s="102">
        <v>6130</v>
      </c>
      <c r="L1052" s="35" t="str">
        <f>IFERROR(_xlfn.XLOOKUP(Table6[[#This Row],[Error Code]],'Basic Data'!$AA:$AA,'Basic Data'!$AB:$AB),"Incorrect Error Code")</f>
        <v>Yaw speed high</v>
      </c>
      <c r="M1052" s="35" t="s">
        <v>278</v>
      </c>
      <c r="N1052" s="264"/>
      <c r="O1052" s="265">
        <v>0.53055555555555556</v>
      </c>
      <c r="P1052" s="265">
        <v>0.53055555555555556</v>
      </c>
      <c r="Q1052" s="266">
        <v>0.53472222222222221</v>
      </c>
      <c r="R1052" s="261">
        <f>IF(Table6[[#This Row],[Work Start TimeStamp]]="","",(Table6[[#This Row],[Work Start TimeStamp]]-Table6[[#This Row],[Fault Start TimeStamp]])*24)</f>
        <v>0</v>
      </c>
      <c r="S1052" s="261">
        <f>(Table6[[#This Row],[Fault Clearance time]]-Table6[[#This Row],[Work Start TimeStamp]])*24</f>
        <v>9.9999999999999645E-2</v>
      </c>
      <c r="T1052" s="261">
        <f>(Table6[[#This Row],[Fault Clearance time]]-Table6[[#This Row],[Fault Start TimeStamp]])*24</f>
        <v>9.9999999999999645E-2</v>
      </c>
      <c r="U1052" s="35" t="s">
        <v>277</v>
      </c>
      <c r="V1052" s="102" t="s">
        <v>268</v>
      </c>
      <c r="W1052" s="267">
        <f>IFERROR(Table6[[#This Row],[Breakdown Time]]*Table6[[#This Row],[Plant Equivalent Weightage]],"")</f>
        <v>3.8461538461538312E-3</v>
      </c>
      <c r="X1052" s="262" t="s">
        <v>269</v>
      </c>
      <c r="Y1052" s="263" t="s">
        <v>116</v>
      </c>
      <c r="Z1052" s="102">
        <v>25759</v>
      </c>
      <c r="AA1052" s="257">
        <f>(Table6[[#This Row],[Paired WTG Generation for loss calculation]]/24)*Table6[[#This Row],[Breakdown Time]]</f>
        <v>107.3291666666663</v>
      </c>
      <c r="AB1052" s="102"/>
      <c r="AC1052" s="35"/>
      <c r="AD1052" s="35"/>
    </row>
    <row r="1053" spans="1:30">
      <c r="A1053" s="102">
        <f t="shared" si="17"/>
        <v>1052</v>
      </c>
      <c r="B1053" s="257">
        <f>YEAR(Table6[[#This Row],[Date]])+IF(MONTH(Table6[[#This Row],[Date]])&gt;=4,1,0)</f>
        <v>2026</v>
      </c>
      <c r="C1053" s="102">
        <f>YEAR(Table6[[#This Row],[Date]])</f>
        <v>2025</v>
      </c>
      <c r="D1053" s="102" t="s">
        <v>265</v>
      </c>
      <c r="E1053" s="258">
        <f>Table6[[#This Row],[Date]]-DAY(Table6[[#This Row],[Date]])+1</f>
        <v>45809</v>
      </c>
      <c r="F1053" s="259">
        <v>45812</v>
      </c>
      <c r="G1053" s="35" t="s">
        <v>120</v>
      </c>
      <c r="H1053" s="35" t="str">
        <f>IFERROR(_xlfn.XLOOKUP(Table6[[#This Row],[Affected WTG]],'Basic Data'!$A:$A,'Basic Data'!$B:$B),"")</f>
        <v>TQGXIIPL</v>
      </c>
      <c r="I1053" s="35" t="str">
        <f>IFERROR(_xlfn.XLOOKUP(Table6[[#This Row],[Affected WTG]],'Basic Data'!$A:$A,'Basic Data'!$C:$C),"")</f>
        <v>GEDA</v>
      </c>
      <c r="J1053" s="260">
        <f>IFERROR(_xlfn.XLOOKUP(Table6[[#This Row],[Affected WTG]],'Basic Data'!$A:$A,'Basic Data'!$E:$E),"")</f>
        <v>3.846153846153845E-2</v>
      </c>
      <c r="K1053" s="102">
        <v>4970</v>
      </c>
      <c r="L1053" s="35" t="str">
        <f>IFERROR(_xlfn.XLOOKUP(Table6[[#This Row],[Error Code]],'Basic Data'!$AA:$AA,'Basic Data'!$AB:$AB),"Incorrect Error Code")</f>
        <v>Tower oscillation XF</v>
      </c>
      <c r="M1053" s="35" t="s">
        <v>278</v>
      </c>
      <c r="N1053" s="264"/>
      <c r="O1053" s="265">
        <v>0.60277777777777775</v>
      </c>
      <c r="P1053" s="265">
        <v>0.60277777777777775</v>
      </c>
      <c r="Q1053" s="266">
        <v>0.61388888888888893</v>
      </c>
      <c r="R1053" s="261">
        <f>IF(Table6[[#This Row],[Work Start TimeStamp]]="","",(Table6[[#This Row],[Work Start TimeStamp]]-Table6[[#This Row],[Fault Start TimeStamp]])*24)</f>
        <v>0</v>
      </c>
      <c r="S1053" s="261">
        <f>(Table6[[#This Row],[Fault Clearance time]]-Table6[[#This Row],[Work Start TimeStamp]])*24</f>
        <v>0.26666666666666838</v>
      </c>
      <c r="T1053" s="261">
        <f>(Table6[[#This Row],[Fault Clearance time]]-Table6[[#This Row],[Fault Start TimeStamp]])*24</f>
        <v>0.26666666666666838</v>
      </c>
      <c r="U1053" s="35" t="s">
        <v>277</v>
      </c>
      <c r="V1053" s="102" t="s">
        <v>268</v>
      </c>
      <c r="W1053" s="267">
        <f>IFERROR(Table6[[#This Row],[Breakdown Time]]*Table6[[#This Row],[Plant Equivalent Weightage]],"")</f>
        <v>1.0256410256410319E-2</v>
      </c>
      <c r="X1053" s="262" t="s">
        <v>269</v>
      </c>
      <c r="Y1053" s="263" t="s">
        <v>135</v>
      </c>
      <c r="Z1053" s="102">
        <v>26598</v>
      </c>
      <c r="AA1053" s="257">
        <f>(Table6[[#This Row],[Paired WTG Generation for loss calculation]]/24)*Table6[[#This Row],[Breakdown Time]]</f>
        <v>295.53333333333524</v>
      </c>
      <c r="AB1053" s="102"/>
      <c r="AC1053" s="35"/>
      <c r="AD1053" s="35"/>
    </row>
    <row r="1054" spans="1:30">
      <c r="A1054" s="102">
        <f t="shared" si="17"/>
        <v>1053</v>
      </c>
      <c r="B1054" s="257">
        <f>YEAR(Table6[[#This Row],[Date]])+IF(MONTH(Table6[[#This Row],[Date]])&gt;=4,1,0)</f>
        <v>2026</v>
      </c>
      <c r="C1054" s="102">
        <f>YEAR(Table6[[#This Row],[Date]])</f>
        <v>2025</v>
      </c>
      <c r="D1054" s="102" t="s">
        <v>265</v>
      </c>
      <c r="E1054" s="258">
        <f>Table6[[#This Row],[Date]]-DAY(Table6[[#This Row],[Date]])+1</f>
        <v>45809</v>
      </c>
      <c r="F1054" s="259">
        <v>45812</v>
      </c>
      <c r="G1054" s="35" t="s">
        <v>120</v>
      </c>
      <c r="H1054" s="35" t="str">
        <f>IFERROR(_xlfn.XLOOKUP(Table6[[#This Row],[Affected WTG]],'Basic Data'!$A:$A,'Basic Data'!$B:$B),"")</f>
        <v>TQGXIIPL</v>
      </c>
      <c r="I1054" s="35" t="str">
        <f>IFERROR(_xlfn.XLOOKUP(Table6[[#This Row],[Affected WTG]],'Basic Data'!$A:$A,'Basic Data'!$C:$C),"")</f>
        <v>GEDA</v>
      </c>
      <c r="J1054" s="260">
        <f>IFERROR(_xlfn.XLOOKUP(Table6[[#This Row],[Affected WTG]],'Basic Data'!$A:$A,'Basic Data'!$E:$E),"")</f>
        <v>3.846153846153845E-2</v>
      </c>
      <c r="K1054" s="102">
        <v>55</v>
      </c>
      <c r="L1054" s="35" t="str">
        <f>IFERROR(_xlfn.XLOOKUP(Table6[[#This Row],[Error Code]],'Basic Data'!$AA:$AA,'Basic Data'!$AB:$AB),"Incorrect Error Code")</f>
        <v>WTG shut down</v>
      </c>
      <c r="M1054" s="35" t="s">
        <v>266</v>
      </c>
      <c r="N1054" s="264"/>
      <c r="O1054" s="265">
        <v>0.64513888888888893</v>
      </c>
      <c r="P1054" s="265">
        <v>0.64513888888888893</v>
      </c>
      <c r="Q1054" s="266">
        <v>0.65138888888888891</v>
      </c>
      <c r="R1054" s="261">
        <f>IF(Table6[[#This Row],[Work Start TimeStamp]]="","",(Table6[[#This Row],[Work Start TimeStamp]]-Table6[[#This Row],[Fault Start TimeStamp]])*24)</f>
        <v>0</v>
      </c>
      <c r="S1054" s="261">
        <f>(Table6[[#This Row],[Fault Clearance time]]-Table6[[#This Row],[Work Start TimeStamp]])*24</f>
        <v>0.14999999999999947</v>
      </c>
      <c r="T1054" s="261">
        <f>(Table6[[#This Row],[Fault Clearance time]]-Table6[[#This Row],[Fault Start TimeStamp]])*24</f>
        <v>0.14999999999999947</v>
      </c>
      <c r="U1054" s="35" t="s">
        <v>498</v>
      </c>
      <c r="V1054" s="102" t="s">
        <v>268</v>
      </c>
      <c r="W1054" s="267">
        <f>IFERROR(Table6[[#This Row],[Breakdown Time]]*Table6[[#This Row],[Plant Equivalent Weightage]],"")</f>
        <v>5.769230769230747E-3</v>
      </c>
      <c r="X1054" s="262" t="s">
        <v>269</v>
      </c>
      <c r="Y1054" s="263" t="s">
        <v>135</v>
      </c>
      <c r="Z1054" s="102">
        <v>26598</v>
      </c>
      <c r="AA1054" s="257">
        <f>(Table6[[#This Row],[Paired WTG Generation for loss calculation]]/24)*Table6[[#This Row],[Breakdown Time]]</f>
        <v>166.23749999999941</v>
      </c>
      <c r="AB1054" s="102"/>
      <c r="AC1054" s="35"/>
      <c r="AD1054" s="35"/>
    </row>
    <row r="1055" spans="1:30">
      <c r="A1055" s="102">
        <f t="shared" si="17"/>
        <v>1054</v>
      </c>
      <c r="B1055" s="257">
        <f>YEAR(Table6[[#This Row],[Date]])+IF(MONTH(Table6[[#This Row],[Date]])&gt;=4,1,0)</f>
        <v>2026</v>
      </c>
      <c r="C1055" s="102">
        <f>YEAR(Table6[[#This Row],[Date]])</f>
        <v>2025</v>
      </c>
      <c r="D1055" s="102" t="s">
        <v>265</v>
      </c>
      <c r="E1055" s="258">
        <f>Table6[[#This Row],[Date]]-DAY(Table6[[#This Row],[Date]])+1</f>
        <v>45809</v>
      </c>
      <c r="F1055" s="259">
        <v>45812</v>
      </c>
      <c r="G1055" s="35" t="s">
        <v>122</v>
      </c>
      <c r="H1055" s="35" t="str">
        <f>IFERROR(_xlfn.XLOOKUP(Table6[[#This Row],[Affected WTG]],'Basic Data'!$A:$A,'Basic Data'!$B:$B),"")</f>
        <v>TQGXIIPL</v>
      </c>
      <c r="I1055" s="35" t="str">
        <f>IFERROR(_xlfn.XLOOKUP(Table6[[#This Row],[Affected WTG]],'Basic Data'!$A:$A,'Basic Data'!$C:$C),"")</f>
        <v>GEDA</v>
      </c>
      <c r="J1055" s="260">
        <f>IFERROR(_xlfn.XLOOKUP(Table6[[#This Row],[Affected WTG]],'Basic Data'!$A:$A,'Basic Data'!$E:$E),"")</f>
        <v>3.846153846153845E-2</v>
      </c>
      <c r="K1055" s="102">
        <v>6130</v>
      </c>
      <c r="L1055" s="35" t="str">
        <f>IFERROR(_xlfn.XLOOKUP(Table6[[#This Row],[Error Code]],'Basic Data'!$AA:$AA,'Basic Data'!$AB:$AB),"Incorrect Error Code")</f>
        <v>Yaw speed high</v>
      </c>
      <c r="M1055" s="35" t="s">
        <v>278</v>
      </c>
      <c r="N1055" s="264"/>
      <c r="O1055" s="265">
        <v>0.56041666666666667</v>
      </c>
      <c r="P1055" s="265">
        <v>0.56041666666666667</v>
      </c>
      <c r="Q1055" s="266">
        <v>0.56458333333333333</v>
      </c>
      <c r="R1055" s="261">
        <f>IF(Table6[[#This Row],[Work Start TimeStamp]]="","",(Table6[[#This Row],[Work Start TimeStamp]]-Table6[[#This Row],[Fault Start TimeStamp]])*24)</f>
        <v>0</v>
      </c>
      <c r="S1055" s="261">
        <f>(Table6[[#This Row],[Fault Clearance time]]-Table6[[#This Row],[Work Start TimeStamp]])*24</f>
        <v>9.9999999999999645E-2</v>
      </c>
      <c r="T1055" s="261">
        <f>(Table6[[#This Row],[Fault Clearance time]]-Table6[[#This Row],[Fault Start TimeStamp]])*24</f>
        <v>9.9999999999999645E-2</v>
      </c>
      <c r="U1055" s="35" t="s">
        <v>277</v>
      </c>
      <c r="V1055" s="102" t="s">
        <v>268</v>
      </c>
      <c r="W1055" s="267">
        <f>IFERROR(Table6[[#This Row],[Breakdown Time]]*Table6[[#This Row],[Plant Equivalent Weightage]],"")</f>
        <v>3.8461538461538312E-3</v>
      </c>
      <c r="X1055" s="262" t="s">
        <v>269</v>
      </c>
      <c r="Y1055" s="263" t="s">
        <v>140</v>
      </c>
      <c r="Z1055" s="102">
        <v>26960</v>
      </c>
      <c r="AA1055" s="257">
        <f>(Table6[[#This Row],[Paired WTG Generation for loss calculation]]/24)*Table6[[#This Row],[Breakdown Time]]</f>
        <v>112.33333333333293</v>
      </c>
      <c r="AB1055" s="102"/>
      <c r="AC1055" s="35"/>
      <c r="AD1055" s="35"/>
    </row>
    <row r="1056" spans="1:30">
      <c r="A1056" s="102">
        <f t="shared" si="17"/>
        <v>1055</v>
      </c>
      <c r="B1056" s="257">
        <f>YEAR(Table6[[#This Row],[Date]])+IF(MONTH(Table6[[#This Row],[Date]])&gt;=4,1,0)</f>
        <v>2026</v>
      </c>
      <c r="C1056" s="102">
        <f>YEAR(Table6[[#This Row],[Date]])</f>
        <v>2025</v>
      </c>
      <c r="D1056" s="102" t="s">
        <v>265</v>
      </c>
      <c r="E1056" s="258">
        <f>Table6[[#This Row],[Date]]-DAY(Table6[[#This Row],[Date]])+1</f>
        <v>45809</v>
      </c>
      <c r="F1056" s="259">
        <v>45812</v>
      </c>
      <c r="G1056" s="35" t="s">
        <v>124</v>
      </c>
      <c r="H1056" s="35" t="str">
        <f>IFERROR(_xlfn.XLOOKUP(Table6[[#This Row],[Affected WTG]],'Basic Data'!$A:$A,'Basic Data'!$B:$B),"")</f>
        <v>TQGXIIPL</v>
      </c>
      <c r="I1056" s="35" t="str">
        <f>IFERROR(_xlfn.XLOOKUP(Table6[[#This Row],[Affected WTG]],'Basic Data'!$A:$A,'Basic Data'!$C:$C),"")</f>
        <v>GEDA</v>
      </c>
      <c r="J1056" s="260">
        <f>IFERROR(_xlfn.XLOOKUP(Table6[[#This Row],[Affected WTG]],'Basic Data'!$A:$A,'Basic Data'!$E:$E),"")</f>
        <v>3.846153846153845E-2</v>
      </c>
      <c r="K1056" s="102">
        <v>4970</v>
      </c>
      <c r="L1056" s="35" t="str">
        <f>IFERROR(_xlfn.XLOOKUP(Table6[[#This Row],[Error Code]],'Basic Data'!$AA:$AA,'Basic Data'!$AB:$AB),"Incorrect Error Code")</f>
        <v>Tower oscillation XF</v>
      </c>
      <c r="M1056" s="35" t="s">
        <v>278</v>
      </c>
      <c r="N1056" s="264"/>
      <c r="O1056" s="265">
        <v>0.46458333333333335</v>
      </c>
      <c r="P1056" s="265">
        <v>0.46458333333333335</v>
      </c>
      <c r="Q1056" s="266">
        <v>0.47569444444444442</v>
      </c>
      <c r="R1056" s="261">
        <f>IF(Table6[[#This Row],[Work Start TimeStamp]]="","",(Table6[[#This Row],[Work Start TimeStamp]]-Table6[[#This Row],[Fault Start TimeStamp]])*24)</f>
        <v>0</v>
      </c>
      <c r="S1056" s="261">
        <f>(Table6[[#This Row],[Fault Clearance time]]-Table6[[#This Row],[Work Start TimeStamp]])*24</f>
        <v>0.26666666666666572</v>
      </c>
      <c r="T1056" s="261">
        <f>(Table6[[#This Row],[Fault Clearance time]]-Table6[[#This Row],[Fault Start TimeStamp]])*24</f>
        <v>0.26666666666666572</v>
      </c>
      <c r="U1056" s="35" t="s">
        <v>277</v>
      </c>
      <c r="V1056" s="102" t="s">
        <v>268</v>
      </c>
      <c r="W1056" s="267">
        <f>IFERROR(Table6[[#This Row],[Breakdown Time]]*Table6[[#This Row],[Plant Equivalent Weightage]],"")</f>
        <v>1.0256410256410217E-2</v>
      </c>
      <c r="X1056" s="262" t="s">
        <v>269</v>
      </c>
      <c r="Y1056" s="263" t="s">
        <v>129</v>
      </c>
      <c r="Z1056" s="102">
        <v>25789</v>
      </c>
      <c r="AA1056" s="257">
        <f>(Table6[[#This Row],[Paired WTG Generation for loss calculation]]/24)*Table6[[#This Row],[Breakdown Time]]</f>
        <v>286.54444444444346</v>
      </c>
      <c r="AB1056" s="102"/>
      <c r="AC1056" s="35"/>
      <c r="AD1056" s="35"/>
    </row>
    <row r="1057" spans="1:30">
      <c r="A1057" s="102">
        <f t="shared" si="17"/>
        <v>1056</v>
      </c>
      <c r="B1057" s="257">
        <f>YEAR(Table6[[#This Row],[Date]])+IF(MONTH(Table6[[#This Row],[Date]])&gt;=4,1,0)</f>
        <v>2026</v>
      </c>
      <c r="C1057" s="102">
        <f>YEAR(Table6[[#This Row],[Date]])</f>
        <v>2025</v>
      </c>
      <c r="D1057" s="102" t="s">
        <v>265</v>
      </c>
      <c r="E1057" s="258">
        <f>Table6[[#This Row],[Date]]-DAY(Table6[[#This Row],[Date]])+1</f>
        <v>45809</v>
      </c>
      <c r="F1057" s="259">
        <v>45812</v>
      </c>
      <c r="G1057" s="35" t="s">
        <v>124</v>
      </c>
      <c r="H1057" s="35" t="str">
        <f>IFERROR(_xlfn.XLOOKUP(Table6[[#This Row],[Affected WTG]],'Basic Data'!$A:$A,'Basic Data'!$B:$B),"")</f>
        <v>TQGXIIPL</v>
      </c>
      <c r="I1057" s="35" t="str">
        <f>IFERROR(_xlfn.XLOOKUP(Table6[[#This Row],[Affected WTG]],'Basic Data'!$A:$A,'Basic Data'!$C:$C),"")</f>
        <v>GEDA</v>
      </c>
      <c r="J1057" s="260">
        <f>IFERROR(_xlfn.XLOOKUP(Table6[[#This Row],[Affected WTG]],'Basic Data'!$A:$A,'Basic Data'!$E:$E),"")</f>
        <v>3.846153846153845E-2</v>
      </c>
      <c r="K1057" s="102">
        <v>6601</v>
      </c>
      <c r="L1057" s="35" t="str">
        <f>IFERROR(_xlfn.XLOOKUP(Table6[[#This Row],[Error Code]],'Basic Data'!$AA:$AA,'Basic Data'!$AB:$AB),"Incorrect Error Code")</f>
        <v>Wind.dir. diff. level 1</v>
      </c>
      <c r="M1057" s="35" t="s">
        <v>266</v>
      </c>
      <c r="N1057" s="264"/>
      <c r="O1057" s="265">
        <v>0.47569444444444442</v>
      </c>
      <c r="P1057" s="265">
        <v>0.47569444444444442</v>
      </c>
      <c r="Q1057" s="266">
        <v>0.47708333333333336</v>
      </c>
      <c r="R1057" s="261">
        <f>IF(Table6[[#This Row],[Work Start TimeStamp]]="","",(Table6[[#This Row],[Work Start TimeStamp]]-Table6[[#This Row],[Fault Start TimeStamp]])*24)</f>
        <v>0</v>
      </c>
      <c r="S1057" s="261">
        <f>(Table6[[#This Row],[Fault Clearance time]]-Table6[[#This Row],[Work Start TimeStamp]])*24</f>
        <v>3.3333333333334547E-2</v>
      </c>
      <c r="T1057" s="261">
        <f>(Table6[[#This Row],[Fault Clearance time]]-Table6[[#This Row],[Fault Start TimeStamp]])*24</f>
        <v>3.3333333333334547E-2</v>
      </c>
      <c r="U1057" s="35" t="s">
        <v>483</v>
      </c>
      <c r="V1057" s="102" t="s">
        <v>268</v>
      </c>
      <c r="W1057" s="267">
        <f>IFERROR(Table6[[#This Row],[Breakdown Time]]*Table6[[#This Row],[Plant Equivalent Weightage]],"")</f>
        <v>1.2820512820513285E-3</v>
      </c>
      <c r="X1057" s="262" t="s">
        <v>269</v>
      </c>
      <c r="Y1057" s="263" t="s">
        <v>129</v>
      </c>
      <c r="Z1057" s="102">
        <v>25789</v>
      </c>
      <c r="AA1057" s="257">
        <f>(Table6[[#This Row],[Paired WTG Generation for loss calculation]]/24)*Table6[[#This Row],[Breakdown Time]]</f>
        <v>35.81805555555686</v>
      </c>
      <c r="AB1057" s="102"/>
      <c r="AC1057" s="35"/>
      <c r="AD1057" s="35"/>
    </row>
    <row r="1058" spans="1:30">
      <c r="A1058" s="102">
        <f t="shared" si="17"/>
        <v>1057</v>
      </c>
      <c r="B1058" s="257">
        <f>YEAR(Table6[[#This Row],[Date]])+IF(MONTH(Table6[[#This Row],[Date]])&gt;=4,1,0)</f>
        <v>2026</v>
      </c>
      <c r="C1058" s="102">
        <f>YEAR(Table6[[#This Row],[Date]])</f>
        <v>2025</v>
      </c>
      <c r="D1058" s="102" t="s">
        <v>265</v>
      </c>
      <c r="E1058" s="258">
        <f>Table6[[#This Row],[Date]]-DAY(Table6[[#This Row],[Date]])+1</f>
        <v>45809</v>
      </c>
      <c r="F1058" s="259">
        <v>45812</v>
      </c>
      <c r="G1058" s="35" t="s">
        <v>129</v>
      </c>
      <c r="H1058" s="35" t="str">
        <f>IFERROR(_xlfn.XLOOKUP(Table6[[#This Row],[Affected WTG]],'Basic Data'!$A:$A,'Basic Data'!$B:$B),"")</f>
        <v>TQGXIIPL</v>
      </c>
      <c r="I1058" s="35" t="str">
        <f>IFERROR(_xlfn.XLOOKUP(Table6[[#This Row],[Affected WTG]],'Basic Data'!$A:$A,'Basic Data'!$C:$C),"")</f>
        <v>GEDA</v>
      </c>
      <c r="J1058" s="260">
        <f>IFERROR(_xlfn.XLOOKUP(Table6[[#This Row],[Affected WTG]],'Basic Data'!$A:$A,'Basic Data'!$E:$E),"")</f>
        <v>3.846153846153845E-2</v>
      </c>
      <c r="K1058" s="102">
        <v>780</v>
      </c>
      <c r="L1058" s="35" t="str">
        <f>IFERROR(_xlfn.XLOOKUP(Table6[[#This Row],[Error Code]],'Basic Data'!$AA:$AA,'Basic Data'!$AB:$AB),"Incorrect Error Code")</f>
        <v>Error bridging start-up</v>
      </c>
      <c r="M1058" s="35" t="s">
        <v>266</v>
      </c>
      <c r="N1058" s="264"/>
      <c r="O1058" s="265">
        <v>0.50763888888888886</v>
      </c>
      <c r="P1058" s="265">
        <v>0.50763888888888886</v>
      </c>
      <c r="Q1058" s="266">
        <v>0.51041666666666663</v>
      </c>
      <c r="R1058" s="261">
        <f>IF(Table6[[#This Row],[Work Start TimeStamp]]="","",(Table6[[#This Row],[Work Start TimeStamp]]-Table6[[#This Row],[Fault Start TimeStamp]])*24)</f>
        <v>0</v>
      </c>
      <c r="S1058" s="261">
        <f>(Table6[[#This Row],[Fault Clearance time]]-Table6[[#This Row],[Work Start TimeStamp]])*24</f>
        <v>6.666666666666643E-2</v>
      </c>
      <c r="T1058" s="261">
        <f>(Table6[[#This Row],[Fault Clearance time]]-Table6[[#This Row],[Fault Start TimeStamp]])*24</f>
        <v>6.666666666666643E-2</v>
      </c>
      <c r="U1058" s="35" t="s">
        <v>496</v>
      </c>
      <c r="V1058" s="102" t="s">
        <v>268</v>
      </c>
      <c r="W1058" s="267">
        <f>IFERROR(Table6[[#This Row],[Breakdown Time]]*Table6[[#This Row],[Plant Equivalent Weightage]],"")</f>
        <v>2.5641025641025541E-3</v>
      </c>
      <c r="X1058" s="262" t="s">
        <v>269</v>
      </c>
      <c r="Y1058" s="263" t="s">
        <v>124</v>
      </c>
      <c r="Z1058" s="102">
        <v>25043</v>
      </c>
      <c r="AA1058" s="257">
        <f>(Table6[[#This Row],[Paired WTG Generation for loss calculation]]/24)*Table6[[#This Row],[Breakdown Time]]</f>
        <v>69.563888888888641</v>
      </c>
      <c r="AB1058" s="102"/>
      <c r="AC1058" s="35"/>
      <c r="AD1058" s="35"/>
    </row>
    <row r="1059" spans="1:30">
      <c r="A1059" s="102">
        <f t="shared" si="17"/>
        <v>1058</v>
      </c>
      <c r="B1059" s="257">
        <f>YEAR(Table6[[#This Row],[Date]])+IF(MONTH(Table6[[#This Row],[Date]])&gt;=4,1,0)</f>
        <v>2026</v>
      </c>
      <c r="C1059" s="102">
        <f>YEAR(Table6[[#This Row],[Date]])</f>
        <v>2025</v>
      </c>
      <c r="D1059" s="102" t="s">
        <v>265</v>
      </c>
      <c r="E1059" s="258">
        <f>Table6[[#This Row],[Date]]-DAY(Table6[[#This Row],[Date]])+1</f>
        <v>45809</v>
      </c>
      <c r="F1059" s="259">
        <v>45812</v>
      </c>
      <c r="G1059" s="35" t="s">
        <v>134</v>
      </c>
      <c r="H1059" s="35" t="str">
        <f>IFERROR(_xlfn.XLOOKUP(Table6[[#This Row],[Affected WTG]],'Basic Data'!$A:$A,'Basic Data'!$B:$B),"")</f>
        <v>TQGXIIPL</v>
      </c>
      <c r="I1059" s="35" t="str">
        <f>IFERROR(_xlfn.XLOOKUP(Table6[[#This Row],[Affected WTG]],'Basic Data'!$A:$A,'Basic Data'!$C:$C),"")</f>
        <v>GEDA</v>
      </c>
      <c r="J1059" s="260">
        <f>IFERROR(_xlfn.XLOOKUP(Table6[[#This Row],[Affected WTG]],'Basic Data'!$A:$A,'Basic Data'!$E:$E),"")</f>
        <v>3.846153846153845E-2</v>
      </c>
      <c r="K1059" s="102">
        <v>6130</v>
      </c>
      <c r="L1059" s="35" t="str">
        <f>IFERROR(_xlfn.XLOOKUP(Table6[[#This Row],[Error Code]],'Basic Data'!$AA:$AA,'Basic Data'!$AB:$AB),"Incorrect Error Code")</f>
        <v>Yaw speed high</v>
      </c>
      <c r="M1059" s="35" t="s">
        <v>266</v>
      </c>
      <c r="N1059" s="264"/>
      <c r="O1059" s="265">
        <v>0.64583333333333337</v>
      </c>
      <c r="P1059" s="265">
        <v>0.64583333333333337</v>
      </c>
      <c r="Q1059" s="266">
        <v>0.64861111111111114</v>
      </c>
      <c r="R1059" s="261">
        <f>IF(Table6[[#This Row],[Work Start TimeStamp]]="","",(Table6[[#This Row],[Work Start TimeStamp]]-Table6[[#This Row],[Fault Start TimeStamp]])*24)</f>
        <v>0</v>
      </c>
      <c r="S1059" s="261">
        <f>(Table6[[#This Row],[Fault Clearance time]]-Table6[[#This Row],[Work Start TimeStamp]])*24</f>
        <v>6.666666666666643E-2</v>
      </c>
      <c r="T1059" s="261">
        <f>(Table6[[#This Row],[Fault Clearance time]]-Table6[[#This Row],[Fault Start TimeStamp]])*24</f>
        <v>6.666666666666643E-2</v>
      </c>
      <c r="U1059" s="35" t="s">
        <v>483</v>
      </c>
      <c r="V1059" s="102" t="s">
        <v>268</v>
      </c>
      <c r="W1059" s="267">
        <f>IFERROR(Table6[[#This Row],[Breakdown Time]]*Table6[[#This Row],[Plant Equivalent Weightage]],"")</f>
        <v>2.5641025641025541E-3</v>
      </c>
      <c r="X1059" s="262" t="s">
        <v>269</v>
      </c>
      <c r="Y1059" s="263" t="s">
        <v>138</v>
      </c>
      <c r="Z1059" s="102">
        <v>27210</v>
      </c>
      <c r="AA1059" s="257">
        <f>(Table6[[#This Row],[Paired WTG Generation for loss calculation]]/24)*Table6[[#This Row],[Breakdown Time]]</f>
        <v>75.583333333333059</v>
      </c>
      <c r="AB1059" s="102"/>
      <c r="AC1059" s="35"/>
      <c r="AD1059" s="35"/>
    </row>
    <row r="1060" spans="1:30">
      <c r="A1060" s="102">
        <f t="shared" si="17"/>
        <v>1059</v>
      </c>
      <c r="B1060" s="257">
        <f>YEAR(Table6[[#This Row],[Date]])+IF(MONTH(Table6[[#This Row],[Date]])&gt;=4,1,0)</f>
        <v>2026</v>
      </c>
      <c r="C1060" s="102">
        <f>YEAR(Table6[[#This Row],[Date]])</f>
        <v>2025</v>
      </c>
      <c r="D1060" s="102" t="s">
        <v>265</v>
      </c>
      <c r="E1060" s="258">
        <f>Table6[[#This Row],[Date]]-DAY(Table6[[#This Row],[Date]])+1</f>
        <v>45809</v>
      </c>
      <c r="F1060" s="259">
        <v>45813</v>
      </c>
      <c r="G1060" s="35" t="s">
        <v>116</v>
      </c>
      <c r="H1060" s="35" t="str">
        <f>IFERROR(_xlfn.XLOOKUP(Table6[[#This Row],[Affected WTG]],'Basic Data'!$A:$A,'Basic Data'!$B:$B),"")</f>
        <v>TQGXIIPL</v>
      </c>
      <c r="I1060" s="35" t="str">
        <f>IFERROR(_xlfn.XLOOKUP(Table6[[#This Row],[Affected WTG]],'Basic Data'!$A:$A,'Basic Data'!$C:$C),"")</f>
        <v>GEDA</v>
      </c>
      <c r="J1060" s="260">
        <f>IFERROR(_xlfn.XLOOKUP(Table6[[#This Row],[Affected WTG]],'Basic Data'!$A:$A,'Basic Data'!$E:$E),"")</f>
        <v>3.846153846153845E-2</v>
      </c>
      <c r="K1060" s="102">
        <v>175</v>
      </c>
      <c r="L1060" s="35" t="str">
        <f>IFERROR(_xlfn.XLOOKUP(Table6[[#This Row],[Error Code]],'Basic Data'!$AA:$AA,'Basic Data'!$AB:$AB),"Incorrect Error Code")</f>
        <v>SLC error</v>
      </c>
      <c r="M1060" s="35" t="s">
        <v>266</v>
      </c>
      <c r="N1060" s="264"/>
      <c r="O1060" s="265">
        <v>0.46111111111111114</v>
      </c>
      <c r="P1060" s="265">
        <v>0.46111111111111114</v>
      </c>
      <c r="Q1060" s="266">
        <v>0.47083333333333333</v>
      </c>
      <c r="R1060" s="261">
        <f>IF(Table6[[#This Row],[Work Start TimeStamp]]="","",(Table6[[#This Row],[Work Start TimeStamp]]-Table6[[#This Row],[Fault Start TimeStamp]])*24)</f>
        <v>0</v>
      </c>
      <c r="S1060" s="261">
        <f>(Table6[[#This Row],[Fault Clearance time]]-Table6[[#This Row],[Work Start TimeStamp]])*24</f>
        <v>0.2333333333333325</v>
      </c>
      <c r="T1060" s="261">
        <f>(Table6[[#This Row],[Fault Clearance time]]-Table6[[#This Row],[Fault Start TimeStamp]])*24</f>
        <v>0.2333333333333325</v>
      </c>
      <c r="U1060" s="35" t="s">
        <v>483</v>
      </c>
      <c r="V1060" s="102" t="s">
        <v>268</v>
      </c>
      <c r="W1060" s="267">
        <f>IFERROR(Table6[[#This Row],[Breakdown Time]]*Table6[[#This Row],[Plant Equivalent Weightage]],"")</f>
        <v>8.974358974358939E-3</v>
      </c>
      <c r="X1060" s="262" t="s">
        <v>269</v>
      </c>
      <c r="Y1060" s="263" t="s">
        <v>119</v>
      </c>
      <c r="Z1060" s="102">
        <v>16515</v>
      </c>
      <c r="AA1060" s="257">
        <f>(Table6[[#This Row],[Paired WTG Generation for loss calculation]]/24)*Table6[[#This Row],[Breakdown Time]]</f>
        <v>160.56249999999943</v>
      </c>
      <c r="AB1060" s="102"/>
      <c r="AC1060" s="35"/>
      <c r="AD1060" s="35"/>
    </row>
    <row r="1061" spans="1:30">
      <c r="A1061" s="102">
        <f t="shared" si="17"/>
        <v>1060</v>
      </c>
      <c r="B1061" s="257">
        <f>YEAR(Table6[[#This Row],[Date]])+IF(MONTH(Table6[[#This Row],[Date]])&gt;=4,1,0)</f>
        <v>2026</v>
      </c>
      <c r="C1061" s="102">
        <f>YEAR(Table6[[#This Row],[Date]])</f>
        <v>2025</v>
      </c>
      <c r="D1061" s="102" t="s">
        <v>265</v>
      </c>
      <c r="E1061" s="258">
        <f>Table6[[#This Row],[Date]]-DAY(Table6[[#This Row],[Date]])+1</f>
        <v>45809</v>
      </c>
      <c r="F1061" s="259">
        <v>45813</v>
      </c>
      <c r="G1061" s="35" t="s">
        <v>116</v>
      </c>
      <c r="H1061" s="35" t="str">
        <f>IFERROR(_xlfn.XLOOKUP(Table6[[#This Row],[Affected WTG]],'Basic Data'!$A:$A,'Basic Data'!$B:$B),"")</f>
        <v>TQGXIIPL</v>
      </c>
      <c r="I1061" s="35" t="str">
        <f>IFERROR(_xlfn.XLOOKUP(Table6[[#This Row],[Affected WTG]],'Basic Data'!$A:$A,'Basic Data'!$C:$C),"")</f>
        <v>GEDA</v>
      </c>
      <c r="J1061" s="260">
        <f>IFERROR(_xlfn.XLOOKUP(Table6[[#This Row],[Affected WTG]],'Basic Data'!$A:$A,'Basic Data'!$E:$E),"")</f>
        <v>3.846153846153845E-2</v>
      </c>
      <c r="K1061" s="102">
        <v>175</v>
      </c>
      <c r="L1061" s="35" t="str">
        <f>IFERROR(_xlfn.XLOOKUP(Table6[[#This Row],[Error Code]],'Basic Data'!$AA:$AA,'Basic Data'!$AB:$AB),"Incorrect Error Code")</f>
        <v>SLC error</v>
      </c>
      <c r="M1061" s="35" t="s">
        <v>266</v>
      </c>
      <c r="N1061" s="264"/>
      <c r="O1061" s="265">
        <v>0.48194444444444445</v>
      </c>
      <c r="P1061" s="265">
        <v>0.48194444444444445</v>
      </c>
      <c r="Q1061" s="266">
        <v>0.4861111111111111</v>
      </c>
      <c r="R1061" s="261">
        <f>IF(Table6[[#This Row],[Work Start TimeStamp]]="","",(Table6[[#This Row],[Work Start TimeStamp]]-Table6[[#This Row],[Fault Start TimeStamp]])*24)</f>
        <v>0</v>
      </c>
      <c r="S1061" s="261">
        <f>(Table6[[#This Row],[Fault Clearance time]]-Table6[[#This Row],[Work Start TimeStamp]])*24</f>
        <v>9.9999999999999645E-2</v>
      </c>
      <c r="T1061" s="261">
        <f>(Table6[[#This Row],[Fault Clearance time]]-Table6[[#This Row],[Fault Start TimeStamp]])*24</f>
        <v>9.9999999999999645E-2</v>
      </c>
      <c r="U1061" s="35" t="s">
        <v>483</v>
      </c>
      <c r="V1061" s="102" t="s">
        <v>268</v>
      </c>
      <c r="W1061" s="267">
        <f>IFERROR(Table6[[#This Row],[Breakdown Time]]*Table6[[#This Row],[Plant Equivalent Weightage]],"")</f>
        <v>3.8461538461538312E-3</v>
      </c>
      <c r="X1061" s="262" t="s">
        <v>269</v>
      </c>
      <c r="Y1061" s="263" t="s">
        <v>119</v>
      </c>
      <c r="Z1061" s="102">
        <v>16515</v>
      </c>
      <c r="AA1061" s="257">
        <f>(Table6[[#This Row],[Paired WTG Generation for loss calculation]]/24)*Table6[[#This Row],[Breakdown Time]]</f>
        <v>68.812499999999758</v>
      </c>
      <c r="AB1061" s="102"/>
      <c r="AC1061" s="35"/>
      <c r="AD1061" s="35"/>
    </row>
    <row r="1062" spans="1:30">
      <c r="A1062" s="102">
        <f t="shared" si="17"/>
        <v>1061</v>
      </c>
      <c r="B1062" s="257">
        <f>YEAR(Table6[[#This Row],[Date]])+IF(MONTH(Table6[[#This Row],[Date]])&gt;=4,1,0)</f>
        <v>2026</v>
      </c>
      <c r="C1062" s="102">
        <f>YEAR(Table6[[#This Row],[Date]])</f>
        <v>2025</v>
      </c>
      <c r="D1062" s="102" t="s">
        <v>265</v>
      </c>
      <c r="E1062" s="258">
        <f>Table6[[#This Row],[Date]]-DAY(Table6[[#This Row],[Date]])+1</f>
        <v>45809</v>
      </c>
      <c r="F1062" s="259">
        <v>45813</v>
      </c>
      <c r="G1062" s="35" t="s">
        <v>118</v>
      </c>
      <c r="H1062" s="35" t="str">
        <f>IFERROR(_xlfn.XLOOKUP(Table6[[#This Row],[Affected WTG]],'Basic Data'!$A:$A,'Basic Data'!$B:$B),"")</f>
        <v>TQGXIIPL</v>
      </c>
      <c r="I1062" s="35" t="str">
        <f>IFERROR(_xlfn.XLOOKUP(Table6[[#This Row],[Affected WTG]],'Basic Data'!$A:$A,'Basic Data'!$C:$C),"")</f>
        <v>GEDA</v>
      </c>
      <c r="J1062" s="260">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266</v>
      </c>
      <c r="N1062" s="264"/>
      <c r="O1062" s="265">
        <v>0.36944444444444446</v>
      </c>
      <c r="P1062" s="265">
        <v>0.36944444444444446</v>
      </c>
      <c r="Q1062" s="266">
        <v>0.38124999999999998</v>
      </c>
      <c r="R1062" s="261">
        <f>IF(Table6[[#This Row],[Work Start TimeStamp]]="","",(Table6[[#This Row],[Work Start TimeStamp]]-Table6[[#This Row],[Fault Start TimeStamp]])*24)</f>
        <v>0</v>
      </c>
      <c r="S1062" s="261">
        <f>(Table6[[#This Row],[Fault Clearance time]]-Table6[[#This Row],[Work Start TimeStamp]])*24</f>
        <v>0.28333333333333233</v>
      </c>
      <c r="T1062" s="261">
        <f>(Table6[[#This Row],[Fault Clearance time]]-Table6[[#This Row],[Fault Start TimeStamp]])*24</f>
        <v>0.28333333333333233</v>
      </c>
      <c r="U1062" s="35" t="s">
        <v>483</v>
      </c>
      <c r="V1062" s="102" t="s">
        <v>268</v>
      </c>
      <c r="W1062" s="267">
        <f>IFERROR(Table6[[#This Row],[Breakdown Time]]*Table6[[#This Row],[Plant Equivalent Weightage]],"")</f>
        <v>1.0897435897435855E-2</v>
      </c>
      <c r="X1062" s="262" t="s">
        <v>269</v>
      </c>
      <c r="Y1062" s="263" t="s">
        <v>121</v>
      </c>
      <c r="Z1062" s="102">
        <v>12137</v>
      </c>
      <c r="AA1062" s="257">
        <f>(Table6[[#This Row],[Paired WTG Generation for loss calculation]]/24)*Table6[[#This Row],[Breakdown Time]]</f>
        <v>143.28402777777725</v>
      </c>
      <c r="AB1062" s="102"/>
      <c r="AC1062" s="35"/>
      <c r="AD1062" s="35"/>
    </row>
    <row r="1063" spans="1:30">
      <c r="A1063" s="102">
        <f t="shared" si="17"/>
        <v>1062</v>
      </c>
      <c r="B1063" s="257">
        <f>YEAR(Table6[[#This Row],[Date]])+IF(MONTH(Table6[[#This Row],[Date]])&gt;=4,1,0)</f>
        <v>2026</v>
      </c>
      <c r="C1063" s="102">
        <f>YEAR(Table6[[#This Row],[Date]])</f>
        <v>2025</v>
      </c>
      <c r="D1063" s="102" t="s">
        <v>265</v>
      </c>
      <c r="E1063" s="258">
        <f>Table6[[#This Row],[Date]]-DAY(Table6[[#This Row],[Date]])+1</f>
        <v>45809</v>
      </c>
      <c r="F1063" s="259">
        <v>45813</v>
      </c>
      <c r="G1063" s="35" t="s">
        <v>118</v>
      </c>
      <c r="H1063" s="35" t="str">
        <f>IFERROR(_xlfn.XLOOKUP(Table6[[#This Row],[Affected WTG]],'Basic Data'!$A:$A,'Basic Data'!$B:$B),"")</f>
        <v>TQGXIIPL</v>
      </c>
      <c r="I1063" s="35" t="str">
        <f>IFERROR(_xlfn.XLOOKUP(Table6[[#This Row],[Affected WTG]],'Basic Data'!$A:$A,'Basic Data'!$C:$C),"")</f>
        <v>GEDA</v>
      </c>
      <c r="J1063" s="260">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266</v>
      </c>
      <c r="N1063" s="264"/>
      <c r="O1063" s="265">
        <v>0.47569444444444442</v>
      </c>
      <c r="P1063" s="265">
        <v>0.47569444444444442</v>
      </c>
      <c r="Q1063" s="266">
        <v>0.48888888888888887</v>
      </c>
      <c r="R1063" s="261">
        <f>IF(Table6[[#This Row],[Work Start TimeStamp]]="","",(Table6[[#This Row],[Work Start TimeStamp]]-Table6[[#This Row],[Fault Start TimeStamp]])*24)</f>
        <v>0</v>
      </c>
      <c r="S1063" s="261">
        <f>(Table6[[#This Row],[Fault Clearance time]]-Table6[[#This Row],[Work Start TimeStamp]])*24</f>
        <v>0.31666666666666687</v>
      </c>
      <c r="T1063" s="261">
        <f>(Table6[[#This Row],[Fault Clearance time]]-Table6[[#This Row],[Fault Start TimeStamp]])*24</f>
        <v>0.31666666666666687</v>
      </c>
      <c r="U1063" s="35" t="s">
        <v>483</v>
      </c>
      <c r="V1063" s="102" t="s">
        <v>268</v>
      </c>
      <c r="W1063" s="267">
        <f>IFERROR(Table6[[#This Row],[Breakdown Time]]*Table6[[#This Row],[Plant Equivalent Weightage]],"")</f>
        <v>1.2179487179487183E-2</v>
      </c>
      <c r="X1063" s="262" t="s">
        <v>269</v>
      </c>
      <c r="Y1063" s="263" t="s">
        <v>121</v>
      </c>
      <c r="Z1063" s="102">
        <v>12137</v>
      </c>
      <c r="AA1063" s="257">
        <f>(Table6[[#This Row],[Paired WTG Generation for loss calculation]]/24)*Table6[[#This Row],[Breakdown Time]]</f>
        <v>160.14097222222233</v>
      </c>
      <c r="AB1063" s="102"/>
      <c r="AC1063" s="35"/>
      <c r="AD1063" s="35"/>
    </row>
    <row r="1064" spans="1:30">
      <c r="A1064" s="102">
        <f t="shared" si="17"/>
        <v>1063</v>
      </c>
      <c r="B1064" s="257">
        <f>YEAR(Table6[[#This Row],[Date]])+IF(MONTH(Table6[[#This Row],[Date]])&gt;=4,1,0)</f>
        <v>2026</v>
      </c>
      <c r="C1064" s="102">
        <f>YEAR(Table6[[#This Row],[Date]])</f>
        <v>2025</v>
      </c>
      <c r="D1064" s="102" t="s">
        <v>265</v>
      </c>
      <c r="E1064" s="258">
        <f>Table6[[#This Row],[Date]]-DAY(Table6[[#This Row],[Date]])+1</f>
        <v>45809</v>
      </c>
      <c r="F1064" s="259">
        <v>45813</v>
      </c>
      <c r="G1064" s="35" t="s">
        <v>118</v>
      </c>
      <c r="H1064" s="35" t="str">
        <f>IFERROR(_xlfn.XLOOKUP(Table6[[#This Row],[Affected WTG]],'Basic Data'!$A:$A,'Basic Data'!$B:$B),"")</f>
        <v>TQGXIIPL</v>
      </c>
      <c r="I1064" s="35" t="str">
        <f>IFERROR(_xlfn.XLOOKUP(Table6[[#This Row],[Affected WTG]],'Basic Data'!$A:$A,'Basic Data'!$C:$C),"")</f>
        <v>GEDA</v>
      </c>
      <c r="J1064" s="260">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266</v>
      </c>
      <c r="N1064" s="264"/>
      <c r="O1064" s="265">
        <v>0.5131944444444444</v>
      </c>
      <c r="P1064" s="265">
        <v>0.5541666666666667</v>
      </c>
      <c r="Q1064" s="266">
        <v>0.70138888888888884</v>
      </c>
      <c r="R1064" s="261">
        <f>IF(Table6[[#This Row],[Work Start TimeStamp]]="","",(Table6[[#This Row],[Work Start TimeStamp]]-Table6[[#This Row],[Fault Start TimeStamp]])*24)</f>
        <v>0.98333333333333517</v>
      </c>
      <c r="S1064" s="261">
        <f>(Table6[[#This Row],[Fault Clearance time]]-Table6[[#This Row],[Work Start TimeStamp]])*24</f>
        <v>3.5333333333333314</v>
      </c>
      <c r="T1064" s="261">
        <f>(Table6[[#This Row],[Fault Clearance time]]-Table6[[#This Row],[Fault Start TimeStamp]])*24</f>
        <v>4.5166666666666666</v>
      </c>
      <c r="U1064" s="35" t="s">
        <v>499</v>
      </c>
      <c r="V1064" s="102" t="s">
        <v>268</v>
      </c>
      <c r="W1064" s="267">
        <f>IFERROR(Table6[[#This Row],[Breakdown Time]]*Table6[[#This Row],[Plant Equivalent Weightage]],"")</f>
        <v>0.17371794871794866</v>
      </c>
      <c r="X1064" s="262" t="s">
        <v>269</v>
      </c>
      <c r="Y1064" s="263" t="s">
        <v>121</v>
      </c>
      <c r="Z1064" s="102">
        <v>12137</v>
      </c>
      <c r="AA1064" s="257">
        <f>(Table6[[#This Row],[Paired WTG Generation for loss calculation]]/24)*Table6[[#This Row],[Breakdown Time]]</f>
        <v>2284.1159722222219</v>
      </c>
      <c r="AB1064" s="102"/>
      <c r="AC1064" s="35"/>
      <c r="AD1064" s="35"/>
    </row>
    <row r="1065" spans="1:30">
      <c r="A1065" s="102">
        <f t="shared" si="17"/>
        <v>1064</v>
      </c>
      <c r="B1065" s="257">
        <f>YEAR(Table6[[#This Row],[Date]])+IF(MONTH(Table6[[#This Row],[Date]])&gt;=4,1,0)</f>
        <v>2026</v>
      </c>
      <c r="C1065" s="102">
        <f>YEAR(Table6[[#This Row],[Date]])</f>
        <v>2025</v>
      </c>
      <c r="D1065" s="102" t="s">
        <v>265</v>
      </c>
      <c r="E1065" s="258">
        <f>Table6[[#This Row],[Date]]-DAY(Table6[[#This Row],[Date]])+1</f>
        <v>45809</v>
      </c>
      <c r="F1065" s="259">
        <v>45813</v>
      </c>
      <c r="G1065" s="35" t="s">
        <v>124</v>
      </c>
      <c r="H1065" s="35" t="str">
        <f>IFERROR(_xlfn.XLOOKUP(Table6[[#This Row],[Affected WTG]],'Basic Data'!$A:$A,'Basic Data'!$B:$B),"")</f>
        <v>TQGXIIPL</v>
      </c>
      <c r="I1065" s="35" t="str">
        <f>IFERROR(_xlfn.XLOOKUP(Table6[[#This Row],[Affected WTG]],'Basic Data'!$A:$A,'Basic Data'!$C:$C),"")</f>
        <v>GEDA</v>
      </c>
      <c r="J1065" s="260">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278</v>
      </c>
      <c r="N1065" s="264"/>
      <c r="O1065" s="265">
        <v>0.83750000000000002</v>
      </c>
      <c r="P1065" s="265">
        <v>0.83750000000000002</v>
      </c>
      <c r="Q1065" s="266">
        <v>0.83819444444444446</v>
      </c>
      <c r="R1065" s="261">
        <f>IF(Table6[[#This Row],[Work Start TimeStamp]]="","",(Table6[[#This Row],[Work Start TimeStamp]]-Table6[[#This Row],[Fault Start TimeStamp]])*24)</f>
        <v>0</v>
      </c>
      <c r="S1065" s="261">
        <f>(Table6[[#This Row],[Fault Clearance time]]-Table6[[#This Row],[Work Start TimeStamp]])*24</f>
        <v>1.6666666666666607E-2</v>
      </c>
      <c r="T1065" s="261">
        <f>(Table6[[#This Row],[Fault Clearance time]]-Table6[[#This Row],[Fault Start TimeStamp]])*24</f>
        <v>1.6666666666666607E-2</v>
      </c>
      <c r="U1065" s="35" t="s">
        <v>277</v>
      </c>
      <c r="V1065" s="102" t="s">
        <v>268</v>
      </c>
      <c r="W1065" s="267">
        <f>IFERROR(Table6[[#This Row],[Breakdown Time]]*Table6[[#This Row],[Plant Equivalent Weightage]],"")</f>
        <v>6.4102564102563853E-4</v>
      </c>
      <c r="X1065" s="262" t="s">
        <v>269</v>
      </c>
      <c r="Y1065" s="263" t="s">
        <v>129</v>
      </c>
      <c r="Z1065" s="102">
        <v>13908</v>
      </c>
      <c r="AA1065" s="257">
        <f>(Table6[[#This Row],[Paired WTG Generation for loss calculation]]/24)*Table6[[#This Row],[Breakdown Time]]</f>
        <v>9.6583333333332995</v>
      </c>
      <c r="AB1065" s="102"/>
      <c r="AC1065" s="35"/>
      <c r="AD1065" s="35"/>
    </row>
    <row r="1066" spans="1:30">
      <c r="A1066" s="102">
        <f t="shared" si="17"/>
        <v>1065</v>
      </c>
      <c r="B1066" s="257">
        <f>YEAR(Table6[[#This Row],[Date]])+IF(MONTH(Table6[[#This Row],[Date]])&gt;=4,1,0)</f>
        <v>2026</v>
      </c>
      <c r="C1066" s="102">
        <f>YEAR(Table6[[#This Row],[Date]])</f>
        <v>2025</v>
      </c>
      <c r="D1066" s="102" t="s">
        <v>265</v>
      </c>
      <c r="E1066" s="258">
        <f>Table6[[#This Row],[Date]]-DAY(Table6[[#This Row],[Date]])+1</f>
        <v>45809</v>
      </c>
      <c r="F1066" s="259">
        <v>45813</v>
      </c>
      <c r="G1066" s="35" t="s">
        <v>127</v>
      </c>
      <c r="H1066" s="35" t="str">
        <f>IFERROR(_xlfn.XLOOKUP(Table6[[#This Row],[Affected WTG]],'Basic Data'!$A:$A,'Basic Data'!$B:$B),"")</f>
        <v>TQGXIIPL</v>
      </c>
      <c r="I1066" s="35" t="str">
        <f>IFERROR(_xlfn.XLOOKUP(Table6[[#This Row],[Affected WTG]],'Basic Data'!$A:$A,'Basic Data'!$C:$C),"")</f>
        <v>GEDA</v>
      </c>
      <c r="J1066" s="260">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278</v>
      </c>
      <c r="N1066" s="264"/>
      <c r="O1066" s="265">
        <v>0.82847222222222228</v>
      </c>
      <c r="P1066" s="265">
        <v>0.82847222222222228</v>
      </c>
      <c r="Q1066" s="266">
        <v>0.82986111111111116</v>
      </c>
      <c r="R1066" s="261">
        <f>IF(Table6[[#This Row],[Work Start TimeStamp]]="","",(Table6[[#This Row],[Work Start TimeStamp]]-Table6[[#This Row],[Fault Start TimeStamp]])*24)</f>
        <v>0</v>
      </c>
      <c r="S1066" s="261">
        <f>(Table6[[#This Row],[Fault Clearance time]]-Table6[[#This Row],[Work Start TimeStamp]])*24</f>
        <v>3.3333333333333215E-2</v>
      </c>
      <c r="T1066" s="261">
        <f>(Table6[[#This Row],[Fault Clearance time]]-Table6[[#This Row],[Fault Start TimeStamp]])*24</f>
        <v>3.3333333333333215E-2</v>
      </c>
      <c r="U1066" s="35" t="s">
        <v>277</v>
      </c>
      <c r="V1066" s="102" t="s">
        <v>268</v>
      </c>
      <c r="W1066" s="267">
        <f>IFERROR(Table6[[#This Row],[Breakdown Time]]*Table6[[#This Row],[Plant Equivalent Weightage]],"")</f>
        <v>1.2820512820512771E-3</v>
      </c>
      <c r="X1066" s="262" t="s">
        <v>269</v>
      </c>
      <c r="Y1066" s="263" t="s">
        <v>125</v>
      </c>
      <c r="Z1066" s="102">
        <v>14184</v>
      </c>
      <c r="AA1066" s="257">
        <f>(Table6[[#This Row],[Paired WTG Generation for loss calculation]]/24)*Table6[[#This Row],[Breakdown Time]]</f>
        <v>19.699999999999932</v>
      </c>
      <c r="AB1066" s="102"/>
      <c r="AC1066" s="35"/>
      <c r="AD1066" s="35"/>
    </row>
    <row r="1067" spans="1:30">
      <c r="A1067" s="102">
        <f t="shared" si="17"/>
        <v>1066</v>
      </c>
      <c r="B1067" s="257">
        <f>YEAR(Table6[[#This Row],[Date]])+IF(MONTH(Table6[[#This Row],[Date]])&gt;=4,1,0)</f>
        <v>2026</v>
      </c>
      <c r="C1067" s="102">
        <f>YEAR(Table6[[#This Row],[Date]])</f>
        <v>2025</v>
      </c>
      <c r="D1067" s="102" t="s">
        <v>265</v>
      </c>
      <c r="E1067" s="258">
        <f>Table6[[#This Row],[Date]]-DAY(Table6[[#This Row],[Date]])+1</f>
        <v>45809</v>
      </c>
      <c r="F1067" s="259">
        <v>45813</v>
      </c>
      <c r="G1067" s="35" t="s">
        <v>135</v>
      </c>
      <c r="H1067" s="35" t="str">
        <f>IFERROR(_xlfn.XLOOKUP(Table6[[#This Row],[Affected WTG]],'Basic Data'!$A:$A,'Basic Data'!$B:$B),"")</f>
        <v>TQGXIIPL</v>
      </c>
      <c r="I1067" s="35" t="str">
        <f>IFERROR(_xlfn.XLOOKUP(Table6[[#This Row],[Affected WTG]],'Basic Data'!$A:$A,'Basic Data'!$C:$C),"")</f>
        <v>GEDA</v>
      </c>
      <c r="J1067" s="260">
        <f>IFERROR(_xlfn.XLOOKUP(Table6[[#This Row],[Affected WTG]],'Basic Data'!$A:$A,'Basic Data'!$E:$E),"")</f>
        <v>3.846153846153845E-2</v>
      </c>
      <c r="K1067" s="102">
        <v>3110</v>
      </c>
      <c r="L1067" s="35" t="str">
        <f>IFERROR(_xlfn.XLOOKUP(Table6[[#This Row],[Error Code]],'Basic Data'!$AA:$AA,'Basic Data'!$AB:$AB),"Incorrect Error Code")</f>
        <v>Frequency converter error</v>
      </c>
      <c r="M1067" s="35" t="s">
        <v>278</v>
      </c>
      <c r="N1067" s="264"/>
      <c r="O1067" s="265">
        <v>0.7631944444444444</v>
      </c>
      <c r="P1067" s="265">
        <v>0.7631944444444444</v>
      </c>
      <c r="Q1067" s="266">
        <v>0.76388888888888884</v>
      </c>
      <c r="R1067" s="261">
        <f>IF(Table6[[#This Row],[Work Start TimeStamp]]="","",(Table6[[#This Row],[Work Start TimeStamp]]-Table6[[#This Row],[Fault Start TimeStamp]])*24)</f>
        <v>0</v>
      </c>
      <c r="S1067" s="261">
        <f>(Table6[[#This Row],[Fault Clearance time]]-Table6[[#This Row],[Work Start TimeStamp]])*24</f>
        <v>1.6666666666666607E-2</v>
      </c>
      <c r="T1067" s="261">
        <f>(Table6[[#This Row],[Fault Clearance time]]-Table6[[#This Row],[Fault Start TimeStamp]])*24</f>
        <v>1.6666666666666607E-2</v>
      </c>
      <c r="U1067" s="35" t="s">
        <v>277</v>
      </c>
      <c r="V1067" s="102" t="s">
        <v>268</v>
      </c>
      <c r="W1067" s="267">
        <f>IFERROR(Table6[[#This Row],[Breakdown Time]]*Table6[[#This Row],[Plant Equivalent Weightage]],"")</f>
        <v>6.4102564102563853E-4</v>
      </c>
      <c r="X1067" s="262" t="s">
        <v>269</v>
      </c>
      <c r="Y1067" s="263" t="s">
        <v>120</v>
      </c>
      <c r="Z1067" s="102">
        <v>16771</v>
      </c>
      <c r="AA1067" s="257">
        <f>(Table6[[#This Row],[Paired WTG Generation for loss calculation]]/24)*Table6[[#This Row],[Breakdown Time]]</f>
        <v>11.646527777777736</v>
      </c>
      <c r="AB1067" s="102"/>
      <c r="AC1067" s="35"/>
      <c r="AD1067" s="35"/>
    </row>
    <row r="1068" spans="1:30">
      <c r="A1068" s="102">
        <f t="shared" si="17"/>
        <v>1067</v>
      </c>
      <c r="B1068" s="257">
        <f>YEAR(Table6[[#This Row],[Date]])+IF(MONTH(Table6[[#This Row],[Date]])&gt;=4,1,0)</f>
        <v>2026</v>
      </c>
      <c r="C1068" s="102">
        <f>YEAR(Table6[[#This Row],[Date]])</f>
        <v>2025</v>
      </c>
      <c r="D1068" s="102" t="s">
        <v>265</v>
      </c>
      <c r="E1068" s="258">
        <f>Table6[[#This Row],[Date]]-DAY(Table6[[#This Row],[Date]])+1</f>
        <v>45809</v>
      </c>
      <c r="F1068" s="259">
        <v>45813</v>
      </c>
      <c r="G1068" s="35" t="s">
        <v>136</v>
      </c>
      <c r="H1068" s="35" t="str">
        <f>IFERROR(_xlfn.XLOOKUP(Table6[[#This Row],[Affected WTG]],'Basic Data'!$A:$A,'Basic Data'!$B:$B),"")</f>
        <v>TQGXIIPL</v>
      </c>
      <c r="I1068" s="35" t="str">
        <f>IFERROR(_xlfn.XLOOKUP(Table6[[#This Row],[Affected WTG]],'Basic Data'!$A:$A,'Basic Data'!$C:$C),"")</f>
        <v>GEDA</v>
      </c>
      <c r="J1068" s="260">
        <f>IFERROR(_xlfn.XLOOKUP(Table6[[#This Row],[Affected WTG]],'Basic Data'!$A:$A,'Basic Data'!$E:$E),"")</f>
        <v>3.846153846153845E-2</v>
      </c>
      <c r="K1068" s="102">
        <v>3110</v>
      </c>
      <c r="L1068" s="35" t="str">
        <f>IFERROR(_xlfn.XLOOKUP(Table6[[#This Row],[Error Code]],'Basic Data'!$AA:$AA,'Basic Data'!$AB:$AB),"Incorrect Error Code")</f>
        <v>Frequency converter error</v>
      </c>
      <c r="M1068" s="35" t="s">
        <v>278</v>
      </c>
      <c r="N1068" s="264"/>
      <c r="O1068" s="265">
        <v>0.76666666666666672</v>
      </c>
      <c r="P1068" s="265">
        <v>0.76666666666666672</v>
      </c>
      <c r="Q1068" s="266">
        <v>0.77083333333333337</v>
      </c>
      <c r="R1068" s="261">
        <f>IF(Table6[[#This Row],[Work Start TimeStamp]]="","",(Table6[[#This Row],[Work Start TimeStamp]]-Table6[[#This Row],[Fault Start TimeStamp]])*24)</f>
        <v>0</v>
      </c>
      <c r="S1068" s="261">
        <f>(Table6[[#This Row],[Fault Clearance time]]-Table6[[#This Row],[Work Start TimeStamp]])*24</f>
        <v>9.9999999999999645E-2</v>
      </c>
      <c r="T1068" s="261">
        <f>(Table6[[#This Row],[Fault Clearance time]]-Table6[[#This Row],[Fault Start TimeStamp]])*24</f>
        <v>9.9999999999999645E-2</v>
      </c>
      <c r="U1068" s="35" t="s">
        <v>277</v>
      </c>
      <c r="V1068" s="102" t="s">
        <v>268</v>
      </c>
      <c r="W1068" s="267">
        <f>IFERROR(Table6[[#This Row],[Breakdown Time]]*Table6[[#This Row],[Plant Equivalent Weightage]],"")</f>
        <v>3.8461538461538312E-3</v>
      </c>
      <c r="X1068" s="262" t="s">
        <v>269</v>
      </c>
      <c r="Y1068" s="263" t="s">
        <v>120</v>
      </c>
      <c r="Z1068" s="102">
        <v>16771</v>
      </c>
      <c r="AA1068" s="257">
        <f>(Table6[[#This Row],[Paired WTG Generation for loss calculation]]/24)*Table6[[#This Row],[Breakdown Time]]</f>
        <v>69.879166666666421</v>
      </c>
      <c r="AB1068" s="102"/>
      <c r="AC1068" s="35"/>
      <c r="AD1068" s="35"/>
    </row>
    <row r="1069" spans="1:30">
      <c r="A1069" s="102">
        <f t="shared" si="17"/>
        <v>1068</v>
      </c>
      <c r="B1069" s="257">
        <f>YEAR(Table6[[#This Row],[Date]])+IF(MONTH(Table6[[#This Row],[Date]])&gt;=4,1,0)</f>
        <v>2026</v>
      </c>
      <c r="C1069" s="102">
        <f>YEAR(Table6[[#This Row],[Date]])</f>
        <v>2025</v>
      </c>
      <c r="D1069" s="102" t="s">
        <v>265</v>
      </c>
      <c r="E1069" s="258">
        <f>Table6[[#This Row],[Date]]-DAY(Table6[[#This Row],[Date]])+1</f>
        <v>45809</v>
      </c>
      <c r="F1069" s="259">
        <v>45813</v>
      </c>
      <c r="G1069" s="35" t="s">
        <v>118</v>
      </c>
      <c r="H1069" s="35" t="str">
        <f>IFERROR(_xlfn.XLOOKUP(Table6[[#This Row],[Affected WTG]],'Basic Data'!$A:$A,'Basic Data'!$B:$B),"")</f>
        <v>TQGXIIPL</v>
      </c>
      <c r="I1069" s="35" t="str">
        <f>IFERROR(_xlfn.XLOOKUP(Table6[[#This Row],[Affected WTG]],'Basic Data'!$A:$A,'Basic Data'!$C:$C),"")</f>
        <v>GEDA</v>
      </c>
      <c r="J1069" s="260">
        <f>IFERROR(_xlfn.XLOOKUP(Table6[[#This Row],[Affected WTG]],'Basic Data'!$A:$A,'Basic Data'!$E:$E),"")</f>
        <v>3.846153846153845E-2</v>
      </c>
      <c r="K1069" s="102">
        <v>3110</v>
      </c>
      <c r="L1069" s="35" t="str">
        <f>IFERROR(_xlfn.XLOOKUP(Table6[[#This Row],[Error Code]],'Basic Data'!$AA:$AA,'Basic Data'!$AB:$AB),"Incorrect Error Code")</f>
        <v>Frequency converter error</v>
      </c>
      <c r="M1069" s="35" t="s">
        <v>278</v>
      </c>
      <c r="N1069" s="264"/>
      <c r="O1069" s="265">
        <v>0.74791666666666667</v>
      </c>
      <c r="P1069" s="265">
        <v>0.74791666666666667</v>
      </c>
      <c r="Q1069" s="266">
        <v>0.74930555555555556</v>
      </c>
      <c r="R1069" s="261">
        <f>IF(Table6[[#This Row],[Work Start TimeStamp]]="","",(Table6[[#This Row],[Work Start TimeStamp]]-Table6[[#This Row],[Fault Start TimeStamp]])*24)</f>
        <v>0</v>
      </c>
      <c r="S1069" s="261">
        <f>(Table6[[#This Row],[Fault Clearance time]]-Table6[[#This Row],[Work Start TimeStamp]])*24</f>
        <v>3.3333333333333215E-2</v>
      </c>
      <c r="T1069" s="261">
        <f>(Table6[[#This Row],[Fault Clearance time]]-Table6[[#This Row],[Fault Start TimeStamp]])*24</f>
        <v>3.3333333333333215E-2</v>
      </c>
      <c r="U1069" s="35" t="s">
        <v>277</v>
      </c>
      <c r="V1069" s="102" t="s">
        <v>268</v>
      </c>
      <c r="W1069" s="267">
        <f>IFERROR(Table6[[#This Row],[Breakdown Time]]*Table6[[#This Row],[Plant Equivalent Weightage]],"")</f>
        <v>1.2820512820512771E-3</v>
      </c>
      <c r="X1069" s="262" t="s">
        <v>269</v>
      </c>
      <c r="Y1069" s="263" t="s">
        <v>121</v>
      </c>
      <c r="Z1069" s="102">
        <v>12137</v>
      </c>
      <c r="AA1069" s="257">
        <f>(Table6[[#This Row],[Paired WTG Generation for loss calculation]]/24)*Table6[[#This Row],[Breakdown Time]]</f>
        <v>16.856944444444384</v>
      </c>
      <c r="AB1069" s="102"/>
      <c r="AC1069" s="35"/>
      <c r="AD1069" s="35"/>
    </row>
    <row r="1070" spans="1:30">
      <c r="A1070" s="102">
        <f t="shared" si="17"/>
        <v>1069</v>
      </c>
      <c r="B1070" s="257">
        <f>YEAR(Table6[[#This Row],[Date]])+IF(MONTH(Table6[[#This Row],[Date]])&gt;=4,1,0)</f>
        <v>2026</v>
      </c>
      <c r="C1070" s="102">
        <f>YEAR(Table6[[#This Row],[Date]])</f>
        <v>2025</v>
      </c>
      <c r="D1070" s="102" t="s">
        <v>265</v>
      </c>
      <c r="E1070" s="258">
        <f>Table6[[#This Row],[Date]]-DAY(Table6[[#This Row],[Date]])+1</f>
        <v>45809</v>
      </c>
      <c r="F1070" s="259">
        <v>45814</v>
      </c>
      <c r="G1070" s="35" t="s">
        <v>115</v>
      </c>
      <c r="H1070" s="35" t="str">
        <f>IFERROR(_xlfn.XLOOKUP(Table6[[#This Row],[Affected WTG]],'Basic Data'!$A:$A,'Basic Data'!$B:$B),"")</f>
        <v>TQGXIIPL</v>
      </c>
      <c r="I1070" s="35" t="str">
        <f>IFERROR(_xlfn.XLOOKUP(Table6[[#This Row],[Affected WTG]],'Basic Data'!$A:$A,'Basic Data'!$C:$C),"")</f>
        <v>GEDA</v>
      </c>
      <c r="J1070" s="260">
        <f>IFERROR(_xlfn.XLOOKUP(Table6[[#This Row],[Affected WTG]],'Basic Data'!$A:$A,'Basic Data'!$E:$E),"")</f>
        <v>3.846153846153845E-2</v>
      </c>
      <c r="K1070" s="102">
        <v>4970</v>
      </c>
      <c r="L1070" s="35" t="str">
        <f>IFERROR(_xlfn.XLOOKUP(Table6[[#This Row],[Error Code]],'Basic Data'!$AA:$AA,'Basic Data'!$AB:$AB),"Incorrect Error Code")</f>
        <v>Tower oscillation XF</v>
      </c>
      <c r="M1070" s="35" t="s">
        <v>278</v>
      </c>
      <c r="N1070" s="264"/>
      <c r="O1070" s="265">
        <v>0.80625000000000002</v>
      </c>
      <c r="P1070" s="265">
        <v>0.80625000000000002</v>
      </c>
      <c r="Q1070" s="266">
        <v>0.81736111111111109</v>
      </c>
      <c r="R1070" s="261">
        <f>IF(Table6[[#This Row],[Work Start TimeStamp]]="","",(Table6[[#This Row],[Work Start TimeStamp]]-Table6[[#This Row],[Fault Start TimeStamp]])*24)</f>
        <v>0</v>
      </c>
      <c r="S1070" s="261">
        <f>(Table6[[#This Row],[Fault Clearance time]]-Table6[[#This Row],[Work Start TimeStamp]])*24</f>
        <v>0.26666666666666572</v>
      </c>
      <c r="T1070" s="261">
        <f>(Table6[[#This Row],[Fault Clearance time]]-Table6[[#This Row],[Fault Start TimeStamp]])*24</f>
        <v>0.26666666666666572</v>
      </c>
      <c r="U1070" s="35" t="s">
        <v>277</v>
      </c>
      <c r="V1070" s="102" t="s">
        <v>268</v>
      </c>
      <c r="W1070" s="267">
        <f>IFERROR(Table6[[#This Row],[Breakdown Time]]*Table6[[#This Row],[Plant Equivalent Weightage]],"")</f>
        <v>1.0256410256410217E-2</v>
      </c>
      <c r="X1070" s="262" t="s">
        <v>269</v>
      </c>
      <c r="Y1070" s="263" t="s">
        <v>140</v>
      </c>
      <c r="Z1070" s="102">
        <v>23651</v>
      </c>
      <c r="AA1070" s="257">
        <f>(Table6[[#This Row],[Paired WTG Generation for loss calculation]]/24)*Table6[[#This Row],[Breakdown Time]]</f>
        <v>262.78888888888798</v>
      </c>
      <c r="AB1070" s="102"/>
      <c r="AC1070" s="35"/>
      <c r="AD1070" s="35"/>
    </row>
    <row r="1071" spans="1:30">
      <c r="A1071" s="102">
        <f t="shared" si="17"/>
        <v>1070</v>
      </c>
      <c r="B1071" s="257">
        <f>YEAR(Table6[[#This Row],[Date]])+IF(MONTH(Table6[[#This Row],[Date]])&gt;=4,1,0)</f>
        <v>2026</v>
      </c>
      <c r="C1071" s="102">
        <f>YEAR(Table6[[#This Row],[Date]])</f>
        <v>2025</v>
      </c>
      <c r="D1071" s="102" t="s">
        <v>265</v>
      </c>
      <c r="E1071" s="258">
        <f>Table6[[#This Row],[Date]]-DAY(Table6[[#This Row],[Date]])+1</f>
        <v>45809</v>
      </c>
      <c r="F1071" s="259">
        <v>45814</v>
      </c>
      <c r="G1071" s="35" t="s">
        <v>117</v>
      </c>
      <c r="H1071" s="35" t="str">
        <f>IFERROR(_xlfn.XLOOKUP(Table6[[#This Row],[Affected WTG]],'Basic Data'!$A:$A,'Basic Data'!$B:$B),"")</f>
        <v>TQGXIIPL</v>
      </c>
      <c r="I1071" s="35" t="str">
        <f>IFERROR(_xlfn.XLOOKUP(Table6[[#This Row],[Affected WTG]],'Basic Data'!$A:$A,'Basic Data'!$C:$C),"")</f>
        <v>GEDA</v>
      </c>
      <c r="J1071" s="260">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266</v>
      </c>
      <c r="N1071" s="264"/>
      <c r="O1071" s="265">
        <v>0.49513888888888891</v>
      </c>
      <c r="P1071" s="265">
        <v>0.57638888888888884</v>
      </c>
      <c r="Q1071" s="266">
        <v>0.73750000000000004</v>
      </c>
      <c r="R1071" s="261">
        <f>IF(Table6[[#This Row],[Work Start TimeStamp]]="","",(Table6[[#This Row],[Work Start TimeStamp]]-Table6[[#This Row],[Fault Start TimeStamp]])*24)</f>
        <v>1.9499999999999984</v>
      </c>
      <c r="S1071" s="261">
        <f>(Table6[[#This Row],[Fault Clearance time]]-Table6[[#This Row],[Work Start TimeStamp]])*24</f>
        <v>3.8666666666666689</v>
      </c>
      <c r="T1071" s="261">
        <f>(Table6[[#This Row],[Fault Clearance time]]-Table6[[#This Row],[Fault Start TimeStamp]])*24</f>
        <v>5.8166666666666673</v>
      </c>
      <c r="U1071" s="35" t="s">
        <v>500</v>
      </c>
      <c r="V1071" s="102" t="s">
        <v>268</v>
      </c>
      <c r="W1071" s="267">
        <f>IFERROR(Table6[[#This Row],[Breakdown Time]]*Table6[[#This Row],[Plant Equivalent Weightage]],"")</f>
        <v>0.22371794871794867</v>
      </c>
      <c r="X1071" s="262" t="s">
        <v>296</v>
      </c>
      <c r="Y1071" s="263" t="s">
        <v>123</v>
      </c>
      <c r="Z1071" s="102">
        <v>22922</v>
      </c>
      <c r="AA1071" s="257">
        <f>(Table6[[#This Row],[Paired WTG Generation for loss calculation]]/24)*Table6[[#This Row],[Breakdown Time]]</f>
        <v>5555.4013888888894</v>
      </c>
      <c r="AB1071" s="102"/>
      <c r="AC1071" s="35"/>
      <c r="AD1071" s="35"/>
    </row>
    <row r="1072" spans="1:30">
      <c r="A1072" s="102">
        <f t="shared" si="17"/>
        <v>1071</v>
      </c>
      <c r="B1072" s="257">
        <f>YEAR(Table6[[#This Row],[Date]])+IF(MONTH(Table6[[#This Row],[Date]])&gt;=4,1,0)</f>
        <v>2026</v>
      </c>
      <c r="C1072" s="102">
        <f>YEAR(Table6[[#This Row],[Date]])</f>
        <v>2025</v>
      </c>
      <c r="D1072" s="102" t="s">
        <v>265</v>
      </c>
      <c r="E1072" s="258">
        <f>Table6[[#This Row],[Date]]-DAY(Table6[[#This Row],[Date]])+1</f>
        <v>45809</v>
      </c>
      <c r="F1072" s="259">
        <v>45814</v>
      </c>
      <c r="G1072" s="35" t="s">
        <v>118</v>
      </c>
      <c r="H1072" s="35" t="str">
        <f>IFERROR(_xlfn.XLOOKUP(Table6[[#This Row],[Affected WTG]],'Basic Data'!$A:$A,'Basic Data'!$B:$B),"")</f>
        <v>TQGXIIPL</v>
      </c>
      <c r="I1072" s="35" t="str">
        <f>IFERROR(_xlfn.XLOOKUP(Table6[[#This Row],[Affected WTG]],'Basic Data'!$A:$A,'Basic Data'!$C:$C),"")</f>
        <v>GEDA</v>
      </c>
      <c r="J1072" s="260">
        <f>IFERROR(_xlfn.XLOOKUP(Table6[[#This Row],[Affected WTG]],'Basic Data'!$A:$A,'Basic Data'!$E:$E),"")</f>
        <v>3.846153846153845E-2</v>
      </c>
      <c r="K1072" s="102">
        <v>6130</v>
      </c>
      <c r="L1072" s="35" t="str">
        <f>IFERROR(_xlfn.XLOOKUP(Table6[[#This Row],[Error Code]],'Basic Data'!$AA:$AA,'Basic Data'!$AB:$AB),"Incorrect Error Code")</f>
        <v>Yaw speed high</v>
      </c>
      <c r="M1072" s="35" t="s">
        <v>278</v>
      </c>
      <c r="N1072" s="264"/>
      <c r="O1072" s="265">
        <v>0.7944444444444444</v>
      </c>
      <c r="P1072" s="265">
        <v>0.7944444444444444</v>
      </c>
      <c r="Q1072" s="266">
        <v>0.79861111111111116</v>
      </c>
      <c r="R1072" s="261">
        <f>IF(Table6[[#This Row],[Work Start TimeStamp]]="","",(Table6[[#This Row],[Work Start TimeStamp]]-Table6[[#This Row],[Fault Start TimeStamp]])*24)</f>
        <v>0</v>
      </c>
      <c r="S1072" s="261">
        <f>(Table6[[#This Row],[Fault Clearance time]]-Table6[[#This Row],[Work Start TimeStamp]])*24</f>
        <v>0.10000000000000231</v>
      </c>
      <c r="T1072" s="261">
        <f>(Table6[[#This Row],[Fault Clearance time]]-Table6[[#This Row],[Fault Start TimeStamp]])*24</f>
        <v>0.10000000000000231</v>
      </c>
      <c r="U1072" s="35" t="s">
        <v>277</v>
      </c>
      <c r="V1072" s="102" t="s">
        <v>268</v>
      </c>
      <c r="W1072" s="267">
        <f>IFERROR(Table6[[#This Row],[Breakdown Time]]*Table6[[#This Row],[Plant Equivalent Weightage]],"")</f>
        <v>3.846153846153934E-3</v>
      </c>
      <c r="X1072" s="262" t="s">
        <v>269</v>
      </c>
      <c r="Y1072" s="263" t="s">
        <v>121</v>
      </c>
      <c r="Z1072" s="102">
        <v>24124</v>
      </c>
      <c r="AA1072" s="257">
        <f>(Table6[[#This Row],[Paired WTG Generation for loss calculation]]/24)*Table6[[#This Row],[Breakdown Time]]</f>
        <v>100.51666666666898</v>
      </c>
      <c r="AB1072" s="102"/>
      <c r="AC1072" s="35"/>
      <c r="AD1072" s="35"/>
    </row>
    <row r="1073" spans="1:30">
      <c r="A1073" s="102">
        <f t="shared" si="17"/>
        <v>1072</v>
      </c>
      <c r="B1073" s="257">
        <f>YEAR(Table6[[#This Row],[Date]])+IF(MONTH(Table6[[#This Row],[Date]])&gt;=4,1,0)</f>
        <v>2026</v>
      </c>
      <c r="C1073" s="102">
        <f>YEAR(Table6[[#This Row],[Date]])</f>
        <v>2025</v>
      </c>
      <c r="D1073" s="102" t="s">
        <v>265</v>
      </c>
      <c r="E1073" s="258">
        <f>Table6[[#This Row],[Date]]-DAY(Table6[[#This Row],[Date]])+1</f>
        <v>45809</v>
      </c>
      <c r="F1073" s="259">
        <v>45814</v>
      </c>
      <c r="G1073" s="35" t="s">
        <v>119</v>
      </c>
      <c r="H1073" s="35" t="str">
        <f>IFERROR(_xlfn.XLOOKUP(Table6[[#This Row],[Affected WTG]],'Basic Data'!$A:$A,'Basic Data'!$B:$B),"")</f>
        <v>TQGXIIPL</v>
      </c>
      <c r="I1073" s="35" t="str">
        <f>IFERROR(_xlfn.XLOOKUP(Table6[[#This Row],[Affected WTG]],'Basic Data'!$A:$A,'Basic Data'!$C:$C),"")</f>
        <v>GEDA</v>
      </c>
      <c r="J1073" s="260">
        <f>IFERROR(_xlfn.XLOOKUP(Table6[[#This Row],[Affected WTG]],'Basic Data'!$A:$A,'Basic Data'!$E:$E),"")</f>
        <v>3.846153846153845E-2</v>
      </c>
      <c r="K1073" s="102">
        <v>4970</v>
      </c>
      <c r="L1073" s="35" t="str">
        <f>IFERROR(_xlfn.XLOOKUP(Table6[[#This Row],[Error Code]],'Basic Data'!$AA:$AA,'Basic Data'!$AB:$AB),"Incorrect Error Code")</f>
        <v>Tower oscillation XF</v>
      </c>
      <c r="M1073" s="35" t="s">
        <v>278</v>
      </c>
      <c r="N1073" s="264"/>
      <c r="O1073" s="265">
        <v>0.78055555555555556</v>
      </c>
      <c r="P1073" s="265">
        <v>0.78055555555555556</v>
      </c>
      <c r="Q1073" s="266">
        <v>0.79166666666666663</v>
      </c>
      <c r="R1073" s="261">
        <f>IF(Table6[[#This Row],[Work Start TimeStamp]]="","",(Table6[[#This Row],[Work Start TimeStamp]]-Table6[[#This Row],[Fault Start TimeStamp]])*24)</f>
        <v>0</v>
      </c>
      <c r="S1073" s="261">
        <f>(Table6[[#This Row],[Fault Clearance time]]-Table6[[#This Row],[Work Start TimeStamp]])*24</f>
        <v>0.26666666666666572</v>
      </c>
      <c r="T1073" s="261">
        <f>(Table6[[#This Row],[Fault Clearance time]]-Table6[[#This Row],[Fault Start TimeStamp]])*24</f>
        <v>0.26666666666666572</v>
      </c>
      <c r="U1073" s="35" t="s">
        <v>277</v>
      </c>
      <c r="V1073" s="102" t="s">
        <v>268</v>
      </c>
      <c r="W1073" s="267">
        <f>IFERROR(Table6[[#This Row],[Breakdown Time]]*Table6[[#This Row],[Plant Equivalent Weightage]],"")</f>
        <v>1.0256410256410217E-2</v>
      </c>
      <c r="X1073" s="262" t="s">
        <v>269</v>
      </c>
      <c r="Y1073" s="263" t="s">
        <v>116</v>
      </c>
      <c r="Z1073" s="102">
        <v>28011</v>
      </c>
      <c r="AA1073" s="257">
        <f>(Table6[[#This Row],[Paired WTG Generation for loss calculation]]/24)*Table6[[#This Row],[Breakdown Time]]</f>
        <v>311.23333333333221</v>
      </c>
      <c r="AB1073" s="102"/>
      <c r="AC1073" s="35"/>
      <c r="AD1073" s="35"/>
    </row>
    <row r="1074" spans="1:30">
      <c r="A1074" s="102">
        <f t="shared" si="17"/>
        <v>1073</v>
      </c>
      <c r="B1074" s="257">
        <f>YEAR(Table6[[#This Row],[Date]])+IF(MONTH(Table6[[#This Row],[Date]])&gt;=4,1,0)</f>
        <v>2026</v>
      </c>
      <c r="C1074" s="102">
        <f>YEAR(Table6[[#This Row],[Date]])</f>
        <v>2025</v>
      </c>
      <c r="D1074" s="102" t="s">
        <v>265</v>
      </c>
      <c r="E1074" s="258">
        <f>Table6[[#This Row],[Date]]-DAY(Table6[[#This Row],[Date]])+1</f>
        <v>45809</v>
      </c>
      <c r="F1074" s="259">
        <v>45814</v>
      </c>
      <c r="G1074" s="35" t="s">
        <v>121</v>
      </c>
      <c r="H1074" s="35" t="str">
        <f>IFERROR(_xlfn.XLOOKUP(Table6[[#This Row],[Affected WTG]],'Basic Data'!$A:$A,'Basic Data'!$B:$B),"")</f>
        <v>TQGXIIPL</v>
      </c>
      <c r="I1074" s="35" t="str">
        <f>IFERROR(_xlfn.XLOOKUP(Table6[[#This Row],[Affected WTG]],'Basic Data'!$A:$A,'Basic Data'!$C:$C),"")</f>
        <v>GEDA</v>
      </c>
      <c r="J1074" s="260">
        <f>IFERROR(_xlfn.XLOOKUP(Table6[[#This Row],[Affected WTG]],'Basic Data'!$A:$A,'Basic Data'!$E:$E),"")</f>
        <v>3.846153846153845E-2</v>
      </c>
      <c r="K1074" s="102">
        <v>175</v>
      </c>
      <c r="L1074" s="35" t="str">
        <f>IFERROR(_xlfn.XLOOKUP(Table6[[#This Row],[Error Code]],'Basic Data'!$AA:$AA,'Basic Data'!$AB:$AB),"Incorrect Error Code")</f>
        <v>SLC error</v>
      </c>
      <c r="M1074" s="35" t="s">
        <v>266</v>
      </c>
      <c r="N1074" s="264"/>
      <c r="O1074" s="265">
        <v>0.5625</v>
      </c>
      <c r="P1074" s="265">
        <v>0.5625</v>
      </c>
      <c r="Q1074" s="266">
        <v>0.5854166666666667</v>
      </c>
      <c r="R1074" s="261">
        <f>IF(Table6[[#This Row],[Work Start TimeStamp]]="","",(Table6[[#This Row],[Work Start TimeStamp]]-Table6[[#This Row],[Fault Start TimeStamp]])*24)</f>
        <v>0</v>
      </c>
      <c r="S1074" s="261">
        <f>(Table6[[#This Row],[Fault Clearance time]]-Table6[[#This Row],[Work Start TimeStamp]])*24</f>
        <v>0.55000000000000071</v>
      </c>
      <c r="T1074" s="261">
        <f>(Table6[[#This Row],[Fault Clearance time]]-Table6[[#This Row],[Fault Start TimeStamp]])*24</f>
        <v>0.55000000000000071</v>
      </c>
      <c r="U1074" s="35" t="s">
        <v>501</v>
      </c>
      <c r="V1074" s="102" t="s">
        <v>268</v>
      </c>
      <c r="W1074" s="267">
        <f>IFERROR(Table6[[#This Row],[Breakdown Time]]*Table6[[#This Row],[Plant Equivalent Weightage]],"")</f>
        <v>2.1153846153846176E-2</v>
      </c>
      <c r="X1074" s="262" t="s">
        <v>269</v>
      </c>
      <c r="Y1074" s="263" t="s">
        <v>118</v>
      </c>
      <c r="Z1074" s="102">
        <v>25991</v>
      </c>
      <c r="AA1074" s="257">
        <f>(Table6[[#This Row],[Paired WTG Generation for loss calculation]]/24)*Table6[[#This Row],[Breakdown Time]]</f>
        <v>595.6270833333341</v>
      </c>
      <c r="AB1074" s="102"/>
      <c r="AC1074" s="35"/>
      <c r="AD1074" s="35"/>
    </row>
    <row r="1075" spans="1:30">
      <c r="A1075" s="102">
        <f t="shared" si="17"/>
        <v>1074</v>
      </c>
      <c r="B1075" s="257">
        <f>YEAR(Table6[[#This Row],[Date]])+IF(MONTH(Table6[[#This Row],[Date]])&gt;=4,1,0)</f>
        <v>2026</v>
      </c>
      <c r="C1075" s="102">
        <f>YEAR(Table6[[#This Row],[Date]])</f>
        <v>2025</v>
      </c>
      <c r="D1075" s="102" t="s">
        <v>265</v>
      </c>
      <c r="E1075" s="258">
        <f>Table6[[#This Row],[Date]]-DAY(Table6[[#This Row],[Date]])+1</f>
        <v>45809</v>
      </c>
      <c r="F1075" s="259">
        <v>45814</v>
      </c>
      <c r="G1075" s="35" t="s">
        <v>123</v>
      </c>
      <c r="H1075" s="35" t="str">
        <f>IFERROR(_xlfn.XLOOKUP(Table6[[#This Row],[Affected WTG]],'Basic Data'!$A:$A,'Basic Data'!$B:$B),"")</f>
        <v>TQGXIIPL</v>
      </c>
      <c r="I1075" s="35" t="str">
        <f>IFERROR(_xlfn.XLOOKUP(Table6[[#This Row],[Affected WTG]],'Basic Data'!$A:$A,'Basic Data'!$C:$C),"")</f>
        <v>GEDA</v>
      </c>
      <c r="J1075" s="260">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278</v>
      </c>
      <c r="N1075" s="264"/>
      <c r="O1075" s="265">
        <v>0.80208333333333337</v>
      </c>
      <c r="P1075" s="265">
        <v>0.80208333333333337</v>
      </c>
      <c r="Q1075" s="266">
        <v>0.81319444444444444</v>
      </c>
      <c r="R1075" s="261">
        <f>IF(Table6[[#This Row],[Work Start TimeStamp]]="","",(Table6[[#This Row],[Work Start TimeStamp]]-Table6[[#This Row],[Fault Start TimeStamp]])*24)</f>
        <v>0</v>
      </c>
      <c r="S1075" s="261">
        <f>(Table6[[#This Row],[Fault Clearance time]]-Table6[[#This Row],[Work Start TimeStamp]])*24</f>
        <v>0.26666666666666572</v>
      </c>
      <c r="T1075" s="261">
        <f>(Table6[[#This Row],[Fault Clearance time]]-Table6[[#This Row],[Fault Start TimeStamp]])*24</f>
        <v>0.26666666666666572</v>
      </c>
      <c r="U1075" s="35" t="s">
        <v>277</v>
      </c>
      <c r="V1075" s="102" t="s">
        <v>268</v>
      </c>
      <c r="W1075" s="267">
        <f>IFERROR(Table6[[#This Row],[Breakdown Time]]*Table6[[#This Row],[Plant Equivalent Weightage]],"")</f>
        <v>1.0256410256410217E-2</v>
      </c>
      <c r="X1075" s="262" t="s">
        <v>269</v>
      </c>
      <c r="Y1075" s="263" t="s">
        <v>117</v>
      </c>
      <c r="Z1075" s="102">
        <v>21461</v>
      </c>
      <c r="AA1075" s="257">
        <f>(Table6[[#This Row],[Paired WTG Generation for loss calculation]]/24)*Table6[[#This Row],[Breakdown Time]]</f>
        <v>238.45555555555472</v>
      </c>
      <c r="AB1075" s="102"/>
      <c r="AC1075" s="35"/>
      <c r="AD1075" s="35"/>
    </row>
    <row r="1076" spans="1:30">
      <c r="A1076" s="102">
        <f t="shared" si="17"/>
        <v>1075</v>
      </c>
      <c r="B1076" s="257">
        <f>YEAR(Table6[[#This Row],[Date]])+IF(MONTH(Table6[[#This Row],[Date]])&gt;=4,1,0)</f>
        <v>2026</v>
      </c>
      <c r="C1076" s="102">
        <f>YEAR(Table6[[#This Row],[Date]])</f>
        <v>2025</v>
      </c>
      <c r="D1076" s="102" t="s">
        <v>265</v>
      </c>
      <c r="E1076" s="258">
        <f>Table6[[#This Row],[Date]]-DAY(Table6[[#This Row],[Date]])+1</f>
        <v>45809</v>
      </c>
      <c r="F1076" s="259">
        <v>45814</v>
      </c>
      <c r="G1076" s="35" t="s">
        <v>127</v>
      </c>
      <c r="H1076" s="35" t="str">
        <f>IFERROR(_xlfn.XLOOKUP(Table6[[#This Row],[Affected WTG]],'Basic Data'!$A:$A,'Basic Data'!$B:$B),"")</f>
        <v>TQGXIIPL</v>
      </c>
      <c r="I1076" s="35" t="str">
        <f>IFERROR(_xlfn.XLOOKUP(Table6[[#This Row],[Affected WTG]],'Basic Data'!$A:$A,'Basic Data'!$C:$C),"")</f>
        <v>GEDA</v>
      </c>
      <c r="J1076" s="260">
        <f>IFERROR(_xlfn.XLOOKUP(Table6[[#This Row],[Affected WTG]],'Basic Data'!$A:$A,'Basic Data'!$E:$E),"")</f>
        <v>3.846153846153845E-2</v>
      </c>
      <c r="K1076" s="102">
        <v>687</v>
      </c>
      <c r="L1076" s="35" t="str">
        <f>IFERROR(_xlfn.XLOOKUP(Table6[[#This Row],[Error Code]],'Basic Data'!$AA:$AA,'Basic Data'!$AB:$AB),"Incorrect Error Code")</f>
        <v>Power failure pitch</v>
      </c>
      <c r="M1076" s="35" t="s">
        <v>266</v>
      </c>
      <c r="N1076" s="264"/>
      <c r="O1076" s="265">
        <v>0.69305555555555554</v>
      </c>
      <c r="P1076" s="265">
        <v>0.70833333333333337</v>
      </c>
      <c r="Q1076" s="266">
        <v>0.8125</v>
      </c>
      <c r="R1076" s="261">
        <f>IF(Table6[[#This Row],[Work Start TimeStamp]]="","",(Table6[[#This Row],[Work Start TimeStamp]]-Table6[[#This Row],[Fault Start TimeStamp]])*24)</f>
        <v>0.36666666666666803</v>
      </c>
      <c r="S1076" s="261">
        <f>(Table6[[#This Row],[Fault Clearance time]]-Table6[[#This Row],[Work Start TimeStamp]])*24</f>
        <v>2.4999999999999991</v>
      </c>
      <c r="T1076" s="261">
        <f>(Table6[[#This Row],[Fault Clearance time]]-Table6[[#This Row],[Fault Start TimeStamp]])*24</f>
        <v>2.8666666666666671</v>
      </c>
      <c r="U1076" s="35" t="s">
        <v>502</v>
      </c>
      <c r="V1076" s="102" t="s">
        <v>268</v>
      </c>
      <c r="W1076" s="267">
        <f>IFERROR(Table6[[#This Row],[Breakdown Time]]*Table6[[#This Row],[Plant Equivalent Weightage]],"")</f>
        <v>0.11025641025641024</v>
      </c>
      <c r="X1076" s="262" t="s">
        <v>296</v>
      </c>
      <c r="Y1076" s="263" t="s">
        <v>125</v>
      </c>
      <c r="Z1076" s="102">
        <v>21231</v>
      </c>
      <c r="AA1076" s="257">
        <f>(Table6[[#This Row],[Paired WTG Generation for loss calculation]]/24)*Table6[[#This Row],[Breakdown Time]]</f>
        <v>2535.9250000000006</v>
      </c>
      <c r="AB1076" s="102"/>
      <c r="AC1076" s="35"/>
      <c r="AD1076" s="35"/>
    </row>
    <row r="1077" spans="1:30">
      <c r="A1077" s="102">
        <f t="shared" si="17"/>
        <v>1076</v>
      </c>
      <c r="B1077" s="257">
        <f>YEAR(Table6[[#This Row],[Date]])+IF(MONTH(Table6[[#This Row],[Date]])&gt;=4,1,0)</f>
        <v>2026</v>
      </c>
      <c r="C1077" s="102">
        <f>YEAR(Table6[[#This Row],[Date]])</f>
        <v>2025</v>
      </c>
      <c r="D1077" s="102" t="s">
        <v>265</v>
      </c>
      <c r="E1077" s="258">
        <f>Table6[[#This Row],[Date]]-DAY(Table6[[#This Row],[Date]])+1</f>
        <v>45809</v>
      </c>
      <c r="F1077" s="259">
        <v>45814</v>
      </c>
      <c r="G1077" s="35" t="s">
        <v>131</v>
      </c>
      <c r="H1077" s="35" t="str">
        <f>IFERROR(_xlfn.XLOOKUP(Table6[[#This Row],[Affected WTG]],'Basic Data'!$A:$A,'Basic Data'!$B:$B),"")</f>
        <v>TQGXIIPL</v>
      </c>
      <c r="I1077" s="35" t="str">
        <f>IFERROR(_xlfn.XLOOKUP(Table6[[#This Row],[Affected WTG]],'Basic Data'!$A:$A,'Basic Data'!$C:$C),"")</f>
        <v>GEDA</v>
      </c>
      <c r="J1077" s="260">
        <f>IFERROR(_xlfn.XLOOKUP(Table6[[#This Row],[Affected WTG]],'Basic Data'!$A:$A,'Basic Data'!$E:$E),"")</f>
        <v>3.846153846153845E-2</v>
      </c>
      <c r="K1077" s="102">
        <v>4970</v>
      </c>
      <c r="L1077" s="35" t="str">
        <f>IFERROR(_xlfn.XLOOKUP(Table6[[#This Row],[Error Code]],'Basic Data'!$AA:$AA,'Basic Data'!$AB:$AB),"Incorrect Error Code")</f>
        <v>Tower oscillation XF</v>
      </c>
      <c r="M1077" s="35" t="s">
        <v>278</v>
      </c>
      <c r="N1077" s="264"/>
      <c r="O1077" s="265">
        <v>0.74791666666666667</v>
      </c>
      <c r="P1077" s="265">
        <v>0.74791666666666667</v>
      </c>
      <c r="Q1077" s="266">
        <v>0.75902777777777775</v>
      </c>
      <c r="R1077" s="261">
        <f>IF(Table6[[#This Row],[Work Start TimeStamp]]="","",(Table6[[#This Row],[Work Start TimeStamp]]-Table6[[#This Row],[Fault Start TimeStamp]])*24)</f>
        <v>0</v>
      </c>
      <c r="S1077" s="261">
        <f>(Table6[[#This Row],[Fault Clearance time]]-Table6[[#This Row],[Work Start TimeStamp]])*24</f>
        <v>0.26666666666666572</v>
      </c>
      <c r="T1077" s="261">
        <f>(Table6[[#This Row],[Fault Clearance time]]-Table6[[#This Row],[Fault Start TimeStamp]])*24</f>
        <v>0.26666666666666572</v>
      </c>
      <c r="U1077" s="35" t="s">
        <v>277</v>
      </c>
      <c r="V1077" s="102" t="s">
        <v>268</v>
      </c>
      <c r="W1077" s="267">
        <f>IFERROR(Table6[[#This Row],[Breakdown Time]]*Table6[[#This Row],[Plant Equivalent Weightage]],"")</f>
        <v>1.0256410256410217E-2</v>
      </c>
      <c r="X1077" s="262" t="s">
        <v>269</v>
      </c>
      <c r="Y1077" s="263" t="s">
        <v>136</v>
      </c>
      <c r="Z1077" s="102">
        <v>22267</v>
      </c>
      <c r="AA1077" s="257">
        <f>(Table6[[#This Row],[Paired WTG Generation for loss calculation]]/24)*Table6[[#This Row],[Breakdown Time]]</f>
        <v>247.41111111111022</v>
      </c>
      <c r="AB1077" s="102"/>
      <c r="AC1077" s="35"/>
      <c r="AD1077" s="35"/>
    </row>
    <row r="1078" spans="1:30">
      <c r="A1078" s="102">
        <f t="shared" si="17"/>
        <v>1077</v>
      </c>
      <c r="B1078" s="257">
        <f>YEAR(Table6[[#This Row],[Date]])+IF(MONTH(Table6[[#This Row],[Date]])&gt;=4,1,0)</f>
        <v>2026</v>
      </c>
      <c r="C1078" s="102">
        <f>YEAR(Table6[[#This Row],[Date]])</f>
        <v>2025</v>
      </c>
      <c r="D1078" s="102" t="s">
        <v>265</v>
      </c>
      <c r="E1078" s="258">
        <f>Table6[[#This Row],[Date]]-DAY(Table6[[#This Row],[Date]])+1</f>
        <v>45809</v>
      </c>
      <c r="F1078" s="259">
        <v>45814</v>
      </c>
      <c r="G1078" s="35" t="s">
        <v>135</v>
      </c>
      <c r="H1078" s="35" t="str">
        <f>IFERROR(_xlfn.XLOOKUP(Table6[[#This Row],[Affected WTG]],'Basic Data'!$A:$A,'Basic Data'!$B:$B),"")</f>
        <v>TQGXIIPL</v>
      </c>
      <c r="I1078" s="35" t="str">
        <f>IFERROR(_xlfn.XLOOKUP(Table6[[#This Row],[Affected WTG]],'Basic Data'!$A:$A,'Basic Data'!$C:$C),"")</f>
        <v>GEDA</v>
      </c>
      <c r="J1078" s="260">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266</v>
      </c>
      <c r="N1078" s="264"/>
      <c r="O1078" s="265">
        <v>0.76249999999999996</v>
      </c>
      <c r="P1078" s="265">
        <v>0.76249999999999996</v>
      </c>
      <c r="Q1078" s="266">
        <v>0.77152777777777781</v>
      </c>
      <c r="R1078" s="261">
        <f>IF(Table6[[#This Row],[Work Start TimeStamp]]="","",(Table6[[#This Row],[Work Start TimeStamp]]-Table6[[#This Row],[Fault Start TimeStamp]])*24)</f>
        <v>0</v>
      </c>
      <c r="S1078" s="261">
        <f>(Table6[[#This Row],[Fault Clearance time]]-Table6[[#This Row],[Work Start TimeStamp]])*24</f>
        <v>0.21666666666666856</v>
      </c>
      <c r="T1078" s="261">
        <f>(Table6[[#This Row],[Fault Clearance time]]-Table6[[#This Row],[Fault Start TimeStamp]])*24</f>
        <v>0.21666666666666856</v>
      </c>
      <c r="U1078" s="35" t="s">
        <v>483</v>
      </c>
      <c r="V1078" s="102" t="s">
        <v>268</v>
      </c>
      <c r="W1078" s="267">
        <f>IFERROR(Table6[[#This Row],[Breakdown Time]]*Table6[[#This Row],[Plant Equivalent Weightage]],"")</f>
        <v>8.3333333333334043E-3</v>
      </c>
      <c r="X1078" s="262" t="s">
        <v>269</v>
      </c>
      <c r="Y1078" s="263" t="s">
        <v>120</v>
      </c>
      <c r="Z1078" s="102">
        <v>21010</v>
      </c>
      <c r="AA1078" s="257">
        <f>(Table6[[#This Row],[Paired WTG Generation for loss calculation]]/24)*Table6[[#This Row],[Breakdown Time]]</f>
        <v>189.67361111111276</v>
      </c>
      <c r="AB1078" s="102"/>
      <c r="AC1078" s="35"/>
      <c r="AD1078" s="35"/>
    </row>
    <row r="1079" spans="1:30">
      <c r="A1079" s="102">
        <f t="shared" si="17"/>
        <v>1078</v>
      </c>
      <c r="B1079" s="257">
        <f>YEAR(Table6[[#This Row],[Date]])+IF(MONTH(Table6[[#This Row],[Date]])&gt;=4,1,0)</f>
        <v>2026</v>
      </c>
      <c r="C1079" s="102">
        <f>YEAR(Table6[[#This Row],[Date]])</f>
        <v>2025</v>
      </c>
      <c r="D1079" s="102" t="s">
        <v>265</v>
      </c>
      <c r="E1079" s="258">
        <f>Table6[[#This Row],[Date]]-DAY(Table6[[#This Row],[Date]])+1</f>
        <v>45809</v>
      </c>
      <c r="F1079" s="259">
        <v>45814</v>
      </c>
      <c r="G1079" s="35" t="s">
        <v>137</v>
      </c>
      <c r="H1079" s="35" t="str">
        <f>IFERROR(_xlfn.XLOOKUP(Table6[[#This Row],[Affected WTG]],'Basic Data'!$A:$A,'Basic Data'!$B:$B),"")</f>
        <v>TQGXIIPL</v>
      </c>
      <c r="I1079" s="35" t="str">
        <f>IFERROR(_xlfn.XLOOKUP(Table6[[#This Row],[Affected WTG]],'Basic Data'!$A:$A,'Basic Data'!$C:$C),"")</f>
        <v>GEDA</v>
      </c>
      <c r="J1079" s="260">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266</v>
      </c>
      <c r="N1079" s="264"/>
      <c r="O1079" s="265">
        <v>0.51666666666666672</v>
      </c>
      <c r="P1079" s="265">
        <v>0.51666666666666672</v>
      </c>
      <c r="Q1079" s="266">
        <v>0.52430555555555558</v>
      </c>
      <c r="R1079" s="261">
        <f>IF(Table6[[#This Row],[Work Start TimeStamp]]="","",(Table6[[#This Row],[Work Start TimeStamp]]-Table6[[#This Row],[Fault Start TimeStamp]])*24)</f>
        <v>0</v>
      </c>
      <c r="S1079" s="261">
        <f>(Table6[[#This Row],[Fault Clearance time]]-Table6[[#This Row],[Work Start TimeStamp]])*24</f>
        <v>0.18333333333333268</v>
      </c>
      <c r="T1079" s="261">
        <f>(Table6[[#This Row],[Fault Clearance time]]-Table6[[#This Row],[Fault Start TimeStamp]])*24</f>
        <v>0.18333333333333268</v>
      </c>
      <c r="U1079" s="35" t="s">
        <v>483</v>
      </c>
      <c r="V1079" s="102" t="s">
        <v>268</v>
      </c>
      <c r="W1079" s="267">
        <f>IFERROR(Table6[[#This Row],[Breakdown Time]]*Table6[[#This Row],[Plant Equivalent Weightage]],"")</f>
        <v>7.0512820512820245E-3</v>
      </c>
      <c r="X1079" s="262" t="s">
        <v>269</v>
      </c>
      <c r="Y1079" s="263" t="s">
        <v>125</v>
      </c>
      <c r="Z1079" s="102">
        <v>21231</v>
      </c>
      <c r="AA1079" s="257">
        <f>(Table6[[#This Row],[Paired WTG Generation for loss calculation]]/24)*Table6[[#This Row],[Breakdown Time]]</f>
        <v>162.18124999999944</v>
      </c>
      <c r="AB1079" s="102"/>
      <c r="AC1079" s="35"/>
      <c r="AD1079" s="35"/>
    </row>
    <row r="1080" spans="1:30">
      <c r="A1080" s="102">
        <f t="shared" si="17"/>
        <v>1079</v>
      </c>
      <c r="B1080" s="257">
        <f>YEAR(Table6[[#This Row],[Date]])+IF(MONTH(Table6[[#This Row],[Date]])&gt;=4,1,0)</f>
        <v>2026</v>
      </c>
      <c r="C1080" s="102">
        <f>YEAR(Table6[[#This Row],[Date]])</f>
        <v>2025</v>
      </c>
      <c r="D1080" s="102" t="s">
        <v>265</v>
      </c>
      <c r="E1080" s="258">
        <f>Table6[[#This Row],[Date]]-DAY(Table6[[#This Row],[Date]])+1</f>
        <v>45809</v>
      </c>
      <c r="F1080" s="259">
        <v>45814</v>
      </c>
      <c r="G1080" s="35" t="s">
        <v>137</v>
      </c>
      <c r="H1080" s="35" t="str">
        <f>IFERROR(_xlfn.XLOOKUP(Table6[[#This Row],[Affected WTG]],'Basic Data'!$A:$A,'Basic Data'!$B:$B),"")</f>
        <v>TQGXIIPL</v>
      </c>
      <c r="I1080" s="35" t="str">
        <f>IFERROR(_xlfn.XLOOKUP(Table6[[#This Row],[Affected WTG]],'Basic Data'!$A:$A,'Basic Data'!$C:$C),"")</f>
        <v>GEDA</v>
      </c>
      <c r="J1080" s="260">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266</v>
      </c>
      <c r="N1080" s="264"/>
      <c r="O1080" s="265">
        <v>0.57847222222222228</v>
      </c>
      <c r="P1080" s="265">
        <v>0.57847222222222228</v>
      </c>
      <c r="Q1080" s="266">
        <v>0.58611111111111114</v>
      </c>
      <c r="R1080" s="261">
        <f>IF(Table6[[#This Row],[Work Start TimeStamp]]="","",(Table6[[#This Row],[Work Start TimeStamp]]-Table6[[#This Row],[Fault Start TimeStamp]])*24)</f>
        <v>0</v>
      </c>
      <c r="S1080" s="261">
        <f>(Table6[[#This Row],[Fault Clearance time]]-Table6[[#This Row],[Work Start TimeStamp]])*24</f>
        <v>0.18333333333333268</v>
      </c>
      <c r="T1080" s="261">
        <f>(Table6[[#This Row],[Fault Clearance time]]-Table6[[#This Row],[Fault Start TimeStamp]])*24</f>
        <v>0.18333333333333268</v>
      </c>
      <c r="U1080" s="35" t="s">
        <v>501</v>
      </c>
      <c r="V1080" s="102" t="s">
        <v>268</v>
      </c>
      <c r="W1080" s="267">
        <f>IFERROR(Table6[[#This Row],[Breakdown Time]]*Table6[[#This Row],[Plant Equivalent Weightage]],"")</f>
        <v>7.0512820512820245E-3</v>
      </c>
      <c r="X1080" s="262" t="s">
        <v>269</v>
      </c>
      <c r="Y1080" s="263" t="s">
        <v>125</v>
      </c>
      <c r="Z1080" s="102">
        <v>21231</v>
      </c>
      <c r="AA1080" s="257">
        <f>(Table6[[#This Row],[Paired WTG Generation for loss calculation]]/24)*Table6[[#This Row],[Breakdown Time]]</f>
        <v>162.18124999999944</v>
      </c>
      <c r="AB1080" s="102"/>
      <c r="AC1080" s="35"/>
      <c r="AD1080" s="35"/>
    </row>
    <row r="1081" spans="1:30">
      <c r="A1081" s="102">
        <f t="shared" si="17"/>
        <v>1080</v>
      </c>
      <c r="B1081" s="257">
        <f>YEAR(Table6[[#This Row],[Date]])+IF(MONTH(Table6[[#This Row],[Date]])&gt;=4,1,0)</f>
        <v>2026</v>
      </c>
      <c r="C1081" s="102">
        <f>YEAR(Table6[[#This Row],[Date]])</f>
        <v>2025</v>
      </c>
      <c r="D1081" s="102" t="s">
        <v>265</v>
      </c>
      <c r="E1081" s="258">
        <f>Table6[[#This Row],[Date]]-DAY(Table6[[#This Row],[Date]])+1</f>
        <v>45809</v>
      </c>
      <c r="F1081" s="259">
        <v>45814</v>
      </c>
      <c r="G1081" s="35" t="s">
        <v>137</v>
      </c>
      <c r="H1081" s="35" t="str">
        <f>IFERROR(_xlfn.XLOOKUP(Table6[[#This Row],[Affected WTG]],'Basic Data'!$A:$A,'Basic Data'!$B:$B),"")</f>
        <v>TQGXIIPL</v>
      </c>
      <c r="I1081" s="35" t="str">
        <f>IFERROR(_xlfn.XLOOKUP(Table6[[#This Row],[Affected WTG]],'Basic Data'!$A:$A,'Basic Data'!$C:$C),"")</f>
        <v>GEDA</v>
      </c>
      <c r="J1081" s="260">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266</v>
      </c>
      <c r="N1081" s="264"/>
      <c r="O1081" s="265">
        <v>0.74236111111111114</v>
      </c>
      <c r="P1081" s="265">
        <v>0.74236111111111114</v>
      </c>
      <c r="Q1081" s="266">
        <v>0.75486111111111109</v>
      </c>
      <c r="R1081" s="261">
        <f>IF(Table6[[#This Row],[Work Start TimeStamp]]="","",(Table6[[#This Row],[Work Start TimeStamp]]-Table6[[#This Row],[Fault Start TimeStamp]])*24)</f>
        <v>0</v>
      </c>
      <c r="S1081" s="261">
        <f>(Table6[[#This Row],[Fault Clearance time]]-Table6[[#This Row],[Work Start TimeStamp]])*24</f>
        <v>0.29999999999999893</v>
      </c>
      <c r="T1081" s="261">
        <f>(Table6[[#This Row],[Fault Clearance time]]-Table6[[#This Row],[Fault Start TimeStamp]])*24</f>
        <v>0.29999999999999893</v>
      </c>
      <c r="U1081" s="35" t="s">
        <v>501</v>
      </c>
      <c r="V1081" s="102" t="s">
        <v>268</v>
      </c>
      <c r="W1081" s="267">
        <f>IFERROR(Table6[[#This Row],[Breakdown Time]]*Table6[[#This Row],[Plant Equivalent Weightage]],"")</f>
        <v>1.1538461538461494E-2</v>
      </c>
      <c r="X1081" s="262" t="s">
        <v>269</v>
      </c>
      <c r="Y1081" s="263" t="s">
        <v>125</v>
      </c>
      <c r="Z1081" s="102">
        <v>21231</v>
      </c>
      <c r="AA1081" s="257">
        <f>(Table6[[#This Row],[Paired WTG Generation for loss calculation]]/24)*Table6[[#This Row],[Breakdown Time]]</f>
        <v>265.38749999999908</v>
      </c>
      <c r="AB1081" s="102"/>
      <c r="AC1081" s="35"/>
      <c r="AD1081" s="35"/>
    </row>
    <row r="1082" spans="1:30">
      <c r="A1082" s="102">
        <f t="shared" si="17"/>
        <v>1081</v>
      </c>
      <c r="B1082" s="257">
        <f>YEAR(Table6[[#This Row],[Date]])+IF(MONTH(Table6[[#This Row],[Date]])&gt;=4,1,0)</f>
        <v>2026</v>
      </c>
      <c r="C1082" s="102">
        <f>YEAR(Table6[[#This Row],[Date]])</f>
        <v>2025</v>
      </c>
      <c r="D1082" s="102" t="s">
        <v>265</v>
      </c>
      <c r="E1082" s="258">
        <f>Table6[[#This Row],[Date]]-DAY(Table6[[#This Row],[Date]])+1</f>
        <v>45809</v>
      </c>
      <c r="F1082" s="259">
        <v>45814</v>
      </c>
      <c r="G1082" s="35" t="s">
        <v>137</v>
      </c>
      <c r="H1082" s="35" t="str">
        <f>IFERROR(_xlfn.XLOOKUP(Table6[[#This Row],[Affected WTG]],'Basic Data'!$A:$A,'Basic Data'!$B:$B),"")</f>
        <v>TQGXIIPL</v>
      </c>
      <c r="I1082" s="35" t="str">
        <f>IFERROR(_xlfn.XLOOKUP(Table6[[#This Row],[Affected WTG]],'Basic Data'!$A:$A,'Basic Data'!$C:$C),"")</f>
        <v>GEDA</v>
      </c>
      <c r="J1082" s="260">
        <f>IFERROR(_xlfn.XLOOKUP(Table6[[#This Row],[Affected WTG]],'Basic Data'!$A:$A,'Basic Data'!$E:$E),"")</f>
        <v>3.846153846153845E-2</v>
      </c>
      <c r="K1082" s="102">
        <v>6300</v>
      </c>
      <c r="L1082" s="35" t="str">
        <f>IFERROR(_xlfn.XLOOKUP(Table6[[#This Row],[Error Code]],'Basic Data'!$AA:$AA,'Basic Data'!$AB:$AB),"Incorrect Error Code")</f>
        <v>Yaw error</v>
      </c>
      <c r="M1082" s="35" t="s">
        <v>266</v>
      </c>
      <c r="N1082" s="264"/>
      <c r="O1082" s="265">
        <v>0.78333333333333333</v>
      </c>
      <c r="P1082" s="265">
        <v>0.78333333333333333</v>
      </c>
      <c r="Q1082" s="266">
        <v>0.78472222222222221</v>
      </c>
      <c r="R1082" s="261">
        <f>IF(Table6[[#This Row],[Work Start TimeStamp]]="","",(Table6[[#This Row],[Work Start TimeStamp]]-Table6[[#This Row],[Fault Start TimeStamp]])*24)</f>
        <v>0</v>
      </c>
      <c r="S1082" s="261">
        <f>(Table6[[#This Row],[Fault Clearance time]]-Table6[[#This Row],[Work Start TimeStamp]])*24</f>
        <v>3.3333333333333215E-2</v>
      </c>
      <c r="T1082" s="261">
        <f>(Table6[[#This Row],[Fault Clearance time]]-Table6[[#This Row],[Fault Start TimeStamp]])*24</f>
        <v>3.3333333333333215E-2</v>
      </c>
      <c r="U1082" s="35" t="s">
        <v>483</v>
      </c>
      <c r="V1082" s="102" t="s">
        <v>268</v>
      </c>
      <c r="W1082" s="267">
        <f>IFERROR(Table6[[#This Row],[Breakdown Time]]*Table6[[#This Row],[Plant Equivalent Weightage]],"")</f>
        <v>1.2820512820512771E-3</v>
      </c>
      <c r="X1082" s="262" t="s">
        <v>269</v>
      </c>
      <c r="Y1082" s="263" t="s">
        <v>125</v>
      </c>
      <c r="Z1082" s="102">
        <v>21231</v>
      </c>
      <c r="AA1082" s="257">
        <f>(Table6[[#This Row],[Paired WTG Generation for loss calculation]]/24)*Table6[[#This Row],[Breakdown Time]]</f>
        <v>29.487499999999894</v>
      </c>
      <c r="AB1082" s="102"/>
      <c r="AC1082" s="35"/>
      <c r="AD1082" s="35"/>
    </row>
    <row r="1083" spans="1:30">
      <c r="A1083" s="102">
        <f t="shared" si="17"/>
        <v>1082</v>
      </c>
      <c r="B1083" s="257">
        <f>YEAR(Table6[[#This Row],[Date]])+IF(MONTH(Table6[[#This Row],[Date]])&gt;=4,1,0)</f>
        <v>2026</v>
      </c>
      <c r="C1083" s="102">
        <f>YEAR(Table6[[#This Row],[Date]])</f>
        <v>2025</v>
      </c>
      <c r="D1083" s="102" t="s">
        <v>265</v>
      </c>
      <c r="E1083" s="258">
        <f>Table6[[#This Row],[Date]]-DAY(Table6[[#This Row],[Date]])+1</f>
        <v>45809</v>
      </c>
      <c r="F1083" s="259">
        <v>45814</v>
      </c>
      <c r="G1083" s="35" t="s">
        <v>137</v>
      </c>
      <c r="H1083" s="35" t="str">
        <f>IFERROR(_xlfn.XLOOKUP(Table6[[#This Row],[Affected WTG]],'Basic Data'!$A:$A,'Basic Data'!$B:$B),"")</f>
        <v>TQGXIIPL</v>
      </c>
      <c r="I1083" s="35" t="str">
        <f>IFERROR(_xlfn.XLOOKUP(Table6[[#This Row],[Affected WTG]],'Basic Data'!$A:$A,'Basic Data'!$C:$C),"")</f>
        <v>GEDA</v>
      </c>
      <c r="J1083" s="260">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266</v>
      </c>
      <c r="N1083" s="264"/>
      <c r="O1083" s="265">
        <v>0.97499999999999998</v>
      </c>
      <c r="P1083" s="265">
        <v>0.97499999999999998</v>
      </c>
      <c r="Q1083" s="266">
        <v>1</v>
      </c>
      <c r="R1083" s="261">
        <f>IF(Table6[[#This Row],[Work Start TimeStamp]]="","",(Table6[[#This Row],[Work Start TimeStamp]]-Table6[[#This Row],[Fault Start TimeStamp]])*24)</f>
        <v>0</v>
      </c>
      <c r="S1083" s="261">
        <f>(Table6[[#This Row],[Fault Clearance time]]-Table6[[#This Row],[Work Start TimeStamp]])*24</f>
        <v>0.60000000000000053</v>
      </c>
      <c r="T1083" s="261">
        <f>(Table6[[#This Row],[Fault Clearance time]]-Table6[[#This Row],[Fault Start TimeStamp]])*24</f>
        <v>0.60000000000000053</v>
      </c>
      <c r="U1083" s="35" t="s">
        <v>503</v>
      </c>
      <c r="V1083" s="102" t="s">
        <v>268</v>
      </c>
      <c r="W1083" s="267">
        <f>IFERROR(Table6[[#This Row],[Breakdown Time]]*Table6[[#This Row],[Plant Equivalent Weightage]],"")</f>
        <v>2.3076923076923092E-2</v>
      </c>
      <c r="X1083" s="262" t="s">
        <v>296</v>
      </c>
      <c r="Y1083" s="263" t="s">
        <v>125</v>
      </c>
      <c r="Z1083" s="102">
        <v>21231</v>
      </c>
      <c r="AA1083" s="257">
        <f>(Table6[[#This Row],[Paired WTG Generation for loss calculation]]/24)*Table6[[#This Row],[Breakdown Time]]</f>
        <v>530.77500000000043</v>
      </c>
      <c r="AB1083" s="102"/>
      <c r="AC1083" s="35"/>
      <c r="AD1083" s="35"/>
    </row>
    <row r="1084" spans="1:30">
      <c r="A1084" s="102">
        <f t="shared" si="17"/>
        <v>1083</v>
      </c>
      <c r="B1084" s="257">
        <f>YEAR(Table6[[#This Row],[Date]])+IF(MONTH(Table6[[#This Row],[Date]])&gt;=4,1,0)</f>
        <v>2026</v>
      </c>
      <c r="C1084" s="102">
        <f>YEAR(Table6[[#This Row],[Date]])</f>
        <v>2025</v>
      </c>
      <c r="D1084" s="102" t="s">
        <v>265</v>
      </c>
      <c r="E1084" s="258">
        <f>Table6[[#This Row],[Date]]-DAY(Table6[[#This Row],[Date]])+1</f>
        <v>45809</v>
      </c>
      <c r="F1084" s="259">
        <v>45815</v>
      </c>
      <c r="G1084" s="35" t="s">
        <v>115</v>
      </c>
      <c r="H1084" s="35" t="str">
        <f>IFERROR(_xlfn.XLOOKUP(Table6[[#This Row],[Affected WTG]],'Basic Data'!$A:$A,'Basic Data'!$B:$B),"")</f>
        <v>TQGXIIPL</v>
      </c>
      <c r="I1084" s="35" t="str">
        <f>IFERROR(_xlfn.XLOOKUP(Table6[[#This Row],[Affected WTG]],'Basic Data'!$A:$A,'Basic Data'!$C:$C),"")</f>
        <v>GEDA</v>
      </c>
      <c r="J1084" s="260">
        <f>IFERROR(_xlfn.XLOOKUP(Table6[[#This Row],[Affected WTG]],'Basic Data'!$A:$A,'Basic Data'!$E:$E),"")</f>
        <v>3.846153846153845E-2</v>
      </c>
      <c r="K1084" s="102">
        <v>6130</v>
      </c>
      <c r="L1084" s="35" t="str">
        <f>IFERROR(_xlfn.XLOOKUP(Table6[[#This Row],[Error Code]],'Basic Data'!$AA:$AA,'Basic Data'!$AB:$AB),"Incorrect Error Code")</f>
        <v>Yaw speed high</v>
      </c>
      <c r="M1084" s="35" t="s">
        <v>278</v>
      </c>
      <c r="N1084" s="264"/>
      <c r="O1084" s="265">
        <v>0.60624999999999996</v>
      </c>
      <c r="P1084" s="265">
        <v>0.60624999999999996</v>
      </c>
      <c r="Q1084" s="266">
        <v>0.61041666666666672</v>
      </c>
      <c r="R1084" s="261">
        <f>IF(Table6[[#This Row],[Work Start TimeStamp]]="","",(Table6[[#This Row],[Work Start TimeStamp]]-Table6[[#This Row],[Fault Start TimeStamp]])*24)</f>
        <v>0</v>
      </c>
      <c r="S1084" s="261">
        <f>(Table6[[#This Row],[Fault Clearance time]]-Table6[[#This Row],[Work Start TimeStamp]])*24</f>
        <v>0.10000000000000231</v>
      </c>
      <c r="T1084" s="261">
        <f>(Table6[[#This Row],[Fault Clearance time]]-Table6[[#This Row],[Fault Start TimeStamp]])*24</f>
        <v>0.10000000000000231</v>
      </c>
      <c r="U1084" s="35" t="s">
        <v>277</v>
      </c>
      <c r="V1084" s="102" t="s">
        <v>268</v>
      </c>
      <c r="W1084" s="267">
        <f>IFERROR(Table6[[#This Row],[Breakdown Time]]*Table6[[#This Row],[Plant Equivalent Weightage]],"")</f>
        <v>3.846153846153934E-3</v>
      </c>
      <c r="X1084" s="262" t="s">
        <v>269</v>
      </c>
      <c r="Y1084" s="263" t="s">
        <v>140</v>
      </c>
      <c r="Z1084" s="102">
        <v>36341</v>
      </c>
      <c r="AA1084" s="257">
        <f>(Table6[[#This Row],[Paired WTG Generation for loss calculation]]/24)*Table6[[#This Row],[Breakdown Time]]</f>
        <v>151.42083333333682</v>
      </c>
      <c r="AB1084" s="102"/>
      <c r="AC1084" s="35"/>
      <c r="AD1084" s="35"/>
    </row>
    <row r="1085" spans="1:30">
      <c r="A1085" s="102">
        <f t="shared" si="17"/>
        <v>1084</v>
      </c>
      <c r="B1085" s="257">
        <f>YEAR(Table6[[#This Row],[Date]])+IF(MONTH(Table6[[#This Row],[Date]])&gt;=4,1,0)</f>
        <v>2026</v>
      </c>
      <c r="C1085" s="102">
        <f>YEAR(Table6[[#This Row],[Date]])</f>
        <v>2025</v>
      </c>
      <c r="D1085" s="102" t="s">
        <v>265</v>
      </c>
      <c r="E1085" s="258">
        <f>Table6[[#This Row],[Date]]-DAY(Table6[[#This Row],[Date]])+1</f>
        <v>45809</v>
      </c>
      <c r="F1085" s="259">
        <v>45815</v>
      </c>
      <c r="G1085" s="35" t="s">
        <v>118</v>
      </c>
      <c r="H1085" s="35" t="str">
        <f>IFERROR(_xlfn.XLOOKUP(Table6[[#This Row],[Affected WTG]],'Basic Data'!$A:$A,'Basic Data'!$B:$B),"")</f>
        <v>TQGXIIPL</v>
      </c>
      <c r="I1085" s="35" t="str">
        <f>IFERROR(_xlfn.XLOOKUP(Table6[[#This Row],[Affected WTG]],'Basic Data'!$A:$A,'Basic Data'!$C:$C),"")</f>
        <v>GEDA</v>
      </c>
      <c r="J1085" s="260">
        <f>IFERROR(_xlfn.XLOOKUP(Table6[[#This Row],[Affected WTG]],'Basic Data'!$A:$A,'Basic Data'!$E:$E),"")</f>
        <v>3.846153846153845E-2</v>
      </c>
      <c r="K1085" s="102">
        <v>55</v>
      </c>
      <c r="L1085" s="35" t="str">
        <f>IFERROR(_xlfn.XLOOKUP(Table6[[#This Row],[Error Code]],'Basic Data'!$AA:$AA,'Basic Data'!$AB:$AB),"Incorrect Error Code")</f>
        <v>WTG shut down</v>
      </c>
      <c r="M1085" s="35" t="s">
        <v>504</v>
      </c>
      <c r="N1085" s="264"/>
      <c r="O1085" s="265">
        <v>0.43194444444444446</v>
      </c>
      <c r="P1085" s="265">
        <v>0.43194444444444446</v>
      </c>
      <c r="Q1085" s="266">
        <v>0.48194444444444445</v>
      </c>
      <c r="R1085" s="261">
        <f>IF(Table6[[#This Row],[Work Start TimeStamp]]="","",(Table6[[#This Row],[Work Start TimeStamp]]-Table6[[#This Row],[Fault Start TimeStamp]])*24)</f>
        <v>0</v>
      </c>
      <c r="S1085" s="261">
        <f>(Table6[[#This Row],[Fault Clearance time]]-Table6[[#This Row],[Work Start TimeStamp]])*24</f>
        <v>1.1999999999999997</v>
      </c>
      <c r="T1085" s="261">
        <f>(Table6[[#This Row],[Fault Clearance time]]-Table6[[#This Row],[Fault Start TimeStamp]])*24</f>
        <v>1.1999999999999997</v>
      </c>
      <c r="U1085" s="35" t="s">
        <v>505</v>
      </c>
      <c r="V1085" s="102" t="s">
        <v>268</v>
      </c>
      <c r="W1085" s="267">
        <f>IFERROR(Table6[[#This Row],[Breakdown Time]]*Table6[[#This Row],[Plant Equivalent Weightage]],"")</f>
        <v>4.6153846153846129E-2</v>
      </c>
      <c r="X1085" s="262" t="s">
        <v>296</v>
      </c>
      <c r="Y1085" s="263" t="s">
        <v>121</v>
      </c>
      <c r="Z1085" s="102">
        <v>29552</v>
      </c>
      <c r="AA1085" s="257">
        <f>(Table6[[#This Row],[Paired WTG Generation for loss calculation]]/24)*Table6[[#This Row],[Breakdown Time]]</f>
        <v>1477.5999999999997</v>
      </c>
      <c r="AB1085" s="102"/>
      <c r="AC1085" s="35"/>
      <c r="AD1085" s="35"/>
    </row>
    <row r="1086" spans="1:30">
      <c r="A1086" s="102">
        <f t="shared" si="17"/>
        <v>1085</v>
      </c>
      <c r="B1086" s="257">
        <f>YEAR(Table6[[#This Row],[Date]])+IF(MONTH(Table6[[#This Row],[Date]])&gt;=4,1,0)</f>
        <v>2026</v>
      </c>
      <c r="C1086" s="102">
        <f>YEAR(Table6[[#This Row],[Date]])</f>
        <v>2025</v>
      </c>
      <c r="D1086" s="102" t="s">
        <v>265</v>
      </c>
      <c r="E1086" s="258">
        <f>Table6[[#This Row],[Date]]-DAY(Table6[[#This Row],[Date]])+1</f>
        <v>45809</v>
      </c>
      <c r="F1086" s="259">
        <v>45815</v>
      </c>
      <c r="G1086" s="35" t="s">
        <v>118</v>
      </c>
      <c r="H1086" s="35" t="str">
        <f>IFERROR(_xlfn.XLOOKUP(Table6[[#This Row],[Affected WTG]],'Basic Data'!$A:$A,'Basic Data'!$B:$B),"")</f>
        <v>TQGXIIPL</v>
      </c>
      <c r="I1086" s="35" t="str">
        <f>IFERROR(_xlfn.XLOOKUP(Table6[[#This Row],[Affected WTG]],'Basic Data'!$A:$A,'Basic Data'!$C:$C),"")</f>
        <v>GEDA</v>
      </c>
      <c r="J1086" s="260">
        <f>IFERROR(_xlfn.XLOOKUP(Table6[[#This Row],[Affected WTG]],'Basic Data'!$A:$A,'Basic Data'!$E:$E),"")</f>
        <v>3.846153846153845E-2</v>
      </c>
      <c r="K1086" s="102">
        <v>55</v>
      </c>
      <c r="L1086" s="35" t="str">
        <f>IFERROR(_xlfn.XLOOKUP(Table6[[#This Row],[Error Code]],'Basic Data'!$AA:$AA,'Basic Data'!$AB:$AB),"Incorrect Error Code")</f>
        <v>WTG shut down</v>
      </c>
      <c r="M1086" s="35" t="s">
        <v>504</v>
      </c>
      <c r="N1086" s="264"/>
      <c r="O1086" s="265">
        <v>0.51944444444444449</v>
      </c>
      <c r="P1086" s="265">
        <v>0.51944444444444449</v>
      </c>
      <c r="Q1086" s="266">
        <v>0.53541666666666665</v>
      </c>
      <c r="R1086" s="261">
        <f>IF(Table6[[#This Row],[Work Start TimeStamp]]="","",(Table6[[#This Row],[Work Start TimeStamp]]-Table6[[#This Row],[Fault Start TimeStamp]])*24)</f>
        <v>0</v>
      </c>
      <c r="S1086" s="261">
        <f>(Table6[[#This Row],[Fault Clearance time]]-Table6[[#This Row],[Work Start TimeStamp]])*24</f>
        <v>0.38333333333333197</v>
      </c>
      <c r="T1086" s="261">
        <f>(Table6[[#This Row],[Fault Clearance time]]-Table6[[#This Row],[Fault Start TimeStamp]])*24</f>
        <v>0.38333333333333197</v>
      </c>
      <c r="U1086" s="35" t="s">
        <v>505</v>
      </c>
      <c r="V1086" s="102" t="s">
        <v>268</v>
      </c>
      <c r="W1086" s="267">
        <f>IFERROR(Table6[[#This Row],[Breakdown Time]]*Table6[[#This Row],[Plant Equivalent Weightage]],"")</f>
        <v>1.4743589743589686E-2</v>
      </c>
      <c r="X1086" s="262" t="s">
        <v>296</v>
      </c>
      <c r="Y1086" s="263" t="s">
        <v>121</v>
      </c>
      <c r="Z1086" s="102">
        <v>29552</v>
      </c>
      <c r="AA1086" s="257">
        <f>(Table6[[#This Row],[Paired WTG Generation for loss calculation]]/24)*Table6[[#This Row],[Breakdown Time]]</f>
        <v>472.01111111110941</v>
      </c>
      <c r="AB1086" s="102"/>
      <c r="AC1086" s="35"/>
      <c r="AD1086" s="35"/>
    </row>
    <row r="1087" spans="1:30">
      <c r="A1087" s="102">
        <f t="shared" si="17"/>
        <v>1086</v>
      </c>
      <c r="B1087" s="257">
        <f>YEAR(Table6[[#This Row],[Date]])+IF(MONTH(Table6[[#This Row],[Date]])&gt;=4,1,0)</f>
        <v>2026</v>
      </c>
      <c r="C1087" s="102">
        <f>YEAR(Table6[[#This Row],[Date]])</f>
        <v>2025</v>
      </c>
      <c r="D1087" s="102" t="s">
        <v>265</v>
      </c>
      <c r="E1087" s="258">
        <f>Table6[[#This Row],[Date]]-DAY(Table6[[#This Row],[Date]])+1</f>
        <v>45809</v>
      </c>
      <c r="F1087" s="259">
        <v>45815</v>
      </c>
      <c r="G1087" s="35" t="s">
        <v>118</v>
      </c>
      <c r="H1087" s="35" t="str">
        <f>IFERROR(_xlfn.XLOOKUP(Table6[[#This Row],[Affected WTG]],'Basic Data'!$A:$A,'Basic Data'!$B:$B),"")</f>
        <v>TQGXIIPL</v>
      </c>
      <c r="I1087" s="35" t="str">
        <f>IFERROR(_xlfn.XLOOKUP(Table6[[#This Row],[Affected WTG]],'Basic Data'!$A:$A,'Basic Data'!$C:$C),"")</f>
        <v>GEDA</v>
      </c>
      <c r="J1087" s="260">
        <f>IFERROR(_xlfn.XLOOKUP(Table6[[#This Row],[Affected WTG]],'Basic Data'!$A:$A,'Basic Data'!$E:$E),"")</f>
        <v>3.846153846153845E-2</v>
      </c>
      <c r="K1087" s="102">
        <v>55</v>
      </c>
      <c r="L1087" s="35" t="str">
        <f>IFERROR(_xlfn.XLOOKUP(Table6[[#This Row],[Error Code]],'Basic Data'!$AA:$AA,'Basic Data'!$AB:$AB),"Incorrect Error Code")</f>
        <v>WTG shut down</v>
      </c>
      <c r="M1087" s="35" t="s">
        <v>504</v>
      </c>
      <c r="N1087" s="264"/>
      <c r="O1087" s="265">
        <v>0.70277777777777772</v>
      </c>
      <c r="P1087" s="265">
        <v>0.70277777777777772</v>
      </c>
      <c r="Q1087" s="266">
        <v>0.71805555555555556</v>
      </c>
      <c r="R1087" s="261">
        <f>IF(Table6[[#This Row],[Work Start TimeStamp]]="","",(Table6[[#This Row],[Work Start TimeStamp]]-Table6[[#This Row],[Fault Start TimeStamp]])*24)</f>
        <v>0</v>
      </c>
      <c r="S1087" s="261">
        <f>(Table6[[#This Row],[Fault Clearance time]]-Table6[[#This Row],[Work Start TimeStamp]])*24</f>
        <v>0.36666666666666803</v>
      </c>
      <c r="T1087" s="261">
        <f>(Table6[[#This Row],[Fault Clearance time]]-Table6[[#This Row],[Fault Start TimeStamp]])*24</f>
        <v>0.36666666666666803</v>
      </c>
      <c r="U1087" s="35" t="s">
        <v>505</v>
      </c>
      <c r="V1087" s="102" t="s">
        <v>268</v>
      </c>
      <c r="W1087" s="267">
        <f>IFERROR(Table6[[#This Row],[Breakdown Time]]*Table6[[#This Row],[Plant Equivalent Weightage]],"")</f>
        <v>1.4102564102564151E-2</v>
      </c>
      <c r="X1087" s="262" t="s">
        <v>296</v>
      </c>
      <c r="Y1087" s="263" t="s">
        <v>121</v>
      </c>
      <c r="Z1087" s="102">
        <v>29552</v>
      </c>
      <c r="AA1087" s="257">
        <f>(Table6[[#This Row],[Paired WTG Generation for loss calculation]]/24)*Table6[[#This Row],[Breakdown Time]]</f>
        <v>451.48888888889053</v>
      </c>
      <c r="AB1087" s="102"/>
      <c r="AC1087" s="35"/>
      <c r="AD1087" s="35"/>
    </row>
    <row r="1088" spans="1:30">
      <c r="A1088" s="102">
        <f t="shared" si="17"/>
        <v>1087</v>
      </c>
      <c r="B1088" s="257">
        <f>YEAR(Table6[[#This Row],[Date]])+IF(MONTH(Table6[[#This Row],[Date]])&gt;=4,1,0)</f>
        <v>2026</v>
      </c>
      <c r="C1088" s="102">
        <f>YEAR(Table6[[#This Row],[Date]])</f>
        <v>2025</v>
      </c>
      <c r="D1088" s="102" t="s">
        <v>265</v>
      </c>
      <c r="E1088" s="258">
        <f>Table6[[#This Row],[Date]]-DAY(Table6[[#This Row],[Date]])+1</f>
        <v>45809</v>
      </c>
      <c r="F1088" s="259">
        <v>45815</v>
      </c>
      <c r="G1088" s="35" t="s">
        <v>119</v>
      </c>
      <c r="H1088" s="35" t="str">
        <f>IFERROR(_xlfn.XLOOKUP(Table6[[#This Row],[Affected WTG]],'Basic Data'!$A:$A,'Basic Data'!$B:$B),"")</f>
        <v>TQGXIIPL</v>
      </c>
      <c r="I1088" s="35" t="str">
        <f>IFERROR(_xlfn.XLOOKUP(Table6[[#This Row],[Affected WTG]],'Basic Data'!$A:$A,'Basic Data'!$C:$C),"")</f>
        <v>GEDA</v>
      </c>
      <c r="J1088" s="260">
        <f>IFERROR(_xlfn.XLOOKUP(Table6[[#This Row],[Affected WTG]],'Basic Data'!$A:$A,'Basic Data'!$E:$E),"")</f>
        <v>3.846153846153845E-2</v>
      </c>
      <c r="K1088" s="102">
        <v>6130</v>
      </c>
      <c r="L1088" s="35" t="str">
        <f>IFERROR(_xlfn.XLOOKUP(Table6[[#This Row],[Error Code]],'Basic Data'!$AA:$AA,'Basic Data'!$AB:$AB),"Incorrect Error Code")</f>
        <v>Yaw speed high</v>
      </c>
      <c r="M1088" s="35" t="s">
        <v>278</v>
      </c>
      <c r="N1088" s="264"/>
      <c r="O1088" s="265">
        <v>0.7416666666666667</v>
      </c>
      <c r="P1088" s="265">
        <v>0.7416666666666667</v>
      </c>
      <c r="Q1088" s="266">
        <v>0.74583333333333335</v>
      </c>
      <c r="R1088" s="261">
        <f>IF(Table6[[#This Row],[Work Start TimeStamp]]="","",(Table6[[#This Row],[Work Start TimeStamp]]-Table6[[#This Row],[Fault Start TimeStamp]])*24)</f>
        <v>0</v>
      </c>
      <c r="S1088" s="261">
        <f>(Table6[[#This Row],[Fault Clearance time]]-Table6[[#This Row],[Work Start TimeStamp]])*24</f>
        <v>9.9999999999999645E-2</v>
      </c>
      <c r="T1088" s="261">
        <f>(Table6[[#This Row],[Fault Clearance time]]-Table6[[#This Row],[Fault Start TimeStamp]])*24</f>
        <v>9.9999999999999645E-2</v>
      </c>
      <c r="U1088" s="35" t="s">
        <v>277</v>
      </c>
      <c r="V1088" s="102" t="s">
        <v>268</v>
      </c>
      <c r="W1088" s="267">
        <f>IFERROR(Table6[[#This Row],[Breakdown Time]]*Table6[[#This Row],[Plant Equivalent Weightage]],"")</f>
        <v>3.8461538461538312E-3</v>
      </c>
      <c r="X1088" s="262" t="s">
        <v>269</v>
      </c>
      <c r="Y1088" s="263" t="s">
        <v>116</v>
      </c>
      <c r="Z1088" s="102">
        <v>39249</v>
      </c>
      <c r="AA1088" s="257">
        <f>(Table6[[#This Row],[Paired WTG Generation for loss calculation]]/24)*Table6[[#This Row],[Breakdown Time]]</f>
        <v>163.53749999999943</v>
      </c>
      <c r="AB1088" s="102"/>
      <c r="AC1088" s="35"/>
      <c r="AD1088" s="35"/>
    </row>
    <row r="1089" spans="1:30">
      <c r="A1089" s="102">
        <f t="shared" si="17"/>
        <v>1088</v>
      </c>
      <c r="B1089" s="257">
        <f>YEAR(Table6[[#This Row],[Date]])+IF(MONTH(Table6[[#This Row],[Date]])&gt;=4,1,0)</f>
        <v>2026</v>
      </c>
      <c r="C1089" s="102">
        <f>YEAR(Table6[[#This Row],[Date]])</f>
        <v>2025</v>
      </c>
      <c r="D1089" s="102" t="s">
        <v>265</v>
      </c>
      <c r="E1089" s="258">
        <f>Table6[[#This Row],[Date]]-DAY(Table6[[#This Row],[Date]])+1</f>
        <v>45809</v>
      </c>
      <c r="F1089" s="259">
        <v>45815</v>
      </c>
      <c r="G1089" s="35" t="s">
        <v>119</v>
      </c>
      <c r="H1089" s="35" t="str">
        <f>IFERROR(_xlfn.XLOOKUP(Table6[[#This Row],[Affected WTG]],'Basic Data'!$A:$A,'Basic Data'!$B:$B),"")</f>
        <v>TQGXIIPL</v>
      </c>
      <c r="I1089" s="35" t="str">
        <f>IFERROR(_xlfn.XLOOKUP(Table6[[#This Row],[Affected WTG]],'Basic Data'!$A:$A,'Basic Data'!$C:$C),"")</f>
        <v>GEDA</v>
      </c>
      <c r="J1089" s="260">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266</v>
      </c>
      <c r="N1089" s="264"/>
      <c r="O1089" s="265">
        <v>0.91249999999999998</v>
      </c>
      <c r="P1089" s="265">
        <v>0.91249999999999998</v>
      </c>
      <c r="Q1089" s="266">
        <v>0.9194444444444444</v>
      </c>
      <c r="R1089" s="261">
        <f>IF(Table6[[#This Row],[Work Start TimeStamp]]="","",(Table6[[#This Row],[Work Start TimeStamp]]-Table6[[#This Row],[Fault Start TimeStamp]])*24)</f>
        <v>0</v>
      </c>
      <c r="S1089" s="261">
        <f>(Table6[[#This Row],[Fault Clearance time]]-Table6[[#This Row],[Work Start TimeStamp]])*24</f>
        <v>0.16666666666666607</v>
      </c>
      <c r="T1089" s="261">
        <f>(Table6[[#This Row],[Fault Clearance time]]-Table6[[#This Row],[Fault Start TimeStamp]])*24</f>
        <v>0.16666666666666607</v>
      </c>
      <c r="U1089" s="35" t="s">
        <v>483</v>
      </c>
      <c r="V1089" s="102" t="s">
        <v>268</v>
      </c>
      <c r="W1089" s="267">
        <f>IFERROR(Table6[[#This Row],[Breakdown Time]]*Table6[[#This Row],[Plant Equivalent Weightage]],"")</f>
        <v>6.4102564102563857E-3</v>
      </c>
      <c r="X1089" s="262" t="s">
        <v>269</v>
      </c>
      <c r="Y1089" s="263" t="s">
        <v>116</v>
      </c>
      <c r="Z1089" s="102">
        <v>39249</v>
      </c>
      <c r="AA1089" s="257">
        <f>(Table6[[#This Row],[Paired WTG Generation for loss calculation]]/24)*Table6[[#This Row],[Breakdown Time]]</f>
        <v>272.56249999999903</v>
      </c>
      <c r="AB1089" s="102"/>
      <c r="AC1089" s="35"/>
      <c r="AD1089" s="35"/>
    </row>
    <row r="1090" spans="1:30">
      <c r="A1090" s="102">
        <f t="shared" si="17"/>
        <v>1089</v>
      </c>
      <c r="B1090" s="257">
        <f>YEAR(Table6[[#This Row],[Date]])+IF(MONTH(Table6[[#This Row],[Date]])&gt;=4,1,0)</f>
        <v>2026</v>
      </c>
      <c r="C1090" s="102">
        <f>YEAR(Table6[[#This Row],[Date]])</f>
        <v>2025</v>
      </c>
      <c r="D1090" s="102" t="s">
        <v>265</v>
      </c>
      <c r="E1090" s="258">
        <f>Table6[[#This Row],[Date]]-DAY(Table6[[#This Row],[Date]])+1</f>
        <v>45809</v>
      </c>
      <c r="F1090" s="259">
        <v>45815</v>
      </c>
      <c r="G1090" s="35" t="s">
        <v>121</v>
      </c>
      <c r="H1090" s="35" t="str">
        <f>IFERROR(_xlfn.XLOOKUP(Table6[[#This Row],[Affected WTG]],'Basic Data'!$A:$A,'Basic Data'!$B:$B),"")</f>
        <v>TQGXIIPL</v>
      </c>
      <c r="I1090" s="35" t="str">
        <f>IFERROR(_xlfn.XLOOKUP(Table6[[#This Row],[Affected WTG]],'Basic Data'!$A:$A,'Basic Data'!$C:$C),"")</f>
        <v>GEDA</v>
      </c>
      <c r="J1090" s="260">
        <f>IFERROR(_xlfn.XLOOKUP(Table6[[#This Row],[Affected WTG]],'Basic Data'!$A:$A,'Basic Data'!$E:$E),"")</f>
        <v>3.846153846153845E-2</v>
      </c>
      <c r="K1090" s="102">
        <v>55</v>
      </c>
      <c r="L1090" s="35" t="str">
        <f>IFERROR(_xlfn.XLOOKUP(Table6[[#This Row],[Error Code]],'Basic Data'!$AA:$AA,'Basic Data'!$AB:$AB),"Incorrect Error Code")</f>
        <v>WTG shut down</v>
      </c>
      <c r="M1090" s="35" t="s">
        <v>504</v>
      </c>
      <c r="N1090" s="264"/>
      <c r="O1090" s="265">
        <v>0.43194444444444446</v>
      </c>
      <c r="P1090" s="265">
        <v>0.43194444444444446</v>
      </c>
      <c r="Q1090" s="266">
        <v>0.48194444444444445</v>
      </c>
      <c r="R1090" s="261">
        <f>IF(Table6[[#This Row],[Work Start TimeStamp]]="","",(Table6[[#This Row],[Work Start TimeStamp]]-Table6[[#This Row],[Fault Start TimeStamp]])*24)</f>
        <v>0</v>
      </c>
      <c r="S1090" s="261">
        <f>(Table6[[#This Row],[Fault Clearance time]]-Table6[[#This Row],[Work Start TimeStamp]])*24</f>
        <v>1.1999999999999997</v>
      </c>
      <c r="T1090" s="261">
        <f>(Table6[[#This Row],[Fault Clearance time]]-Table6[[#This Row],[Fault Start TimeStamp]])*24</f>
        <v>1.1999999999999997</v>
      </c>
      <c r="U1090" s="35" t="s">
        <v>505</v>
      </c>
      <c r="V1090" s="102" t="s">
        <v>268</v>
      </c>
      <c r="W1090" s="267">
        <f>IFERROR(Table6[[#This Row],[Breakdown Time]]*Table6[[#This Row],[Plant Equivalent Weightage]],"")</f>
        <v>4.6153846153846129E-2</v>
      </c>
      <c r="X1090" s="262" t="s">
        <v>296</v>
      </c>
      <c r="Y1090" s="263" t="s">
        <v>118</v>
      </c>
      <c r="Z1090" s="102">
        <v>37281</v>
      </c>
      <c r="AA1090" s="257">
        <f>(Table6[[#This Row],[Paired WTG Generation for loss calculation]]/24)*Table6[[#This Row],[Breakdown Time]]</f>
        <v>1864.0499999999995</v>
      </c>
      <c r="AB1090" s="102"/>
      <c r="AC1090" s="35"/>
      <c r="AD1090" s="35"/>
    </row>
    <row r="1091" spans="1:30">
      <c r="A1091" s="102">
        <f t="shared" si="17"/>
        <v>1090</v>
      </c>
      <c r="B1091" s="257">
        <f>YEAR(Table6[[#This Row],[Date]])+IF(MONTH(Table6[[#This Row],[Date]])&gt;=4,1,0)</f>
        <v>2026</v>
      </c>
      <c r="C1091" s="102">
        <f>YEAR(Table6[[#This Row],[Date]])</f>
        <v>2025</v>
      </c>
      <c r="D1091" s="102" t="s">
        <v>265</v>
      </c>
      <c r="E1091" s="258">
        <f>Table6[[#This Row],[Date]]-DAY(Table6[[#This Row],[Date]])+1</f>
        <v>45809</v>
      </c>
      <c r="F1091" s="259">
        <v>45815</v>
      </c>
      <c r="G1091" s="35" t="s">
        <v>121</v>
      </c>
      <c r="H1091" s="35" t="str">
        <f>IFERROR(_xlfn.XLOOKUP(Table6[[#This Row],[Affected WTG]],'Basic Data'!$A:$A,'Basic Data'!$B:$B),"")</f>
        <v>TQGXIIPL</v>
      </c>
      <c r="I1091" s="35" t="str">
        <f>IFERROR(_xlfn.XLOOKUP(Table6[[#This Row],[Affected WTG]],'Basic Data'!$A:$A,'Basic Data'!$C:$C),"")</f>
        <v>GEDA</v>
      </c>
      <c r="J1091" s="260">
        <f>IFERROR(_xlfn.XLOOKUP(Table6[[#This Row],[Affected WTG]],'Basic Data'!$A:$A,'Basic Data'!$E:$E),"")</f>
        <v>3.846153846153845E-2</v>
      </c>
      <c r="K1091" s="102">
        <v>55</v>
      </c>
      <c r="L1091" s="35" t="str">
        <f>IFERROR(_xlfn.XLOOKUP(Table6[[#This Row],[Error Code]],'Basic Data'!$AA:$AA,'Basic Data'!$AB:$AB),"Incorrect Error Code")</f>
        <v>WTG shut down</v>
      </c>
      <c r="M1091" s="35" t="s">
        <v>504</v>
      </c>
      <c r="N1091" s="264"/>
      <c r="O1091" s="265">
        <v>0.51944444444444449</v>
      </c>
      <c r="P1091" s="265">
        <v>0.51944444444444449</v>
      </c>
      <c r="Q1091" s="266">
        <v>0.71944444444444444</v>
      </c>
      <c r="R1091" s="261">
        <f>IF(Table6[[#This Row],[Work Start TimeStamp]]="","",(Table6[[#This Row],[Work Start TimeStamp]]-Table6[[#This Row],[Fault Start TimeStamp]])*24)</f>
        <v>0</v>
      </c>
      <c r="S1091" s="261">
        <f>(Table6[[#This Row],[Fault Clearance time]]-Table6[[#This Row],[Work Start TimeStamp]])*24</f>
        <v>4.7999999999999989</v>
      </c>
      <c r="T1091" s="261">
        <f>(Table6[[#This Row],[Fault Clearance time]]-Table6[[#This Row],[Fault Start TimeStamp]])*24</f>
        <v>4.7999999999999989</v>
      </c>
      <c r="U1091" s="35" t="s">
        <v>505</v>
      </c>
      <c r="V1091" s="102" t="s">
        <v>268</v>
      </c>
      <c r="W1091" s="267">
        <f>IFERROR(Table6[[#This Row],[Breakdown Time]]*Table6[[#This Row],[Plant Equivalent Weightage]],"")</f>
        <v>0.18461538461538451</v>
      </c>
      <c r="X1091" s="262" t="s">
        <v>296</v>
      </c>
      <c r="Y1091" s="263" t="s">
        <v>118</v>
      </c>
      <c r="Z1091" s="102">
        <v>37281</v>
      </c>
      <c r="AA1091" s="257">
        <f>(Table6[[#This Row],[Paired WTG Generation for loss calculation]]/24)*Table6[[#This Row],[Breakdown Time]]</f>
        <v>7456.199999999998</v>
      </c>
      <c r="AB1091" s="102"/>
      <c r="AC1091" s="35"/>
      <c r="AD1091" s="35"/>
    </row>
    <row r="1092" spans="1:30">
      <c r="A1092" s="102">
        <f t="shared" si="17"/>
        <v>1091</v>
      </c>
      <c r="B1092" s="257">
        <f>YEAR(Table6[[#This Row],[Date]])+IF(MONTH(Table6[[#This Row],[Date]])&gt;=4,1,0)</f>
        <v>2026</v>
      </c>
      <c r="C1092" s="102">
        <f>YEAR(Table6[[#This Row],[Date]])</f>
        <v>2025</v>
      </c>
      <c r="D1092" s="102" t="s">
        <v>265</v>
      </c>
      <c r="E1092" s="258">
        <f>Table6[[#This Row],[Date]]-DAY(Table6[[#This Row],[Date]])+1</f>
        <v>45809</v>
      </c>
      <c r="F1092" s="259">
        <v>45815</v>
      </c>
      <c r="G1092" s="35" t="s">
        <v>122</v>
      </c>
      <c r="H1092" s="35" t="str">
        <f>IFERROR(_xlfn.XLOOKUP(Table6[[#This Row],[Affected WTG]],'Basic Data'!$A:$A,'Basic Data'!$B:$B),"")</f>
        <v>TQGXIIPL</v>
      </c>
      <c r="I1092" s="35" t="str">
        <f>IFERROR(_xlfn.XLOOKUP(Table6[[#This Row],[Affected WTG]],'Basic Data'!$A:$A,'Basic Data'!$C:$C),"")</f>
        <v>GEDA</v>
      </c>
      <c r="J1092" s="260">
        <f>IFERROR(_xlfn.XLOOKUP(Table6[[#This Row],[Affected WTG]],'Basic Data'!$A:$A,'Basic Data'!$E:$E),"")</f>
        <v>3.846153846153845E-2</v>
      </c>
      <c r="K1092" s="102">
        <v>6130</v>
      </c>
      <c r="L1092" s="35" t="str">
        <f>IFERROR(_xlfn.XLOOKUP(Table6[[#This Row],[Error Code]],'Basic Data'!$AA:$AA,'Basic Data'!$AB:$AB),"Incorrect Error Code")</f>
        <v>Yaw speed high</v>
      </c>
      <c r="M1092" s="35" t="s">
        <v>278</v>
      </c>
      <c r="N1092" s="264"/>
      <c r="O1092" s="265">
        <v>0.57152777777777775</v>
      </c>
      <c r="P1092" s="265">
        <v>0.57152777777777775</v>
      </c>
      <c r="Q1092" s="266">
        <v>0.5756944444444444</v>
      </c>
      <c r="R1092" s="261">
        <f>IF(Table6[[#This Row],[Work Start TimeStamp]]="","",(Table6[[#This Row],[Work Start TimeStamp]]-Table6[[#This Row],[Fault Start TimeStamp]])*24)</f>
        <v>0</v>
      </c>
      <c r="S1092" s="261">
        <f>(Table6[[#This Row],[Fault Clearance time]]-Table6[[#This Row],[Work Start TimeStamp]])*24</f>
        <v>9.9999999999999645E-2</v>
      </c>
      <c r="T1092" s="261">
        <f>(Table6[[#This Row],[Fault Clearance time]]-Table6[[#This Row],[Fault Start TimeStamp]])*24</f>
        <v>9.9999999999999645E-2</v>
      </c>
      <c r="U1092" s="35" t="s">
        <v>277</v>
      </c>
      <c r="V1092" s="102" t="s">
        <v>268</v>
      </c>
      <c r="W1092" s="267">
        <f>IFERROR(Table6[[#This Row],[Breakdown Time]]*Table6[[#This Row],[Plant Equivalent Weightage]],"")</f>
        <v>3.8461538461538312E-3</v>
      </c>
      <c r="X1092" s="262" t="s">
        <v>269</v>
      </c>
      <c r="Y1092" s="263" t="s">
        <v>140</v>
      </c>
      <c r="Z1092" s="102">
        <v>36341</v>
      </c>
      <c r="AA1092" s="257">
        <f>(Table6[[#This Row],[Paired WTG Generation for loss calculation]]/24)*Table6[[#This Row],[Breakdown Time]]</f>
        <v>151.42083333333278</v>
      </c>
      <c r="AB1092" s="102"/>
      <c r="AC1092" s="35"/>
      <c r="AD1092" s="35"/>
    </row>
    <row r="1093" spans="1:30">
      <c r="A1093" s="102">
        <f t="shared" si="17"/>
        <v>1092</v>
      </c>
      <c r="B1093" s="257">
        <f>YEAR(Table6[[#This Row],[Date]])+IF(MONTH(Table6[[#This Row],[Date]])&gt;=4,1,0)</f>
        <v>2026</v>
      </c>
      <c r="C1093" s="102">
        <f>YEAR(Table6[[#This Row],[Date]])</f>
        <v>2025</v>
      </c>
      <c r="D1093" s="102" t="s">
        <v>265</v>
      </c>
      <c r="E1093" s="258">
        <f>Table6[[#This Row],[Date]]-DAY(Table6[[#This Row],[Date]])+1</f>
        <v>45809</v>
      </c>
      <c r="F1093" s="259">
        <v>45815</v>
      </c>
      <c r="G1093" s="35" t="s">
        <v>122</v>
      </c>
      <c r="H1093" s="35" t="str">
        <f>IFERROR(_xlfn.XLOOKUP(Table6[[#This Row],[Affected WTG]],'Basic Data'!$A:$A,'Basic Data'!$B:$B),"")</f>
        <v>TQGXIIPL</v>
      </c>
      <c r="I1093" s="35" t="str">
        <f>IFERROR(_xlfn.XLOOKUP(Table6[[#This Row],[Affected WTG]],'Basic Data'!$A:$A,'Basic Data'!$C:$C),"")</f>
        <v>GEDA</v>
      </c>
      <c r="J1093" s="260">
        <f>IFERROR(_xlfn.XLOOKUP(Table6[[#This Row],[Affected WTG]],'Basic Data'!$A:$A,'Basic Data'!$E:$E),"")</f>
        <v>3.846153846153845E-2</v>
      </c>
      <c r="K1093" s="102">
        <v>53</v>
      </c>
      <c r="L1093" s="35" t="str">
        <f>IFERROR(_xlfn.XLOOKUP(Table6[[#This Row],[Error Code]],'Basic Data'!$AA:$AA,'Basic Data'!$AB:$AB),"Incorrect Error Code")</f>
        <v>Wind dir.dev. level 1</v>
      </c>
      <c r="M1093" s="35" t="s">
        <v>266</v>
      </c>
      <c r="N1093" s="264"/>
      <c r="O1093" s="265">
        <v>0.61250000000000004</v>
      </c>
      <c r="P1093" s="265">
        <v>0.61250000000000004</v>
      </c>
      <c r="Q1093" s="266">
        <v>0.61319444444444449</v>
      </c>
      <c r="R1093" s="261">
        <f>IF(Table6[[#This Row],[Work Start TimeStamp]]="","",(Table6[[#This Row],[Work Start TimeStamp]]-Table6[[#This Row],[Fault Start TimeStamp]])*24)</f>
        <v>0</v>
      </c>
      <c r="S1093" s="261">
        <f>(Table6[[#This Row],[Fault Clearance time]]-Table6[[#This Row],[Work Start TimeStamp]])*24</f>
        <v>1.6666666666666607E-2</v>
      </c>
      <c r="T1093" s="261">
        <f>(Table6[[#This Row],[Fault Clearance time]]-Table6[[#This Row],[Fault Start TimeStamp]])*24</f>
        <v>1.6666666666666607E-2</v>
      </c>
      <c r="U1093" s="35" t="s">
        <v>483</v>
      </c>
      <c r="V1093" s="102" t="s">
        <v>268</v>
      </c>
      <c r="W1093" s="267">
        <f>IFERROR(Table6[[#This Row],[Breakdown Time]]*Table6[[#This Row],[Plant Equivalent Weightage]],"")</f>
        <v>6.4102564102563853E-4</v>
      </c>
      <c r="X1093" s="262" t="s">
        <v>269</v>
      </c>
      <c r="Y1093" s="263" t="s">
        <v>140</v>
      </c>
      <c r="Z1093" s="102">
        <v>36341</v>
      </c>
      <c r="AA1093" s="257">
        <f>(Table6[[#This Row],[Paired WTG Generation for loss calculation]]/24)*Table6[[#This Row],[Breakdown Time]]</f>
        <v>25.236805555555463</v>
      </c>
      <c r="AB1093" s="102"/>
      <c r="AC1093" s="35"/>
      <c r="AD1093" s="35"/>
    </row>
    <row r="1094" spans="1:30">
      <c r="A1094" s="102">
        <f t="shared" si="17"/>
        <v>1093</v>
      </c>
      <c r="B1094" s="257">
        <f>YEAR(Table6[[#This Row],[Date]])+IF(MONTH(Table6[[#This Row],[Date]])&gt;=4,1,0)</f>
        <v>2026</v>
      </c>
      <c r="C1094" s="102">
        <f>YEAR(Table6[[#This Row],[Date]])</f>
        <v>2025</v>
      </c>
      <c r="D1094" s="102" t="s">
        <v>265</v>
      </c>
      <c r="E1094" s="258">
        <f>Table6[[#This Row],[Date]]-DAY(Table6[[#This Row],[Date]])+1</f>
        <v>45809</v>
      </c>
      <c r="F1094" s="259">
        <v>45815</v>
      </c>
      <c r="G1094" s="35" t="s">
        <v>122</v>
      </c>
      <c r="H1094" s="35" t="str">
        <f>IFERROR(_xlfn.XLOOKUP(Table6[[#This Row],[Affected WTG]],'Basic Data'!$A:$A,'Basic Data'!$B:$B),"")</f>
        <v>TQGXIIPL</v>
      </c>
      <c r="I1094" s="35" t="str">
        <f>IFERROR(_xlfn.XLOOKUP(Table6[[#This Row],[Affected WTG]],'Basic Data'!$A:$A,'Basic Data'!$C:$C),"")</f>
        <v>GEDA</v>
      </c>
      <c r="J1094" s="260">
        <f>IFERROR(_xlfn.XLOOKUP(Table6[[#This Row],[Affected WTG]],'Basic Data'!$A:$A,'Basic Data'!$E:$E),"")</f>
        <v>3.846153846153845E-2</v>
      </c>
      <c r="K1094" s="102">
        <v>6130</v>
      </c>
      <c r="L1094" s="35" t="str">
        <f>IFERROR(_xlfn.XLOOKUP(Table6[[#This Row],[Error Code]],'Basic Data'!$AA:$AA,'Basic Data'!$AB:$AB),"Incorrect Error Code")</f>
        <v>Yaw speed high</v>
      </c>
      <c r="M1094" s="35" t="s">
        <v>266</v>
      </c>
      <c r="N1094" s="264"/>
      <c r="O1094" s="265">
        <v>0.62222222222222223</v>
      </c>
      <c r="P1094" s="265">
        <v>0.62222222222222223</v>
      </c>
      <c r="Q1094" s="266">
        <v>0.62708333333333333</v>
      </c>
      <c r="R1094" s="261">
        <f>IF(Table6[[#This Row],[Work Start TimeStamp]]="","",(Table6[[#This Row],[Work Start TimeStamp]]-Table6[[#This Row],[Fault Start TimeStamp]])*24)</f>
        <v>0</v>
      </c>
      <c r="S1094" s="261">
        <f>(Table6[[#This Row],[Fault Clearance time]]-Table6[[#This Row],[Work Start TimeStamp]])*24</f>
        <v>0.11666666666666625</v>
      </c>
      <c r="T1094" s="261">
        <f>(Table6[[#This Row],[Fault Clearance time]]-Table6[[#This Row],[Fault Start TimeStamp]])*24</f>
        <v>0.11666666666666625</v>
      </c>
      <c r="U1094" s="35" t="s">
        <v>483</v>
      </c>
      <c r="V1094" s="102" t="s">
        <v>268</v>
      </c>
      <c r="W1094" s="267">
        <f>IFERROR(Table6[[#This Row],[Breakdown Time]]*Table6[[#This Row],[Plant Equivalent Weightage]],"")</f>
        <v>4.4871794871794695E-3</v>
      </c>
      <c r="X1094" s="262" t="s">
        <v>269</v>
      </c>
      <c r="Y1094" s="263" t="s">
        <v>140</v>
      </c>
      <c r="Z1094" s="102">
        <v>36341</v>
      </c>
      <c r="AA1094" s="257">
        <f>(Table6[[#This Row],[Paired WTG Generation for loss calculation]]/24)*Table6[[#This Row],[Breakdown Time]]</f>
        <v>176.65763888888824</v>
      </c>
      <c r="AB1094" s="102"/>
      <c r="AC1094" s="35"/>
      <c r="AD1094" s="35"/>
    </row>
    <row r="1095" spans="1:30">
      <c r="A1095" s="102">
        <f t="shared" si="17"/>
        <v>1094</v>
      </c>
      <c r="B1095" s="257">
        <f>YEAR(Table6[[#This Row],[Date]])+IF(MONTH(Table6[[#This Row],[Date]])&gt;=4,1,0)</f>
        <v>2026</v>
      </c>
      <c r="C1095" s="102">
        <f>YEAR(Table6[[#This Row],[Date]])</f>
        <v>2025</v>
      </c>
      <c r="D1095" s="102" t="s">
        <v>265</v>
      </c>
      <c r="E1095" s="258">
        <f>Table6[[#This Row],[Date]]-DAY(Table6[[#This Row],[Date]])+1</f>
        <v>45809</v>
      </c>
      <c r="F1095" s="259">
        <v>45815</v>
      </c>
      <c r="G1095" s="35" t="s">
        <v>125</v>
      </c>
      <c r="H1095" s="35" t="str">
        <f>IFERROR(_xlfn.XLOOKUP(Table6[[#This Row],[Affected WTG]],'Basic Data'!$A:$A,'Basic Data'!$B:$B),"")</f>
        <v>TQGXIIPL</v>
      </c>
      <c r="I1095" s="35" t="str">
        <f>IFERROR(_xlfn.XLOOKUP(Table6[[#This Row],[Affected WTG]],'Basic Data'!$A:$A,'Basic Data'!$C:$C),"")</f>
        <v>GEDA</v>
      </c>
      <c r="J1095" s="260">
        <f>IFERROR(_xlfn.XLOOKUP(Table6[[#This Row],[Affected WTG]],'Basic Data'!$A:$A,'Basic Data'!$E:$E),"")</f>
        <v>3.846153846153845E-2</v>
      </c>
      <c r="K1095" s="102">
        <v>6056</v>
      </c>
      <c r="L1095" s="35" t="str">
        <f>IFERROR(_xlfn.XLOOKUP(Table6[[#This Row],[Error Code]],'Basic Data'!$AA:$AA,'Basic Data'!$AB:$AB),"Incorrect Error Code")</f>
        <v>High yaw load</v>
      </c>
      <c r="M1095" s="35" t="s">
        <v>266</v>
      </c>
      <c r="N1095" s="264"/>
      <c r="O1095" s="265">
        <v>0.58402777777777781</v>
      </c>
      <c r="P1095" s="265">
        <v>0.58402777777777781</v>
      </c>
      <c r="Q1095" s="266">
        <v>0.58611111111111114</v>
      </c>
      <c r="R1095" s="261">
        <f>IF(Table6[[#This Row],[Work Start TimeStamp]]="","",(Table6[[#This Row],[Work Start TimeStamp]]-Table6[[#This Row],[Fault Start TimeStamp]])*24)</f>
        <v>0</v>
      </c>
      <c r="S1095" s="261">
        <f>(Table6[[#This Row],[Fault Clearance time]]-Table6[[#This Row],[Work Start TimeStamp]])*24</f>
        <v>4.9999999999999822E-2</v>
      </c>
      <c r="T1095" s="261">
        <f>(Table6[[#This Row],[Fault Clearance time]]-Table6[[#This Row],[Fault Start TimeStamp]])*24</f>
        <v>4.9999999999999822E-2</v>
      </c>
      <c r="U1095" s="35" t="s">
        <v>483</v>
      </c>
      <c r="V1095" s="102" t="s">
        <v>268</v>
      </c>
      <c r="W1095" s="267">
        <f>IFERROR(Table6[[#This Row],[Breakdown Time]]*Table6[[#This Row],[Plant Equivalent Weightage]],"")</f>
        <v>1.9230769230769156E-3</v>
      </c>
      <c r="X1095" s="262" t="s">
        <v>269</v>
      </c>
      <c r="Y1095" s="263" t="s">
        <v>126</v>
      </c>
      <c r="Z1095" s="102">
        <v>32626</v>
      </c>
      <c r="AA1095" s="257">
        <f>(Table6[[#This Row],[Paired WTG Generation for loss calculation]]/24)*Table6[[#This Row],[Breakdown Time]]</f>
        <v>67.97083333333309</v>
      </c>
      <c r="AB1095" s="102"/>
      <c r="AC1095" s="35"/>
      <c r="AD1095" s="35"/>
    </row>
    <row r="1096" spans="1:30">
      <c r="A1096" s="102">
        <f t="shared" si="17"/>
        <v>1095</v>
      </c>
      <c r="B1096" s="257">
        <f>YEAR(Table6[[#This Row],[Date]])+IF(MONTH(Table6[[#This Row],[Date]])&gt;=4,1,0)</f>
        <v>2026</v>
      </c>
      <c r="C1096" s="102">
        <f>YEAR(Table6[[#This Row],[Date]])</f>
        <v>2025</v>
      </c>
      <c r="D1096" s="102" t="s">
        <v>265</v>
      </c>
      <c r="E1096" s="258">
        <f>Table6[[#This Row],[Date]]-DAY(Table6[[#This Row],[Date]])+1</f>
        <v>45809</v>
      </c>
      <c r="F1096" s="259">
        <v>45815</v>
      </c>
      <c r="G1096" s="35" t="s">
        <v>128</v>
      </c>
      <c r="H1096" s="35" t="str">
        <f>IFERROR(_xlfn.XLOOKUP(Table6[[#This Row],[Affected WTG]],'Basic Data'!$A:$A,'Basic Data'!$B:$B),"")</f>
        <v>TQGXIIPL</v>
      </c>
      <c r="I1096" s="35" t="str">
        <f>IFERROR(_xlfn.XLOOKUP(Table6[[#This Row],[Affected WTG]],'Basic Data'!$A:$A,'Basic Data'!$C:$C),"")</f>
        <v>GEDA</v>
      </c>
      <c r="J1096" s="260">
        <f>IFERROR(_xlfn.XLOOKUP(Table6[[#This Row],[Affected WTG]],'Basic Data'!$A:$A,'Basic Data'!$E:$E),"")</f>
        <v>3.846153846153845E-2</v>
      </c>
      <c r="K1096" s="102">
        <v>6130</v>
      </c>
      <c r="L1096" s="35" t="str">
        <f>IFERROR(_xlfn.XLOOKUP(Table6[[#This Row],[Error Code]],'Basic Data'!$AA:$AA,'Basic Data'!$AB:$AB),"Incorrect Error Code")</f>
        <v>Yaw speed high</v>
      </c>
      <c r="M1096" s="35" t="s">
        <v>278</v>
      </c>
      <c r="N1096" s="264"/>
      <c r="O1096" s="265">
        <v>0.60486111111111107</v>
      </c>
      <c r="P1096" s="265">
        <v>0.60486111111111107</v>
      </c>
      <c r="Q1096" s="266">
        <v>0.60902777777777772</v>
      </c>
      <c r="R1096" s="261">
        <f>IF(Table6[[#This Row],[Work Start TimeStamp]]="","",(Table6[[#This Row],[Work Start TimeStamp]]-Table6[[#This Row],[Fault Start TimeStamp]])*24)</f>
        <v>0</v>
      </c>
      <c r="S1096" s="261">
        <f>(Table6[[#This Row],[Fault Clearance time]]-Table6[[#This Row],[Work Start TimeStamp]])*24</f>
        <v>9.9999999999999645E-2</v>
      </c>
      <c r="T1096" s="261">
        <f>(Table6[[#This Row],[Fault Clearance time]]-Table6[[#This Row],[Fault Start TimeStamp]])*24</f>
        <v>9.9999999999999645E-2</v>
      </c>
      <c r="U1096" s="35" t="s">
        <v>277</v>
      </c>
      <c r="V1096" s="102" t="s">
        <v>268</v>
      </c>
      <c r="W1096" s="267">
        <f>IFERROR(Table6[[#This Row],[Breakdown Time]]*Table6[[#This Row],[Plant Equivalent Weightage]],"")</f>
        <v>3.8461538461538312E-3</v>
      </c>
      <c r="X1096" s="262" t="s">
        <v>269</v>
      </c>
      <c r="Y1096" s="263" t="s">
        <v>126</v>
      </c>
      <c r="Z1096" s="102">
        <v>32626</v>
      </c>
      <c r="AA1096" s="257">
        <f>(Table6[[#This Row],[Paired WTG Generation for loss calculation]]/24)*Table6[[#This Row],[Breakdown Time]]</f>
        <v>135.94166666666618</v>
      </c>
      <c r="AB1096" s="102"/>
      <c r="AC1096" s="35"/>
      <c r="AD1096" s="35"/>
    </row>
    <row r="1097" spans="1:30">
      <c r="A1097" s="102">
        <f t="shared" si="17"/>
        <v>1096</v>
      </c>
      <c r="B1097" s="257">
        <f>YEAR(Table6[[#This Row],[Date]])+IF(MONTH(Table6[[#This Row],[Date]])&gt;=4,1,0)</f>
        <v>2026</v>
      </c>
      <c r="C1097" s="102">
        <f>YEAR(Table6[[#This Row],[Date]])</f>
        <v>2025</v>
      </c>
      <c r="D1097" s="102" t="s">
        <v>265</v>
      </c>
      <c r="E1097" s="258">
        <f>Table6[[#This Row],[Date]]-DAY(Table6[[#This Row],[Date]])+1</f>
        <v>45809</v>
      </c>
      <c r="F1097" s="259">
        <v>45815</v>
      </c>
      <c r="G1097" s="35" t="s">
        <v>133</v>
      </c>
      <c r="H1097" s="35" t="str">
        <f>IFERROR(_xlfn.XLOOKUP(Table6[[#This Row],[Affected WTG]],'Basic Data'!$A:$A,'Basic Data'!$B:$B),"")</f>
        <v>TQGXIIPL</v>
      </c>
      <c r="I1097" s="35" t="str">
        <f>IFERROR(_xlfn.XLOOKUP(Table6[[#This Row],[Affected WTG]],'Basic Data'!$A:$A,'Basic Data'!$C:$C),"")</f>
        <v>GEDA</v>
      </c>
      <c r="J1097" s="260">
        <f>IFERROR(_xlfn.XLOOKUP(Table6[[#This Row],[Affected WTG]],'Basic Data'!$A:$A,'Basic Data'!$E:$E),"")</f>
        <v>3.846153846153845E-2</v>
      </c>
      <c r="K1097" s="102">
        <v>55</v>
      </c>
      <c r="L1097" s="35" t="str">
        <f>IFERROR(_xlfn.XLOOKUP(Table6[[#This Row],[Error Code]],'Basic Data'!$AA:$AA,'Basic Data'!$AB:$AB),"Incorrect Error Code")</f>
        <v>WTG shut down</v>
      </c>
      <c r="M1097" s="35" t="s">
        <v>504</v>
      </c>
      <c r="N1097" s="264"/>
      <c r="O1097" s="265">
        <v>0.43194444444444446</v>
      </c>
      <c r="P1097" s="265">
        <v>0.43194444444444446</v>
      </c>
      <c r="Q1097" s="266">
        <v>0.48194444444444445</v>
      </c>
      <c r="R1097" s="261">
        <f>IF(Table6[[#This Row],[Work Start TimeStamp]]="","",(Table6[[#This Row],[Work Start TimeStamp]]-Table6[[#This Row],[Fault Start TimeStamp]])*24)</f>
        <v>0</v>
      </c>
      <c r="S1097" s="261">
        <f>(Table6[[#This Row],[Fault Clearance time]]-Table6[[#This Row],[Work Start TimeStamp]])*24</f>
        <v>1.1999999999999997</v>
      </c>
      <c r="T1097" s="261">
        <f>(Table6[[#This Row],[Fault Clearance time]]-Table6[[#This Row],[Fault Start TimeStamp]])*24</f>
        <v>1.1999999999999997</v>
      </c>
      <c r="U1097" s="35" t="s">
        <v>505</v>
      </c>
      <c r="V1097" s="102" t="s">
        <v>268</v>
      </c>
      <c r="W1097" s="267">
        <f>IFERROR(Table6[[#This Row],[Breakdown Time]]*Table6[[#This Row],[Plant Equivalent Weightage]],"")</f>
        <v>4.6153846153846129E-2</v>
      </c>
      <c r="X1097" s="262" t="s">
        <v>296</v>
      </c>
      <c r="Y1097" s="263" t="s">
        <v>121</v>
      </c>
      <c r="Z1097" s="102">
        <v>29552</v>
      </c>
      <c r="AA1097" s="257">
        <f>(Table6[[#This Row],[Paired WTG Generation for loss calculation]]/24)*Table6[[#This Row],[Breakdown Time]]</f>
        <v>1477.5999999999997</v>
      </c>
      <c r="AB1097" s="102"/>
      <c r="AC1097" s="35"/>
      <c r="AD1097" s="35"/>
    </row>
    <row r="1098" spans="1:30">
      <c r="A1098" s="102">
        <f t="shared" si="17"/>
        <v>1097</v>
      </c>
      <c r="B1098" s="257">
        <f>YEAR(Table6[[#This Row],[Date]])+IF(MONTH(Table6[[#This Row],[Date]])&gt;=4,1,0)</f>
        <v>2026</v>
      </c>
      <c r="C1098" s="102">
        <f>YEAR(Table6[[#This Row],[Date]])</f>
        <v>2025</v>
      </c>
      <c r="D1098" s="102" t="s">
        <v>265</v>
      </c>
      <c r="E1098" s="258">
        <f>Table6[[#This Row],[Date]]-DAY(Table6[[#This Row],[Date]])+1</f>
        <v>45809</v>
      </c>
      <c r="F1098" s="259">
        <v>45815</v>
      </c>
      <c r="G1098" s="35" t="s">
        <v>133</v>
      </c>
      <c r="H1098" s="35" t="str">
        <f>IFERROR(_xlfn.XLOOKUP(Table6[[#This Row],[Affected WTG]],'Basic Data'!$A:$A,'Basic Data'!$B:$B),"")</f>
        <v>TQGXIIPL</v>
      </c>
      <c r="I1098" s="35" t="str">
        <f>IFERROR(_xlfn.XLOOKUP(Table6[[#This Row],[Affected WTG]],'Basic Data'!$A:$A,'Basic Data'!$C:$C),"")</f>
        <v>GEDA</v>
      </c>
      <c r="J1098" s="260">
        <f>IFERROR(_xlfn.XLOOKUP(Table6[[#This Row],[Affected WTG]],'Basic Data'!$A:$A,'Basic Data'!$E:$E),"")</f>
        <v>3.846153846153845E-2</v>
      </c>
      <c r="K1098" s="102">
        <v>55</v>
      </c>
      <c r="L1098" s="35" t="str">
        <f>IFERROR(_xlfn.XLOOKUP(Table6[[#This Row],[Error Code]],'Basic Data'!$AA:$AA,'Basic Data'!$AB:$AB),"Incorrect Error Code")</f>
        <v>WTG shut down</v>
      </c>
      <c r="M1098" s="35" t="s">
        <v>504</v>
      </c>
      <c r="N1098" s="264"/>
      <c r="O1098" s="265">
        <v>0.51944444444444449</v>
      </c>
      <c r="P1098" s="265">
        <v>0.51944444444444449</v>
      </c>
      <c r="Q1098" s="266">
        <v>0.53402777777777777</v>
      </c>
      <c r="R1098" s="261">
        <f>IF(Table6[[#This Row],[Work Start TimeStamp]]="","",(Table6[[#This Row],[Work Start TimeStamp]]-Table6[[#This Row],[Fault Start TimeStamp]])*24)</f>
        <v>0</v>
      </c>
      <c r="S1098" s="261">
        <f>(Table6[[#This Row],[Fault Clearance time]]-Table6[[#This Row],[Work Start TimeStamp]])*24</f>
        <v>0.34999999999999876</v>
      </c>
      <c r="T1098" s="261">
        <f>(Table6[[#This Row],[Fault Clearance time]]-Table6[[#This Row],[Fault Start TimeStamp]])*24</f>
        <v>0.34999999999999876</v>
      </c>
      <c r="U1098" s="35" t="s">
        <v>505</v>
      </c>
      <c r="V1098" s="102" t="s">
        <v>268</v>
      </c>
      <c r="W1098" s="267">
        <f>IFERROR(Table6[[#This Row],[Breakdown Time]]*Table6[[#This Row],[Plant Equivalent Weightage]],"")</f>
        <v>1.346153846153841E-2</v>
      </c>
      <c r="X1098" s="262" t="s">
        <v>296</v>
      </c>
      <c r="Y1098" s="263" t="s">
        <v>121</v>
      </c>
      <c r="Z1098" s="102">
        <v>29552</v>
      </c>
      <c r="AA1098" s="257">
        <f>(Table6[[#This Row],[Paired WTG Generation for loss calculation]]/24)*Table6[[#This Row],[Breakdown Time]]</f>
        <v>430.96666666666511</v>
      </c>
      <c r="AB1098" s="102"/>
      <c r="AC1098" s="35"/>
      <c r="AD1098" s="35"/>
    </row>
    <row r="1099" spans="1:30">
      <c r="A1099" s="102">
        <f t="shared" si="17"/>
        <v>1098</v>
      </c>
      <c r="B1099" s="257">
        <f>YEAR(Table6[[#This Row],[Date]])+IF(MONTH(Table6[[#This Row],[Date]])&gt;=4,1,0)</f>
        <v>2026</v>
      </c>
      <c r="C1099" s="102">
        <f>YEAR(Table6[[#This Row],[Date]])</f>
        <v>2025</v>
      </c>
      <c r="D1099" s="102" t="s">
        <v>265</v>
      </c>
      <c r="E1099" s="258">
        <f>Table6[[#This Row],[Date]]-DAY(Table6[[#This Row],[Date]])+1</f>
        <v>45809</v>
      </c>
      <c r="F1099" s="259">
        <v>45815</v>
      </c>
      <c r="G1099" s="35" t="s">
        <v>133</v>
      </c>
      <c r="H1099" s="35" t="str">
        <f>IFERROR(_xlfn.XLOOKUP(Table6[[#This Row],[Affected WTG]],'Basic Data'!$A:$A,'Basic Data'!$B:$B),"")</f>
        <v>TQGXIIPL</v>
      </c>
      <c r="I1099" s="35" t="str">
        <f>IFERROR(_xlfn.XLOOKUP(Table6[[#This Row],[Affected WTG]],'Basic Data'!$A:$A,'Basic Data'!$C:$C),"")</f>
        <v>GEDA</v>
      </c>
      <c r="J1099" s="260">
        <f>IFERROR(_xlfn.XLOOKUP(Table6[[#This Row],[Affected WTG]],'Basic Data'!$A:$A,'Basic Data'!$E:$E),"")</f>
        <v>3.846153846153845E-2</v>
      </c>
      <c r="K1099" s="102">
        <v>55</v>
      </c>
      <c r="L1099" s="35" t="str">
        <f>IFERROR(_xlfn.XLOOKUP(Table6[[#This Row],[Error Code]],'Basic Data'!$AA:$AA,'Basic Data'!$AB:$AB),"Incorrect Error Code")</f>
        <v>WTG shut down</v>
      </c>
      <c r="M1099" s="35" t="s">
        <v>504</v>
      </c>
      <c r="N1099" s="264"/>
      <c r="O1099" s="265">
        <v>0.70277777777777772</v>
      </c>
      <c r="P1099" s="265">
        <v>0.70277777777777772</v>
      </c>
      <c r="Q1099" s="266">
        <v>0.71805555555555556</v>
      </c>
      <c r="R1099" s="261">
        <f>IF(Table6[[#This Row],[Work Start TimeStamp]]="","",(Table6[[#This Row],[Work Start TimeStamp]]-Table6[[#This Row],[Fault Start TimeStamp]])*24)</f>
        <v>0</v>
      </c>
      <c r="S1099" s="261">
        <f>(Table6[[#This Row],[Fault Clearance time]]-Table6[[#This Row],[Work Start TimeStamp]])*24</f>
        <v>0.36666666666666803</v>
      </c>
      <c r="T1099" s="261">
        <f>(Table6[[#This Row],[Fault Clearance time]]-Table6[[#This Row],[Fault Start TimeStamp]])*24</f>
        <v>0.36666666666666803</v>
      </c>
      <c r="U1099" s="35" t="s">
        <v>505</v>
      </c>
      <c r="V1099" s="102" t="s">
        <v>268</v>
      </c>
      <c r="W1099" s="267">
        <f>IFERROR(Table6[[#This Row],[Breakdown Time]]*Table6[[#This Row],[Plant Equivalent Weightage]],"")</f>
        <v>1.4102564102564151E-2</v>
      </c>
      <c r="X1099" s="262" t="s">
        <v>296</v>
      </c>
      <c r="Y1099" s="263" t="s">
        <v>121</v>
      </c>
      <c r="Z1099" s="102">
        <v>29552</v>
      </c>
      <c r="AA1099" s="257">
        <f>(Table6[[#This Row],[Paired WTG Generation for loss calculation]]/24)*Table6[[#This Row],[Breakdown Time]]</f>
        <v>451.48888888889053</v>
      </c>
      <c r="AB1099" s="102"/>
      <c r="AC1099" s="35"/>
      <c r="AD1099" s="35"/>
    </row>
    <row r="1100" spans="1:30">
      <c r="A1100" s="102">
        <f t="shared" si="17"/>
        <v>1099</v>
      </c>
      <c r="B1100" s="257">
        <f>YEAR(Table6[[#This Row],[Date]])+IF(MONTH(Table6[[#This Row],[Date]])&gt;=4,1,0)</f>
        <v>2026</v>
      </c>
      <c r="C1100" s="102">
        <f>YEAR(Table6[[#This Row],[Date]])</f>
        <v>2025</v>
      </c>
      <c r="D1100" s="102" t="s">
        <v>265</v>
      </c>
      <c r="E1100" s="258">
        <f>Table6[[#This Row],[Date]]-DAY(Table6[[#This Row],[Date]])+1</f>
        <v>45809</v>
      </c>
      <c r="F1100" s="259">
        <v>45815</v>
      </c>
      <c r="G1100" s="35" t="s">
        <v>133</v>
      </c>
      <c r="H1100" s="35" t="str">
        <f>IFERROR(_xlfn.XLOOKUP(Table6[[#This Row],[Affected WTG]],'Basic Data'!$A:$A,'Basic Data'!$B:$B),"")</f>
        <v>TQGXIIPL</v>
      </c>
      <c r="I1100" s="35" t="str">
        <f>IFERROR(_xlfn.XLOOKUP(Table6[[#This Row],[Affected WTG]],'Basic Data'!$A:$A,'Basic Data'!$C:$C),"")</f>
        <v>GEDA</v>
      </c>
      <c r="J1100" s="260">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266</v>
      </c>
      <c r="N1100" s="264"/>
      <c r="O1100" s="265">
        <v>0.77708333333333335</v>
      </c>
      <c r="P1100" s="265">
        <v>0.77708333333333335</v>
      </c>
      <c r="Q1100" s="266">
        <v>0.78333333333333333</v>
      </c>
      <c r="R1100" s="261">
        <f>IF(Table6[[#This Row],[Work Start TimeStamp]]="","",(Table6[[#This Row],[Work Start TimeStamp]]-Table6[[#This Row],[Fault Start TimeStamp]])*24)</f>
        <v>0</v>
      </c>
      <c r="S1100" s="261">
        <f>(Table6[[#This Row],[Fault Clearance time]]-Table6[[#This Row],[Work Start TimeStamp]])*24</f>
        <v>0.14999999999999947</v>
      </c>
      <c r="T1100" s="261">
        <f>(Table6[[#This Row],[Fault Clearance time]]-Table6[[#This Row],[Fault Start TimeStamp]])*24</f>
        <v>0.14999999999999947</v>
      </c>
      <c r="U1100" s="35" t="s">
        <v>483</v>
      </c>
      <c r="V1100" s="102" t="s">
        <v>268</v>
      </c>
      <c r="W1100" s="267">
        <f>IFERROR(Table6[[#This Row],[Breakdown Time]]*Table6[[#This Row],[Plant Equivalent Weightage]],"")</f>
        <v>5.769230769230747E-3</v>
      </c>
      <c r="X1100" s="262" t="s">
        <v>269</v>
      </c>
      <c r="Y1100" s="263" t="s">
        <v>121</v>
      </c>
      <c r="Z1100" s="102">
        <v>29552</v>
      </c>
      <c r="AA1100" s="257">
        <f>(Table6[[#This Row],[Paired WTG Generation for loss calculation]]/24)*Table6[[#This Row],[Breakdown Time]]</f>
        <v>184.69999999999933</v>
      </c>
      <c r="AB1100" s="102"/>
      <c r="AC1100" s="35"/>
      <c r="AD1100" s="35"/>
    </row>
    <row r="1101" spans="1:30">
      <c r="A1101" s="102">
        <f t="shared" si="17"/>
        <v>1100</v>
      </c>
      <c r="B1101" s="257">
        <f>YEAR(Table6[[#This Row],[Date]])+IF(MONTH(Table6[[#This Row],[Date]])&gt;=4,1,0)</f>
        <v>2026</v>
      </c>
      <c r="C1101" s="102">
        <f>YEAR(Table6[[#This Row],[Date]])</f>
        <v>2025</v>
      </c>
      <c r="D1101" s="102" t="s">
        <v>265</v>
      </c>
      <c r="E1101" s="258">
        <f>Table6[[#This Row],[Date]]-DAY(Table6[[#This Row],[Date]])+1</f>
        <v>45809</v>
      </c>
      <c r="F1101" s="259">
        <v>45815</v>
      </c>
      <c r="G1101" s="35" t="s">
        <v>135</v>
      </c>
      <c r="H1101" s="35" t="str">
        <f>IFERROR(_xlfn.XLOOKUP(Table6[[#This Row],[Affected WTG]],'Basic Data'!$A:$A,'Basic Data'!$B:$B),"")</f>
        <v>TQGXIIPL</v>
      </c>
      <c r="I1101" s="35" t="str">
        <f>IFERROR(_xlfn.XLOOKUP(Table6[[#This Row],[Affected WTG]],'Basic Data'!$A:$A,'Basic Data'!$C:$C),"")</f>
        <v>GEDA</v>
      </c>
      <c r="J1101" s="260">
        <f>IFERROR(_xlfn.XLOOKUP(Table6[[#This Row],[Affected WTG]],'Basic Data'!$A:$A,'Basic Data'!$E:$E),"")</f>
        <v>3.846153846153845E-2</v>
      </c>
      <c r="K1101" s="102">
        <v>6130</v>
      </c>
      <c r="L1101" s="35" t="str">
        <f>IFERROR(_xlfn.XLOOKUP(Table6[[#This Row],[Error Code]],'Basic Data'!$AA:$AA,'Basic Data'!$AB:$AB),"Incorrect Error Code")</f>
        <v>Yaw speed high</v>
      </c>
      <c r="M1101" s="35" t="s">
        <v>278</v>
      </c>
      <c r="N1101" s="264"/>
      <c r="O1101" s="265">
        <v>0.61111111111111116</v>
      </c>
      <c r="P1101" s="265">
        <v>0.61111111111111116</v>
      </c>
      <c r="Q1101" s="266">
        <v>0.61527777777777781</v>
      </c>
      <c r="R1101" s="261">
        <f>IF(Table6[[#This Row],[Work Start TimeStamp]]="","",(Table6[[#This Row],[Work Start TimeStamp]]-Table6[[#This Row],[Fault Start TimeStamp]])*24)</f>
        <v>0</v>
      </c>
      <c r="S1101" s="261">
        <f>(Table6[[#This Row],[Fault Clearance time]]-Table6[[#This Row],[Work Start TimeStamp]])*24</f>
        <v>9.9999999999999645E-2</v>
      </c>
      <c r="T1101" s="261">
        <f>(Table6[[#This Row],[Fault Clearance time]]-Table6[[#This Row],[Fault Start TimeStamp]])*24</f>
        <v>9.9999999999999645E-2</v>
      </c>
      <c r="U1101" s="35" t="s">
        <v>277</v>
      </c>
      <c r="V1101" s="102" t="s">
        <v>268</v>
      </c>
      <c r="W1101" s="267">
        <f>IFERROR(Table6[[#This Row],[Breakdown Time]]*Table6[[#This Row],[Plant Equivalent Weightage]],"")</f>
        <v>3.8461538461538312E-3</v>
      </c>
      <c r="X1101" s="262" t="s">
        <v>269</v>
      </c>
      <c r="Y1101" s="263" t="s">
        <v>120</v>
      </c>
      <c r="Z1101" s="102">
        <v>35598</v>
      </c>
      <c r="AA1101" s="257">
        <f>(Table6[[#This Row],[Paired WTG Generation for loss calculation]]/24)*Table6[[#This Row],[Breakdown Time]]</f>
        <v>148.32499999999948</v>
      </c>
      <c r="AB1101" s="102"/>
      <c r="AC1101" s="35"/>
      <c r="AD1101" s="35"/>
    </row>
    <row r="1102" spans="1:30">
      <c r="A1102" s="102">
        <f t="shared" ref="A1102:A1165" si="18">A1101+1</f>
        <v>1101</v>
      </c>
      <c r="B1102" s="257">
        <f>YEAR(Table6[[#This Row],[Date]])+IF(MONTH(Table6[[#This Row],[Date]])&gt;=4,1,0)</f>
        <v>2026</v>
      </c>
      <c r="C1102" s="102">
        <f>YEAR(Table6[[#This Row],[Date]])</f>
        <v>2025</v>
      </c>
      <c r="D1102" s="102" t="s">
        <v>265</v>
      </c>
      <c r="E1102" s="258">
        <f>Table6[[#This Row],[Date]]-DAY(Table6[[#This Row],[Date]])+1</f>
        <v>45809</v>
      </c>
      <c r="F1102" s="259">
        <v>45815</v>
      </c>
      <c r="G1102" s="35" t="s">
        <v>136</v>
      </c>
      <c r="H1102" s="35" t="str">
        <f>IFERROR(_xlfn.XLOOKUP(Table6[[#This Row],[Affected WTG]],'Basic Data'!$A:$A,'Basic Data'!$B:$B),"")</f>
        <v>TQGXIIPL</v>
      </c>
      <c r="I1102" s="35" t="str">
        <f>IFERROR(_xlfn.XLOOKUP(Table6[[#This Row],[Affected WTG]],'Basic Data'!$A:$A,'Basic Data'!$C:$C),"")</f>
        <v>GEDA</v>
      </c>
      <c r="J1102" s="260">
        <f>IFERROR(_xlfn.XLOOKUP(Table6[[#This Row],[Affected WTG]],'Basic Data'!$A:$A,'Basic Data'!$E:$E),"")</f>
        <v>3.846153846153845E-2</v>
      </c>
      <c r="K1102" s="102">
        <v>6130</v>
      </c>
      <c r="L1102" s="35" t="str">
        <f>IFERROR(_xlfn.XLOOKUP(Table6[[#This Row],[Error Code]],'Basic Data'!$AA:$AA,'Basic Data'!$AB:$AB),"Incorrect Error Code")</f>
        <v>Yaw speed high</v>
      </c>
      <c r="M1102" s="35" t="s">
        <v>278</v>
      </c>
      <c r="N1102" s="264"/>
      <c r="O1102" s="265">
        <v>0.60138888888888886</v>
      </c>
      <c r="P1102" s="265">
        <v>0.60138888888888886</v>
      </c>
      <c r="Q1102" s="266">
        <v>0.60555555555555551</v>
      </c>
      <c r="R1102" s="261">
        <f>IF(Table6[[#This Row],[Work Start TimeStamp]]="","",(Table6[[#This Row],[Work Start TimeStamp]]-Table6[[#This Row],[Fault Start TimeStamp]])*24)</f>
        <v>0</v>
      </c>
      <c r="S1102" s="261">
        <f>(Table6[[#This Row],[Fault Clearance time]]-Table6[[#This Row],[Work Start TimeStamp]])*24</f>
        <v>9.9999999999999645E-2</v>
      </c>
      <c r="T1102" s="261">
        <f>(Table6[[#This Row],[Fault Clearance time]]-Table6[[#This Row],[Fault Start TimeStamp]])*24</f>
        <v>9.9999999999999645E-2</v>
      </c>
      <c r="U1102" s="35" t="s">
        <v>277</v>
      </c>
      <c r="V1102" s="102" t="s">
        <v>268</v>
      </c>
      <c r="W1102" s="267">
        <f>IFERROR(Table6[[#This Row],[Breakdown Time]]*Table6[[#This Row],[Plant Equivalent Weightage]],"")</f>
        <v>3.8461538461538312E-3</v>
      </c>
      <c r="X1102" s="262" t="s">
        <v>269</v>
      </c>
      <c r="Y1102" s="263" t="s">
        <v>120</v>
      </c>
      <c r="Z1102" s="102">
        <v>35598</v>
      </c>
      <c r="AA1102" s="257">
        <f>(Table6[[#This Row],[Paired WTG Generation for loss calculation]]/24)*Table6[[#This Row],[Breakdown Time]]</f>
        <v>148.32499999999948</v>
      </c>
      <c r="AB1102" s="102"/>
      <c r="AC1102" s="35"/>
      <c r="AD1102" s="35"/>
    </row>
    <row r="1103" spans="1:30">
      <c r="A1103" s="102">
        <f t="shared" si="18"/>
        <v>1102</v>
      </c>
      <c r="B1103" s="257">
        <f>YEAR(Table6[[#This Row],[Date]])+IF(MONTH(Table6[[#This Row],[Date]])&gt;=4,1,0)</f>
        <v>2026</v>
      </c>
      <c r="C1103" s="102">
        <f>YEAR(Table6[[#This Row],[Date]])</f>
        <v>2025</v>
      </c>
      <c r="D1103" s="102" t="s">
        <v>265</v>
      </c>
      <c r="E1103" s="258">
        <f>Table6[[#This Row],[Date]]-DAY(Table6[[#This Row],[Date]])+1</f>
        <v>45809</v>
      </c>
      <c r="F1103" s="259">
        <v>45815</v>
      </c>
      <c r="G1103" s="35" t="s">
        <v>137</v>
      </c>
      <c r="H1103" s="35" t="str">
        <f>IFERROR(_xlfn.XLOOKUP(Table6[[#This Row],[Affected WTG]],'Basic Data'!$A:$A,'Basic Data'!$B:$B),"")</f>
        <v>TQGXIIPL</v>
      </c>
      <c r="I1103" s="35" t="str">
        <f>IFERROR(_xlfn.XLOOKUP(Table6[[#This Row],[Affected WTG]],'Basic Data'!$A:$A,'Basic Data'!$C:$C),"")</f>
        <v>GEDA</v>
      </c>
      <c r="J1103" s="260">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266</v>
      </c>
      <c r="N1103" s="264"/>
      <c r="O1103" s="265">
        <v>0</v>
      </c>
      <c r="P1103" s="265">
        <v>0</v>
      </c>
      <c r="Q1103" s="266">
        <v>1.3888888888888888E-2</v>
      </c>
      <c r="R1103" s="261">
        <f>IF(Table6[[#This Row],[Work Start TimeStamp]]="","",(Table6[[#This Row],[Work Start TimeStamp]]-Table6[[#This Row],[Fault Start TimeStamp]])*24)</f>
        <v>0</v>
      </c>
      <c r="S1103" s="261">
        <f>(Table6[[#This Row],[Fault Clearance time]]-Table6[[#This Row],[Work Start TimeStamp]])*24</f>
        <v>0.33333333333333331</v>
      </c>
      <c r="T1103" s="261">
        <f>(Table6[[#This Row],[Fault Clearance time]]-Table6[[#This Row],[Fault Start TimeStamp]])*24</f>
        <v>0.33333333333333331</v>
      </c>
      <c r="U1103" s="35" t="s">
        <v>506</v>
      </c>
      <c r="V1103" s="102" t="s">
        <v>268</v>
      </c>
      <c r="W1103" s="267">
        <f>IFERROR(Table6[[#This Row],[Breakdown Time]]*Table6[[#This Row],[Plant Equivalent Weightage]],"")</f>
        <v>1.2820512820512817E-2</v>
      </c>
      <c r="X1103" s="262" t="s">
        <v>269</v>
      </c>
      <c r="Y1103" s="263" t="s">
        <v>125</v>
      </c>
      <c r="Z1103" s="102">
        <v>32412</v>
      </c>
      <c r="AA1103" s="257">
        <f>(Table6[[#This Row],[Paired WTG Generation for loss calculation]]/24)*Table6[[#This Row],[Breakdown Time]]</f>
        <v>450.16666666666663</v>
      </c>
      <c r="AB1103" s="102"/>
      <c r="AC1103" s="35"/>
      <c r="AD1103" s="35"/>
    </row>
    <row r="1104" spans="1:30">
      <c r="A1104" s="102">
        <f t="shared" si="18"/>
        <v>1103</v>
      </c>
      <c r="B1104" s="257">
        <f>YEAR(Table6[[#This Row],[Date]])+IF(MONTH(Table6[[#This Row],[Date]])&gt;=4,1,0)</f>
        <v>2026</v>
      </c>
      <c r="C1104" s="102">
        <f>YEAR(Table6[[#This Row],[Date]])</f>
        <v>2025</v>
      </c>
      <c r="D1104" s="102" t="s">
        <v>265</v>
      </c>
      <c r="E1104" s="258">
        <f>Table6[[#This Row],[Date]]-DAY(Table6[[#This Row],[Date]])+1</f>
        <v>45809</v>
      </c>
      <c r="F1104" s="259">
        <v>45815</v>
      </c>
      <c r="G1104" s="35" t="s">
        <v>139</v>
      </c>
      <c r="H1104" s="35" t="str">
        <f>IFERROR(_xlfn.XLOOKUP(Table6[[#This Row],[Affected WTG]],'Basic Data'!$A:$A,'Basic Data'!$B:$B),"")</f>
        <v>TQGXIIPL</v>
      </c>
      <c r="I1104" s="35" t="str">
        <f>IFERROR(_xlfn.XLOOKUP(Table6[[#This Row],[Affected WTG]],'Basic Data'!$A:$A,'Basic Data'!$C:$C),"")</f>
        <v>GEDA</v>
      </c>
      <c r="J1104" s="260">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278</v>
      </c>
      <c r="N1104" s="264"/>
      <c r="O1104" s="265">
        <v>0.77152777777777781</v>
      </c>
      <c r="P1104" s="265">
        <v>0.77152777777777781</v>
      </c>
      <c r="Q1104" s="266">
        <v>0.78194444444444444</v>
      </c>
      <c r="R1104" s="261">
        <f>IF(Table6[[#This Row],[Work Start TimeStamp]]="","",(Table6[[#This Row],[Work Start TimeStamp]]-Table6[[#This Row],[Fault Start TimeStamp]])*24)</f>
        <v>0</v>
      </c>
      <c r="S1104" s="261">
        <f>(Table6[[#This Row],[Fault Clearance time]]-Table6[[#This Row],[Work Start TimeStamp]])*24</f>
        <v>0.24999999999999911</v>
      </c>
      <c r="T1104" s="261">
        <f>(Table6[[#This Row],[Fault Clearance time]]-Table6[[#This Row],[Fault Start TimeStamp]])*24</f>
        <v>0.24999999999999911</v>
      </c>
      <c r="U1104" s="35" t="s">
        <v>277</v>
      </c>
      <c r="V1104" s="102" t="s">
        <v>268</v>
      </c>
      <c r="W1104" s="267">
        <f>IFERROR(Table6[[#This Row],[Breakdown Time]]*Table6[[#This Row],[Plant Equivalent Weightage]],"")</f>
        <v>9.6153846153845778E-3</v>
      </c>
      <c r="X1104" s="262" t="s">
        <v>269</v>
      </c>
      <c r="Y1104" s="263" t="s">
        <v>115</v>
      </c>
      <c r="Z1104" s="102">
        <v>36444</v>
      </c>
      <c r="AA1104" s="257">
        <f>(Table6[[#This Row],[Paired WTG Generation for loss calculation]]/24)*Table6[[#This Row],[Breakdown Time]]</f>
        <v>379.62499999999864</v>
      </c>
      <c r="AB1104" s="102"/>
      <c r="AC1104" s="35"/>
      <c r="AD1104" s="35"/>
    </row>
    <row r="1105" spans="1:30">
      <c r="A1105" s="102">
        <f t="shared" si="18"/>
        <v>1104</v>
      </c>
      <c r="B1105" s="257">
        <f>YEAR(Table6[[#This Row],[Date]])+IF(MONTH(Table6[[#This Row],[Date]])&gt;=4,1,0)</f>
        <v>2026</v>
      </c>
      <c r="C1105" s="102">
        <f>YEAR(Table6[[#This Row],[Date]])</f>
        <v>2025</v>
      </c>
      <c r="D1105" s="102" t="s">
        <v>265</v>
      </c>
      <c r="E1105" s="258">
        <f>Table6[[#This Row],[Date]]-DAY(Table6[[#This Row],[Date]])+1</f>
        <v>45809</v>
      </c>
      <c r="F1105" s="259">
        <v>45816</v>
      </c>
      <c r="G1105" s="35" t="s">
        <v>118</v>
      </c>
      <c r="H1105" s="35" t="str">
        <f>IFERROR(_xlfn.XLOOKUP(Table6[[#This Row],[Affected WTG]],'Basic Data'!$A:$A,'Basic Data'!$B:$B),"")</f>
        <v>TQGXIIPL</v>
      </c>
      <c r="I1105" s="35" t="str">
        <f>IFERROR(_xlfn.XLOOKUP(Table6[[#This Row],[Affected WTG]],'Basic Data'!$A:$A,'Basic Data'!$C:$C),"")</f>
        <v>GEDA</v>
      </c>
      <c r="J1105" s="260">
        <f>IFERROR(_xlfn.XLOOKUP(Table6[[#This Row],[Affected WTG]],'Basic Data'!$A:$A,'Basic Data'!$E:$E),"")</f>
        <v>3.846153846153845E-2</v>
      </c>
      <c r="K1105" s="102">
        <v>6130</v>
      </c>
      <c r="L1105" s="35" t="str">
        <f>IFERROR(_xlfn.XLOOKUP(Table6[[#This Row],[Error Code]],'Basic Data'!$AA:$AA,'Basic Data'!$AB:$AB),"Incorrect Error Code")</f>
        <v>Yaw speed high</v>
      </c>
      <c r="M1105" s="35" t="s">
        <v>278</v>
      </c>
      <c r="N1105" s="264"/>
      <c r="O1105" s="265">
        <v>0.33611111111111114</v>
      </c>
      <c r="P1105" s="265">
        <v>0.33611111111111114</v>
      </c>
      <c r="Q1105" s="266">
        <v>0.34027777777777779</v>
      </c>
      <c r="R1105" s="261">
        <f>IF(Table6[[#This Row],[Work Start TimeStamp]]="","",(Table6[[#This Row],[Work Start TimeStamp]]-Table6[[#This Row],[Fault Start TimeStamp]])*24)</f>
        <v>0</v>
      </c>
      <c r="S1105" s="261">
        <f>(Table6[[#This Row],[Fault Clearance time]]-Table6[[#This Row],[Work Start TimeStamp]])*24</f>
        <v>9.9999999999999645E-2</v>
      </c>
      <c r="T1105" s="261">
        <f>(Table6[[#This Row],[Fault Clearance time]]-Table6[[#This Row],[Fault Start TimeStamp]])*24</f>
        <v>9.9999999999999645E-2</v>
      </c>
      <c r="U1105" s="35" t="s">
        <v>277</v>
      </c>
      <c r="V1105" s="102" t="s">
        <v>268</v>
      </c>
      <c r="W1105" s="267">
        <f>IFERROR(Table6[[#This Row],[Breakdown Time]]*Table6[[#This Row],[Plant Equivalent Weightage]],"")</f>
        <v>3.8461538461538312E-3</v>
      </c>
      <c r="X1105" s="262" t="s">
        <v>269</v>
      </c>
      <c r="Y1105" s="263" t="s">
        <v>121</v>
      </c>
      <c r="Z1105" s="102">
        <v>27380</v>
      </c>
      <c r="AA1105" s="257">
        <f>(Table6[[#This Row],[Paired WTG Generation for loss calculation]]/24)*Table6[[#This Row],[Breakdown Time]]</f>
        <v>114.08333333333292</v>
      </c>
      <c r="AB1105" s="102"/>
      <c r="AC1105" s="35"/>
      <c r="AD1105" s="35"/>
    </row>
    <row r="1106" spans="1:30">
      <c r="A1106" s="102">
        <f t="shared" si="18"/>
        <v>1105</v>
      </c>
      <c r="B1106" s="257">
        <f>YEAR(Table6[[#This Row],[Date]])+IF(MONTH(Table6[[#This Row],[Date]])&gt;=4,1,0)</f>
        <v>2026</v>
      </c>
      <c r="C1106" s="102">
        <f>YEAR(Table6[[#This Row],[Date]])</f>
        <v>2025</v>
      </c>
      <c r="D1106" s="102" t="s">
        <v>265</v>
      </c>
      <c r="E1106" s="258">
        <f>Table6[[#This Row],[Date]]-DAY(Table6[[#This Row],[Date]])+1</f>
        <v>45809</v>
      </c>
      <c r="F1106" s="259">
        <v>45816</v>
      </c>
      <c r="G1106" s="35" t="s">
        <v>118</v>
      </c>
      <c r="H1106" s="35" t="str">
        <f>IFERROR(_xlfn.XLOOKUP(Table6[[#This Row],[Affected WTG]],'Basic Data'!$A:$A,'Basic Data'!$B:$B),"")</f>
        <v>TQGXIIPL</v>
      </c>
      <c r="I1106" s="35" t="str">
        <f>IFERROR(_xlfn.XLOOKUP(Table6[[#This Row],[Affected WTG]],'Basic Data'!$A:$A,'Basic Data'!$C:$C),"")</f>
        <v>GEDA</v>
      </c>
      <c r="J1106" s="260">
        <f>IFERROR(_xlfn.XLOOKUP(Table6[[#This Row],[Affected WTG]],'Basic Data'!$A:$A,'Basic Data'!$E:$E),"")</f>
        <v>3.846153846153845E-2</v>
      </c>
      <c r="K1106" s="102">
        <v>55</v>
      </c>
      <c r="L1106" s="35" t="str">
        <f>IFERROR(_xlfn.XLOOKUP(Table6[[#This Row],[Error Code]],'Basic Data'!$AA:$AA,'Basic Data'!$AB:$AB),"Incorrect Error Code")</f>
        <v>WTG shut down</v>
      </c>
      <c r="M1106" s="35" t="s">
        <v>504</v>
      </c>
      <c r="N1106" s="264"/>
      <c r="O1106" s="265">
        <v>0.37222222222222223</v>
      </c>
      <c r="P1106" s="265">
        <v>0.37222222222222223</v>
      </c>
      <c r="Q1106" s="266">
        <v>0.44236111111111109</v>
      </c>
      <c r="R1106" s="261">
        <f>IF(Table6[[#This Row],[Work Start TimeStamp]]="","",(Table6[[#This Row],[Work Start TimeStamp]]-Table6[[#This Row],[Fault Start TimeStamp]])*24)</f>
        <v>0</v>
      </c>
      <c r="S1106" s="261">
        <f>(Table6[[#This Row],[Fault Clearance time]]-Table6[[#This Row],[Work Start TimeStamp]])*24</f>
        <v>1.6833333333333327</v>
      </c>
      <c r="T1106" s="261">
        <f>(Table6[[#This Row],[Fault Clearance time]]-Table6[[#This Row],[Fault Start TimeStamp]])*24</f>
        <v>1.6833333333333327</v>
      </c>
      <c r="U1106" s="35" t="s">
        <v>505</v>
      </c>
      <c r="V1106" s="102" t="s">
        <v>268</v>
      </c>
      <c r="W1106" s="267">
        <f>IFERROR(Table6[[#This Row],[Breakdown Time]]*Table6[[#This Row],[Plant Equivalent Weightage]],"")</f>
        <v>6.4743589743589694E-2</v>
      </c>
      <c r="X1106" s="262" t="s">
        <v>296</v>
      </c>
      <c r="Y1106" s="263" t="s">
        <v>121</v>
      </c>
      <c r="Z1106" s="102">
        <v>27380</v>
      </c>
      <c r="AA1106" s="257">
        <f>(Table6[[#This Row],[Paired WTG Generation for loss calculation]]/24)*Table6[[#This Row],[Breakdown Time]]</f>
        <v>1920.4027777777769</v>
      </c>
      <c r="AB1106" s="102"/>
      <c r="AC1106" s="35"/>
      <c r="AD1106" s="35"/>
    </row>
    <row r="1107" spans="1:30">
      <c r="A1107" s="102">
        <f t="shared" si="18"/>
        <v>1106</v>
      </c>
      <c r="B1107" s="257">
        <f>YEAR(Table6[[#This Row],[Date]])+IF(MONTH(Table6[[#This Row],[Date]])&gt;=4,1,0)</f>
        <v>2026</v>
      </c>
      <c r="C1107" s="102">
        <f>YEAR(Table6[[#This Row],[Date]])</f>
        <v>2025</v>
      </c>
      <c r="D1107" s="102" t="s">
        <v>265</v>
      </c>
      <c r="E1107" s="258">
        <f>Table6[[#This Row],[Date]]-DAY(Table6[[#This Row],[Date]])+1</f>
        <v>45809</v>
      </c>
      <c r="F1107" s="259">
        <v>45816</v>
      </c>
      <c r="G1107" s="35" t="s">
        <v>118</v>
      </c>
      <c r="H1107" s="35" t="str">
        <f>IFERROR(_xlfn.XLOOKUP(Table6[[#This Row],[Affected WTG]],'Basic Data'!$A:$A,'Basic Data'!$B:$B),"")</f>
        <v>TQGXIIPL</v>
      </c>
      <c r="I1107" s="35" t="str">
        <f>IFERROR(_xlfn.XLOOKUP(Table6[[#This Row],[Affected WTG]],'Basic Data'!$A:$A,'Basic Data'!$C:$C),"")</f>
        <v>GEDA</v>
      </c>
      <c r="J1107" s="260">
        <f>IFERROR(_xlfn.XLOOKUP(Table6[[#This Row],[Affected WTG]],'Basic Data'!$A:$A,'Basic Data'!$E:$E),"")</f>
        <v>3.846153846153845E-2</v>
      </c>
      <c r="K1107" s="102">
        <v>55</v>
      </c>
      <c r="L1107" s="35" t="str">
        <f>IFERROR(_xlfn.XLOOKUP(Table6[[#This Row],[Error Code]],'Basic Data'!$AA:$AA,'Basic Data'!$AB:$AB),"Incorrect Error Code")</f>
        <v>WTG shut down</v>
      </c>
      <c r="M1107" s="35" t="s">
        <v>504</v>
      </c>
      <c r="N1107" s="264"/>
      <c r="O1107" s="265">
        <v>0.76736111111111116</v>
      </c>
      <c r="P1107" s="265">
        <v>0.76736111111111116</v>
      </c>
      <c r="Q1107" s="266">
        <v>0.7895833333333333</v>
      </c>
      <c r="R1107" s="261">
        <f>IF(Table6[[#This Row],[Work Start TimeStamp]]="","",(Table6[[#This Row],[Work Start TimeStamp]]-Table6[[#This Row],[Fault Start TimeStamp]])*24)</f>
        <v>0</v>
      </c>
      <c r="S1107" s="261">
        <f>(Table6[[#This Row],[Fault Clearance time]]-Table6[[#This Row],[Work Start TimeStamp]])*24</f>
        <v>0.53333333333333144</v>
      </c>
      <c r="T1107" s="261">
        <f>(Table6[[#This Row],[Fault Clearance time]]-Table6[[#This Row],[Fault Start TimeStamp]])*24</f>
        <v>0.53333333333333144</v>
      </c>
      <c r="U1107" s="35" t="s">
        <v>505</v>
      </c>
      <c r="V1107" s="102" t="s">
        <v>268</v>
      </c>
      <c r="W1107" s="267">
        <f>IFERROR(Table6[[#This Row],[Breakdown Time]]*Table6[[#This Row],[Plant Equivalent Weightage]],"")</f>
        <v>2.0512820512820433E-2</v>
      </c>
      <c r="X1107" s="262" t="s">
        <v>296</v>
      </c>
      <c r="Y1107" s="263" t="s">
        <v>121</v>
      </c>
      <c r="Z1107" s="102">
        <v>27380</v>
      </c>
      <c r="AA1107" s="257">
        <f>(Table6[[#This Row],[Paired WTG Generation for loss calculation]]/24)*Table6[[#This Row],[Breakdown Time]]</f>
        <v>608.4444444444423</v>
      </c>
      <c r="AB1107" s="102"/>
      <c r="AC1107" s="35"/>
      <c r="AD1107" s="35"/>
    </row>
    <row r="1108" spans="1:30">
      <c r="A1108" s="102">
        <f t="shared" si="18"/>
        <v>1107</v>
      </c>
      <c r="B1108" s="257">
        <f>YEAR(Table6[[#This Row],[Date]])+IF(MONTH(Table6[[#This Row],[Date]])&gt;=4,1,0)</f>
        <v>2026</v>
      </c>
      <c r="C1108" s="102">
        <f>YEAR(Table6[[#This Row],[Date]])</f>
        <v>2025</v>
      </c>
      <c r="D1108" s="102" t="s">
        <v>265</v>
      </c>
      <c r="E1108" s="258">
        <f>Table6[[#This Row],[Date]]-DAY(Table6[[#This Row],[Date]])+1</f>
        <v>45809</v>
      </c>
      <c r="F1108" s="259">
        <v>45816</v>
      </c>
      <c r="G1108" s="35" t="s">
        <v>118</v>
      </c>
      <c r="H1108" s="35" t="str">
        <f>IFERROR(_xlfn.XLOOKUP(Table6[[#This Row],[Affected WTG]],'Basic Data'!$A:$A,'Basic Data'!$B:$B),"")</f>
        <v>TQGXIIPL</v>
      </c>
      <c r="I1108" s="35" t="str">
        <f>IFERROR(_xlfn.XLOOKUP(Table6[[#This Row],[Affected WTG]],'Basic Data'!$A:$A,'Basic Data'!$C:$C),"")</f>
        <v>GEDA</v>
      </c>
      <c r="J1108" s="260">
        <f>IFERROR(_xlfn.XLOOKUP(Table6[[#This Row],[Affected WTG]],'Basic Data'!$A:$A,'Basic Data'!$E:$E),"")</f>
        <v>3.846153846153845E-2</v>
      </c>
      <c r="K1108" s="102">
        <v>6130</v>
      </c>
      <c r="L1108" s="35" t="str">
        <f>IFERROR(_xlfn.XLOOKUP(Table6[[#This Row],[Error Code]],'Basic Data'!$AA:$AA,'Basic Data'!$AB:$AB),"Incorrect Error Code")</f>
        <v>Yaw speed high</v>
      </c>
      <c r="M1108" s="35" t="s">
        <v>266</v>
      </c>
      <c r="N1108" s="264"/>
      <c r="O1108" s="265">
        <v>0.93472222222222223</v>
      </c>
      <c r="P1108" s="265">
        <v>0.93472222222222223</v>
      </c>
      <c r="Q1108" s="266">
        <v>0.97222222222222221</v>
      </c>
      <c r="R1108" s="261">
        <f>IF(Table6[[#This Row],[Work Start TimeStamp]]="","",(Table6[[#This Row],[Work Start TimeStamp]]-Table6[[#This Row],[Fault Start TimeStamp]])*24)</f>
        <v>0</v>
      </c>
      <c r="S1108" s="261">
        <f>(Table6[[#This Row],[Fault Clearance time]]-Table6[[#This Row],[Work Start TimeStamp]])*24</f>
        <v>0.89999999999999947</v>
      </c>
      <c r="T1108" s="261">
        <f>(Table6[[#This Row],[Fault Clearance time]]-Table6[[#This Row],[Fault Start TimeStamp]])*24</f>
        <v>0.89999999999999947</v>
      </c>
      <c r="U1108" s="35" t="s">
        <v>483</v>
      </c>
      <c r="V1108" s="102" t="s">
        <v>268</v>
      </c>
      <c r="W1108" s="267">
        <f>IFERROR(Table6[[#This Row],[Breakdown Time]]*Table6[[#This Row],[Plant Equivalent Weightage]],"")</f>
        <v>3.4615384615384583E-2</v>
      </c>
      <c r="X1108" s="262" t="s">
        <v>269</v>
      </c>
      <c r="Y1108" s="263" t="s">
        <v>121</v>
      </c>
      <c r="Z1108" s="102">
        <v>27380</v>
      </c>
      <c r="AA1108" s="257">
        <f>(Table6[[#This Row],[Paired WTG Generation for loss calculation]]/24)*Table6[[#This Row],[Breakdown Time]]</f>
        <v>1026.7499999999993</v>
      </c>
      <c r="AB1108" s="102"/>
      <c r="AC1108" s="35"/>
      <c r="AD1108" s="35"/>
    </row>
    <row r="1109" spans="1:30">
      <c r="A1109" s="102">
        <f t="shared" si="18"/>
        <v>1108</v>
      </c>
      <c r="B1109" s="257">
        <f>YEAR(Table6[[#This Row],[Date]])+IF(MONTH(Table6[[#This Row],[Date]])&gt;=4,1,0)</f>
        <v>2026</v>
      </c>
      <c r="C1109" s="102">
        <f>YEAR(Table6[[#This Row],[Date]])</f>
        <v>2025</v>
      </c>
      <c r="D1109" s="102" t="s">
        <v>265</v>
      </c>
      <c r="E1109" s="258">
        <f>Table6[[#This Row],[Date]]-DAY(Table6[[#This Row],[Date]])+1</f>
        <v>45809</v>
      </c>
      <c r="F1109" s="259">
        <v>45816</v>
      </c>
      <c r="G1109" s="35" t="s">
        <v>120</v>
      </c>
      <c r="H1109" s="35" t="str">
        <f>IFERROR(_xlfn.XLOOKUP(Table6[[#This Row],[Affected WTG]],'Basic Data'!$A:$A,'Basic Data'!$B:$B),"")</f>
        <v>TQGXIIPL</v>
      </c>
      <c r="I1109" s="35" t="str">
        <f>IFERROR(_xlfn.XLOOKUP(Table6[[#This Row],[Affected WTG]],'Basic Data'!$A:$A,'Basic Data'!$C:$C),"")</f>
        <v>GEDA</v>
      </c>
      <c r="J1109" s="260">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266</v>
      </c>
      <c r="N1109" s="264"/>
      <c r="O1109" s="265">
        <v>0.51527777777777772</v>
      </c>
      <c r="P1109" s="265">
        <v>0.51527777777777772</v>
      </c>
      <c r="Q1109" s="266">
        <v>0.51736111111111116</v>
      </c>
      <c r="R1109" s="261">
        <f>IF(Table6[[#This Row],[Work Start TimeStamp]]="","",(Table6[[#This Row],[Work Start TimeStamp]]-Table6[[#This Row],[Fault Start TimeStamp]])*24)</f>
        <v>0</v>
      </c>
      <c r="S1109" s="261">
        <f>(Table6[[#This Row],[Fault Clearance time]]-Table6[[#This Row],[Work Start TimeStamp]])*24</f>
        <v>5.0000000000002487E-2</v>
      </c>
      <c r="T1109" s="261">
        <f>(Table6[[#This Row],[Fault Clearance time]]-Table6[[#This Row],[Fault Start TimeStamp]])*24</f>
        <v>5.0000000000002487E-2</v>
      </c>
      <c r="U1109" s="35" t="s">
        <v>483</v>
      </c>
      <c r="V1109" s="102" t="s">
        <v>268</v>
      </c>
      <c r="W1109" s="267">
        <f>IFERROR(Table6[[#This Row],[Breakdown Time]]*Table6[[#This Row],[Plant Equivalent Weightage]],"")</f>
        <v>1.9230769230770182E-3</v>
      </c>
      <c r="X1109" s="262" t="s">
        <v>269</v>
      </c>
      <c r="Y1109" s="263" t="s">
        <v>135</v>
      </c>
      <c r="Z1109" s="102">
        <v>29442</v>
      </c>
      <c r="AA1109" s="257">
        <f>(Table6[[#This Row],[Paired WTG Generation for loss calculation]]/24)*Table6[[#This Row],[Breakdown Time]]</f>
        <v>61.337500000003054</v>
      </c>
      <c r="AB1109" s="102"/>
      <c r="AC1109" s="35"/>
      <c r="AD1109" s="35"/>
    </row>
    <row r="1110" spans="1:30">
      <c r="A1110" s="102">
        <f t="shared" si="18"/>
        <v>1109</v>
      </c>
      <c r="B1110" s="257">
        <f>YEAR(Table6[[#This Row],[Date]])+IF(MONTH(Table6[[#This Row],[Date]])&gt;=4,1,0)</f>
        <v>2026</v>
      </c>
      <c r="C1110" s="102">
        <f>YEAR(Table6[[#This Row],[Date]])</f>
        <v>2025</v>
      </c>
      <c r="D1110" s="102" t="s">
        <v>265</v>
      </c>
      <c r="E1110" s="258">
        <f>Table6[[#This Row],[Date]]-DAY(Table6[[#This Row],[Date]])+1</f>
        <v>45809</v>
      </c>
      <c r="F1110" s="259">
        <v>45816</v>
      </c>
      <c r="G1110" s="35" t="s">
        <v>121</v>
      </c>
      <c r="H1110" s="35" t="str">
        <f>IFERROR(_xlfn.XLOOKUP(Table6[[#This Row],[Affected WTG]],'Basic Data'!$A:$A,'Basic Data'!$B:$B),"")</f>
        <v>TQGXIIPL</v>
      </c>
      <c r="I1110" s="35" t="str">
        <f>IFERROR(_xlfn.XLOOKUP(Table6[[#This Row],[Affected WTG]],'Basic Data'!$A:$A,'Basic Data'!$C:$C),"")</f>
        <v>GEDA</v>
      </c>
      <c r="J1110" s="260">
        <f>IFERROR(_xlfn.XLOOKUP(Table6[[#This Row],[Affected WTG]],'Basic Data'!$A:$A,'Basic Data'!$E:$E),"")</f>
        <v>3.846153846153845E-2</v>
      </c>
      <c r="K1110" s="102">
        <v>55</v>
      </c>
      <c r="L1110" s="35" t="str">
        <f>IFERROR(_xlfn.XLOOKUP(Table6[[#This Row],[Error Code]],'Basic Data'!$AA:$AA,'Basic Data'!$AB:$AB),"Incorrect Error Code")</f>
        <v>WTG shut down</v>
      </c>
      <c r="M1110" s="35" t="s">
        <v>504</v>
      </c>
      <c r="N1110" s="264"/>
      <c r="O1110" s="265">
        <v>0.37152777777777779</v>
      </c>
      <c r="P1110" s="265">
        <v>0.37152777777777779</v>
      </c>
      <c r="Q1110" s="266">
        <v>0.78888888888888886</v>
      </c>
      <c r="R1110" s="261">
        <f>IF(Table6[[#This Row],[Work Start TimeStamp]]="","",(Table6[[#This Row],[Work Start TimeStamp]]-Table6[[#This Row],[Fault Start TimeStamp]])*24)</f>
        <v>0</v>
      </c>
      <c r="S1110" s="261">
        <f>(Table6[[#This Row],[Fault Clearance time]]-Table6[[#This Row],[Work Start TimeStamp]])*24</f>
        <v>10.016666666666666</v>
      </c>
      <c r="T1110" s="261">
        <f>(Table6[[#This Row],[Fault Clearance time]]-Table6[[#This Row],[Fault Start TimeStamp]])*24</f>
        <v>10.016666666666666</v>
      </c>
      <c r="U1110" s="35" t="s">
        <v>505</v>
      </c>
      <c r="V1110" s="102" t="s">
        <v>268</v>
      </c>
      <c r="W1110" s="267">
        <f>IFERROR(Table6[[#This Row],[Breakdown Time]]*Table6[[#This Row],[Plant Equivalent Weightage]],"")</f>
        <v>0.38525641025641011</v>
      </c>
      <c r="X1110" s="262" t="s">
        <v>296</v>
      </c>
      <c r="Y1110" s="263" t="s">
        <v>118</v>
      </c>
      <c r="Z1110" s="102">
        <v>31181</v>
      </c>
      <c r="AA1110" s="257">
        <f>(Table6[[#This Row],[Paired WTG Generation for loss calculation]]/24)*Table6[[#This Row],[Breakdown Time]]</f>
        <v>13013.736805555554</v>
      </c>
      <c r="AB1110" s="102"/>
      <c r="AC1110" s="35"/>
      <c r="AD1110" s="35"/>
    </row>
    <row r="1111" spans="1:30">
      <c r="A1111" s="102">
        <f t="shared" si="18"/>
        <v>1110</v>
      </c>
      <c r="B1111" s="257">
        <f>YEAR(Table6[[#This Row],[Date]])+IF(MONTH(Table6[[#This Row],[Date]])&gt;=4,1,0)</f>
        <v>2026</v>
      </c>
      <c r="C1111" s="102">
        <f>YEAR(Table6[[#This Row],[Date]])</f>
        <v>2025</v>
      </c>
      <c r="D1111" s="102" t="s">
        <v>265</v>
      </c>
      <c r="E1111" s="258">
        <f>Table6[[#This Row],[Date]]-DAY(Table6[[#This Row],[Date]])+1</f>
        <v>45809</v>
      </c>
      <c r="F1111" s="259">
        <v>45816</v>
      </c>
      <c r="G1111" s="35" t="s">
        <v>122</v>
      </c>
      <c r="H1111" s="35" t="str">
        <f>IFERROR(_xlfn.XLOOKUP(Table6[[#This Row],[Affected WTG]],'Basic Data'!$A:$A,'Basic Data'!$B:$B),"")</f>
        <v>TQGXIIPL</v>
      </c>
      <c r="I1111" s="35" t="str">
        <f>IFERROR(_xlfn.XLOOKUP(Table6[[#This Row],[Affected WTG]],'Basic Data'!$A:$A,'Basic Data'!$C:$C),"")</f>
        <v>GEDA</v>
      </c>
      <c r="J1111" s="260">
        <f>IFERROR(_xlfn.XLOOKUP(Table6[[#This Row],[Affected WTG]],'Basic Data'!$A:$A,'Basic Data'!$E:$E),"")</f>
        <v>3.846153846153845E-2</v>
      </c>
      <c r="K1111" s="102">
        <v>175</v>
      </c>
      <c r="L1111" s="35" t="str">
        <f>IFERROR(_xlfn.XLOOKUP(Table6[[#This Row],[Error Code]],'Basic Data'!$AA:$AA,'Basic Data'!$AB:$AB),"Incorrect Error Code")</f>
        <v>SLC error</v>
      </c>
      <c r="M1111" s="35" t="s">
        <v>266</v>
      </c>
      <c r="N1111" s="264"/>
      <c r="O1111" s="265">
        <v>0.48194444444444445</v>
      </c>
      <c r="P1111" s="265">
        <v>0.48194444444444445</v>
      </c>
      <c r="Q1111" s="266">
        <v>0.49791666666666667</v>
      </c>
      <c r="R1111" s="261">
        <f>IF(Table6[[#This Row],[Work Start TimeStamp]]="","",(Table6[[#This Row],[Work Start TimeStamp]]-Table6[[#This Row],[Fault Start TimeStamp]])*24)</f>
        <v>0</v>
      </c>
      <c r="S1111" s="261">
        <f>(Table6[[#This Row],[Fault Clearance time]]-Table6[[#This Row],[Work Start TimeStamp]])*24</f>
        <v>0.3833333333333333</v>
      </c>
      <c r="T1111" s="261">
        <f>(Table6[[#This Row],[Fault Clearance time]]-Table6[[#This Row],[Fault Start TimeStamp]])*24</f>
        <v>0.3833333333333333</v>
      </c>
      <c r="U1111" s="35" t="s">
        <v>483</v>
      </c>
      <c r="V1111" s="102" t="s">
        <v>268</v>
      </c>
      <c r="W1111" s="267">
        <f>IFERROR(Table6[[#This Row],[Breakdown Time]]*Table6[[#This Row],[Plant Equivalent Weightage]],"")</f>
        <v>1.4743589743589738E-2</v>
      </c>
      <c r="X1111" s="262" t="s">
        <v>269</v>
      </c>
      <c r="Y1111" s="263" t="s">
        <v>140</v>
      </c>
      <c r="Z1111" s="102">
        <v>31644</v>
      </c>
      <c r="AA1111" s="257">
        <f>(Table6[[#This Row],[Paired WTG Generation for loss calculation]]/24)*Table6[[#This Row],[Breakdown Time]]</f>
        <v>505.42499999999995</v>
      </c>
      <c r="AB1111" s="102"/>
      <c r="AC1111" s="35"/>
      <c r="AD1111" s="35"/>
    </row>
    <row r="1112" spans="1:30">
      <c r="A1112" s="102">
        <f t="shared" si="18"/>
        <v>1111</v>
      </c>
      <c r="B1112" s="257">
        <f>YEAR(Table6[[#This Row],[Date]])+IF(MONTH(Table6[[#This Row],[Date]])&gt;=4,1,0)</f>
        <v>2026</v>
      </c>
      <c r="C1112" s="102">
        <f>YEAR(Table6[[#This Row],[Date]])</f>
        <v>2025</v>
      </c>
      <c r="D1112" s="102" t="s">
        <v>265</v>
      </c>
      <c r="E1112" s="258">
        <f>Table6[[#This Row],[Date]]-DAY(Table6[[#This Row],[Date]])+1</f>
        <v>45809</v>
      </c>
      <c r="F1112" s="259">
        <v>45816</v>
      </c>
      <c r="G1112" s="35" t="s">
        <v>124</v>
      </c>
      <c r="H1112" s="35" t="str">
        <f>IFERROR(_xlfn.XLOOKUP(Table6[[#This Row],[Affected WTG]],'Basic Data'!$A:$A,'Basic Data'!$B:$B),"")</f>
        <v>TQGXIIPL</v>
      </c>
      <c r="I1112" s="35" t="str">
        <f>IFERROR(_xlfn.XLOOKUP(Table6[[#This Row],[Affected WTG]],'Basic Data'!$A:$A,'Basic Data'!$C:$C),"")</f>
        <v>GEDA</v>
      </c>
      <c r="J1112" s="260">
        <f>IFERROR(_xlfn.XLOOKUP(Table6[[#This Row],[Affected WTG]],'Basic Data'!$A:$A,'Basic Data'!$E:$E),"")</f>
        <v>3.846153846153845E-2</v>
      </c>
      <c r="K1112" s="102">
        <v>3110</v>
      </c>
      <c r="L1112" s="35" t="str">
        <f>IFERROR(_xlfn.XLOOKUP(Table6[[#This Row],[Error Code]],'Basic Data'!$AA:$AA,'Basic Data'!$AB:$AB),"Incorrect Error Code")</f>
        <v>Frequency converter error</v>
      </c>
      <c r="M1112" s="35" t="s">
        <v>266</v>
      </c>
      <c r="N1112" s="264"/>
      <c r="O1112" s="265">
        <v>0.84305555555555556</v>
      </c>
      <c r="P1112" s="265">
        <v>0.84305555555555556</v>
      </c>
      <c r="Q1112" s="266">
        <v>0.84722222222222221</v>
      </c>
      <c r="R1112" s="261">
        <f>IF(Table6[[#This Row],[Work Start TimeStamp]]="","",(Table6[[#This Row],[Work Start TimeStamp]]-Table6[[#This Row],[Fault Start TimeStamp]])*24)</f>
        <v>0</v>
      </c>
      <c r="S1112" s="261">
        <f>(Table6[[#This Row],[Fault Clearance time]]-Table6[[#This Row],[Work Start TimeStamp]])*24</f>
        <v>9.9999999999999645E-2</v>
      </c>
      <c r="T1112" s="261">
        <f>(Table6[[#This Row],[Fault Clearance time]]-Table6[[#This Row],[Fault Start TimeStamp]])*24</f>
        <v>9.9999999999999645E-2</v>
      </c>
      <c r="U1112" s="35" t="s">
        <v>483</v>
      </c>
      <c r="V1112" s="102" t="s">
        <v>268</v>
      </c>
      <c r="W1112" s="267">
        <f>IFERROR(Table6[[#This Row],[Breakdown Time]]*Table6[[#This Row],[Plant Equivalent Weightage]],"")</f>
        <v>3.8461538461538312E-3</v>
      </c>
      <c r="X1112" s="262" t="s">
        <v>269</v>
      </c>
      <c r="Y1112" s="263" t="s">
        <v>129</v>
      </c>
      <c r="Z1112" s="102">
        <v>29849</v>
      </c>
      <c r="AA1112" s="257">
        <f>(Table6[[#This Row],[Paired WTG Generation for loss calculation]]/24)*Table6[[#This Row],[Breakdown Time]]</f>
        <v>124.37083333333288</v>
      </c>
      <c r="AB1112" s="102"/>
      <c r="AC1112" s="35"/>
      <c r="AD1112" s="35"/>
    </row>
    <row r="1113" spans="1:30">
      <c r="A1113" s="102">
        <f t="shared" si="18"/>
        <v>1112</v>
      </c>
      <c r="B1113" s="257">
        <f>YEAR(Table6[[#This Row],[Date]])+IF(MONTH(Table6[[#This Row],[Date]])&gt;=4,1,0)</f>
        <v>2026</v>
      </c>
      <c r="C1113" s="102">
        <f>YEAR(Table6[[#This Row],[Date]])</f>
        <v>2025</v>
      </c>
      <c r="D1113" s="102" t="s">
        <v>265</v>
      </c>
      <c r="E1113" s="258">
        <f>Table6[[#This Row],[Date]]-DAY(Table6[[#This Row],[Date]])+1</f>
        <v>45809</v>
      </c>
      <c r="F1113" s="259">
        <v>45816</v>
      </c>
      <c r="G1113" s="35" t="s">
        <v>124</v>
      </c>
      <c r="H1113" s="35" t="str">
        <f>IFERROR(_xlfn.XLOOKUP(Table6[[#This Row],[Affected WTG]],'Basic Data'!$A:$A,'Basic Data'!$B:$B),"")</f>
        <v>TQGXIIPL</v>
      </c>
      <c r="I1113" s="35" t="str">
        <f>IFERROR(_xlfn.XLOOKUP(Table6[[#This Row],[Affected WTG]],'Basic Data'!$A:$A,'Basic Data'!$C:$C),"")</f>
        <v>GEDA</v>
      </c>
      <c r="J1113" s="260">
        <f>IFERROR(_xlfn.XLOOKUP(Table6[[#This Row],[Affected WTG]],'Basic Data'!$A:$A,'Basic Data'!$E:$E),"")</f>
        <v>3.846153846153845E-2</v>
      </c>
      <c r="K1113" s="102">
        <v>3110</v>
      </c>
      <c r="L1113" s="35" t="str">
        <f>IFERROR(_xlfn.XLOOKUP(Table6[[#This Row],[Error Code]],'Basic Data'!$AA:$AA,'Basic Data'!$AB:$AB),"Incorrect Error Code")</f>
        <v>Frequency converter error</v>
      </c>
      <c r="M1113" s="35" t="s">
        <v>266</v>
      </c>
      <c r="N1113" s="264"/>
      <c r="O1113" s="265">
        <v>0.86736111111111114</v>
      </c>
      <c r="P1113" s="265">
        <v>0.86736111111111114</v>
      </c>
      <c r="Q1113" s="266">
        <v>0.89583333333333337</v>
      </c>
      <c r="R1113" s="261">
        <f>IF(Table6[[#This Row],[Work Start TimeStamp]]="","",(Table6[[#This Row],[Work Start TimeStamp]]-Table6[[#This Row],[Fault Start TimeStamp]])*24)</f>
        <v>0</v>
      </c>
      <c r="S1113" s="261">
        <f>(Table6[[#This Row],[Fault Clearance time]]-Table6[[#This Row],[Work Start TimeStamp]])*24</f>
        <v>0.68333333333333357</v>
      </c>
      <c r="T1113" s="261">
        <f>(Table6[[#This Row],[Fault Clearance time]]-Table6[[#This Row],[Fault Start TimeStamp]])*24</f>
        <v>0.68333333333333357</v>
      </c>
      <c r="U1113" s="35" t="s">
        <v>507</v>
      </c>
      <c r="V1113" s="102" t="s">
        <v>268</v>
      </c>
      <c r="W1113" s="267">
        <f>IFERROR(Table6[[#This Row],[Breakdown Time]]*Table6[[#This Row],[Plant Equivalent Weightage]],"")</f>
        <v>2.6282051282051282E-2</v>
      </c>
      <c r="X1113" s="262" t="s">
        <v>269</v>
      </c>
      <c r="Y1113" s="263" t="s">
        <v>129</v>
      </c>
      <c r="Z1113" s="102">
        <v>29849</v>
      </c>
      <c r="AA1113" s="257">
        <f>(Table6[[#This Row],[Paired WTG Generation for loss calculation]]/24)*Table6[[#This Row],[Breakdown Time]]</f>
        <v>849.86736111111134</v>
      </c>
      <c r="AB1113" s="102"/>
      <c r="AC1113" s="35"/>
      <c r="AD1113" s="35"/>
    </row>
    <row r="1114" spans="1:30">
      <c r="A1114" s="102">
        <f t="shared" si="18"/>
        <v>1113</v>
      </c>
      <c r="B1114" s="257">
        <f>YEAR(Table6[[#This Row],[Date]])+IF(MONTH(Table6[[#This Row],[Date]])&gt;=4,1,0)</f>
        <v>2026</v>
      </c>
      <c r="C1114" s="102">
        <f>YEAR(Table6[[#This Row],[Date]])</f>
        <v>2025</v>
      </c>
      <c r="D1114" s="102" t="s">
        <v>265</v>
      </c>
      <c r="E1114" s="258">
        <f>Table6[[#This Row],[Date]]-DAY(Table6[[#This Row],[Date]])+1</f>
        <v>45809</v>
      </c>
      <c r="F1114" s="259">
        <v>45816</v>
      </c>
      <c r="G1114" s="35" t="s">
        <v>124</v>
      </c>
      <c r="H1114" s="35" t="str">
        <f>IFERROR(_xlfn.XLOOKUP(Table6[[#This Row],[Affected WTG]],'Basic Data'!$A:$A,'Basic Data'!$B:$B),"")</f>
        <v>TQGXIIPL</v>
      </c>
      <c r="I1114" s="35" t="str">
        <f>IFERROR(_xlfn.XLOOKUP(Table6[[#This Row],[Affected WTG]],'Basic Data'!$A:$A,'Basic Data'!$C:$C),"")</f>
        <v>GEDA</v>
      </c>
      <c r="J1114" s="260">
        <f>IFERROR(_xlfn.XLOOKUP(Table6[[#This Row],[Affected WTG]],'Basic Data'!$A:$A,'Basic Data'!$E:$E),"")</f>
        <v>3.846153846153845E-2</v>
      </c>
      <c r="K1114" s="102">
        <v>3110</v>
      </c>
      <c r="L1114" s="35" t="str">
        <f>IFERROR(_xlfn.XLOOKUP(Table6[[#This Row],[Error Code]],'Basic Data'!$AA:$AA,'Basic Data'!$AB:$AB),"Incorrect Error Code")</f>
        <v>Frequency converter error</v>
      </c>
      <c r="M1114" s="35" t="s">
        <v>266</v>
      </c>
      <c r="N1114" s="264"/>
      <c r="O1114" s="265">
        <v>0.90277777777777779</v>
      </c>
      <c r="P1114" s="265">
        <v>0.93055555555555558</v>
      </c>
      <c r="Q1114" s="266">
        <v>0.96736111111111112</v>
      </c>
      <c r="R1114" s="261">
        <f>IF(Table6[[#This Row],[Work Start TimeStamp]]="","",(Table6[[#This Row],[Work Start TimeStamp]]-Table6[[#This Row],[Fault Start TimeStamp]])*24)</f>
        <v>0.66666666666666696</v>
      </c>
      <c r="S1114" s="261">
        <f>(Table6[[#This Row],[Fault Clearance time]]-Table6[[#This Row],[Work Start TimeStamp]])*24</f>
        <v>0.88333333333333286</v>
      </c>
      <c r="T1114" s="261">
        <f>(Table6[[#This Row],[Fault Clearance time]]-Table6[[#This Row],[Fault Start TimeStamp]])*24</f>
        <v>1.5499999999999998</v>
      </c>
      <c r="U1114" s="35" t="s">
        <v>508</v>
      </c>
      <c r="V1114" s="102" t="s">
        <v>268</v>
      </c>
      <c r="W1114" s="267">
        <f>IFERROR(Table6[[#This Row],[Breakdown Time]]*Table6[[#This Row],[Plant Equivalent Weightage]],"")</f>
        <v>5.9615384615384591E-2</v>
      </c>
      <c r="X1114" s="262" t="s">
        <v>296</v>
      </c>
      <c r="Y1114" s="263" t="s">
        <v>129</v>
      </c>
      <c r="Z1114" s="102">
        <v>29849</v>
      </c>
      <c r="AA1114" s="257">
        <f>(Table6[[#This Row],[Paired WTG Generation for loss calculation]]/24)*Table6[[#This Row],[Breakdown Time]]</f>
        <v>1927.7479166666662</v>
      </c>
      <c r="AB1114" s="102"/>
      <c r="AC1114" s="35"/>
      <c r="AD1114" s="35"/>
    </row>
    <row r="1115" spans="1:30">
      <c r="A1115" s="102">
        <f t="shared" si="18"/>
        <v>1114</v>
      </c>
      <c r="B1115" s="257">
        <f>YEAR(Table6[[#This Row],[Date]])+IF(MONTH(Table6[[#This Row],[Date]])&gt;=4,1,0)</f>
        <v>2026</v>
      </c>
      <c r="C1115" s="102">
        <f>YEAR(Table6[[#This Row],[Date]])</f>
        <v>2025</v>
      </c>
      <c r="D1115" s="102" t="s">
        <v>265</v>
      </c>
      <c r="E1115" s="258">
        <f>Table6[[#This Row],[Date]]-DAY(Table6[[#This Row],[Date]])+1</f>
        <v>45809</v>
      </c>
      <c r="F1115" s="259">
        <v>45816</v>
      </c>
      <c r="G1115" s="35" t="s">
        <v>130</v>
      </c>
      <c r="H1115" s="35" t="str">
        <f>IFERROR(_xlfn.XLOOKUP(Table6[[#This Row],[Affected WTG]],'Basic Data'!$A:$A,'Basic Data'!$B:$B),"")</f>
        <v>TQGXIIPL</v>
      </c>
      <c r="I1115" s="35" t="str">
        <f>IFERROR(_xlfn.XLOOKUP(Table6[[#This Row],[Affected WTG]],'Basic Data'!$A:$A,'Basic Data'!$C:$C),"")</f>
        <v>GEDA</v>
      </c>
      <c r="J1115" s="260">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291</v>
      </c>
      <c r="N1115" s="264"/>
      <c r="O1115" s="265">
        <v>0.42986111111111114</v>
      </c>
      <c r="P1115" s="265">
        <v>0.45833333333333331</v>
      </c>
      <c r="Q1115" s="266">
        <v>0.7104166666666667</v>
      </c>
      <c r="R1115" s="261">
        <f>IF(Table6[[#This Row],[Work Start TimeStamp]]="","",(Table6[[#This Row],[Work Start TimeStamp]]-Table6[[#This Row],[Fault Start TimeStamp]])*24)</f>
        <v>0.68333333333333224</v>
      </c>
      <c r="S1115" s="261">
        <f>(Table6[[#This Row],[Fault Clearance time]]-Table6[[#This Row],[Work Start TimeStamp]])*24</f>
        <v>6.0500000000000007</v>
      </c>
      <c r="T1115" s="261">
        <f>(Table6[[#This Row],[Fault Clearance time]]-Table6[[#This Row],[Fault Start TimeStamp]])*24</f>
        <v>6.7333333333333334</v>
      </c>
      <c r="U1115" s="35" t="s">
        <v>509</v>
      </c>
      <c r="V1115" s="102" t="s">
        <v>268</v>
      </c>
      <c r="W1115" s="267">
        <f>IFERROR(Table6[[#This Row],[Breakdown Time]]*Table6[[#This Row],[Plant Equivalent Weightage]],"")</f>
        <v>0.25897435897435889</v>
      </c>
      <c r="X1115" s="262" t="s">
        <v>296</v>
      </c>
      <c r="Y1115" s="263" t="s">
        <v>135</v>
      </c>
      <c r="Z1115" s="102">
        <v>29442</v>
      </c>
      <c r="AA1115" s="257">
        <f>(Table6[[#This Row],[Paired WTG Generation for loss calculation]]/24)*Table6[[#This Row],[Breakdown Time]]</f>
        <v>8260.1166666666668</v>
      </c>
      <c r="AB1115" s="102"/>
      <c r="AC1115" s="35"/>
      <c r="AD1115" s="35"/>
    </row>
    <row r="1116" spans="1:30">
      <c r="A1116" s="102">
        <f t="shared" si="18"/>
        <v>1115</v>
      </c>
      <c r="B1116" s="257">
        <f>YEAR(Table6[[#This Row],[Date]])+IF(MONTH(Table6[[#This Row],[Date]])&gt;=4,1,0)</f>
        <v>2026</v>
      </c>
      <c r="C1116" s="102">
        <f>YEAR(Table6[[#This Row],[Date]])</f>
        <v>2025</v>
      </c>
      <c r="D1116" s="102" t="s">
        <v>265</v>
      </c>
      <c r="E1116" s="258">
        <f>Table6[[#This Row],[Date]]-DAY(Table6[[#This Row],[Date]])+1</f>
        <v>45809</v>
      </c>
      <c r="F1116" s="259">
        <v>45816</v>
      </c>
      <c r="G1116" s="35" t="s">
        <v>133</v>
      </c>
      <c r="H1116" s="35" t="str">
        <f>IFERROR(_xlfn.XLOOKUP(Table6[[#This Row],[Affected WTG]],'Basic Data'!$A:$A,'Basic Data'!$B:$B),"")</f>
        <v>TQGXIIPL</v>
      </c>
      <c r="I1116" s="35" t="str">
        <f>IFERROR(_xlfn.XLOOKUP(Table6[[#This Row],[Affected WTG]],'Basic Data'!$A:$A,'Basic Data'!$C:$C),"")</f>
        <v>GEDA</v>
      </c>
      <c r="J1116" s="260">
        <f>IFERROR(_xlfn.XLOOKUP(Table6[[#This Row],[Affected WTG]],'Basic Data'!$A:$A,'Basic Data'!$E:$E),"")</f>
        <v>3.846153846153845E-2</v>
      </c>
      <c r="K1116" s="102">
        <v>55</v>
      </c>
      <c r="L1116" s="35" t="str">
        <f>IFERROR(_xlfn.XLOOKUP(Table6[[#This Row],[Error Code]],'Basic Data'!$AA:$AA,'Basic Data'!$AB:$AB),"Incorrect Error Code")</f>
        <v>WTG shut down</v>
      </c>
      <c r="M1116" s="35" t="s">
        <v>504</v>
      </c>
      <c r="N1116" s="264"/>
      <c r="O1116" s="265">
        <v>0.37152777777777779</v>
      </c>
      <c r="P1116" s="265">
        <v>0.37152777777777779</v>
      </c>
      <c r="Q1116" s="266">
        <v>0.43333333333333335</v>
      </c>
      <c r="R1116" s="261">
        <f>IF(Table6[[#This Row],[Work Start TimeStamp]]="","",(Table6[[#This Row],[Work Start TimeStamp]]-Table6[[#This Row],[Fault Start TimeStamp]])*24)</f>
        <v>0</v>
      </c>
      <c r="S1116" s="261">
        <f>(Table6[[#This Row],[Fault Clearance time]]-Table6[[#This Row],[Work Start TimeStamp]])*24</f>
        <v>1.4833333333333334</v>
      </c>
      <c r="T1116" s="261">
        <f>(Table6[[#This Row],[Fault Clearance time]]-Table6[[#This Row],[Fault Start TimeStamp]])*24</f>
        <v>1.4833333333333334</v>
      </c>
      <c r="U1116" s="35" t="s">
        <v>505</v>
      </c>
      <c r="V1116" s="102" t="s">
        <v>268</v>
      </c>
      <c r="W1116" s="267">
        <f>IFERROR(Table6[[#This Row],[Breakdown Time]]*Table6[[#This Row],[Plant Equivalent Weightage]],"")</f>
        <v>5.7051282051282036E-2</v>
      </c>
      <c r="X1116" s="262" t="s">
        <v>296</v>
      </c>
      <c r="Y1116" s="263" t="s">
        <v>121</v>
      </c>
      <c r="Z1116" s="102">
        <v>27380</v>
      </c>
      <c r="AA1116" s="257">
        <f>(Table6[[#This Row],[Paired WTG Generation for loss calculation]]/24)*Table6[[#This Row],[Breakdown Time]]</f>
        <v>1692.2361111111111</v>
      </c>
      <c r="AB1116" s="102"/>
      <c r="AC1116" s="35"/>
      <c r="AD1116" s="35"/>
    </row>
    <row r="1117" spans="1:30">
      <c r="A1117" s="102">
        <f t="shared" si="18"/>
        <v>1116</v>
      </c>
      <c r="B1117" s="257">
        <f>YEAR(Table6[[#This Row],[Date]])+IF(MONTH(Table6[[#This Row],[Date]])&gt;=4,1,0)</f>
        <v>2026</v>
      </c>
      <c r="C1117" s="102">
        <f>YEAR(Table6[[#This Row],[Date]])</f>
        <v>2025</v>
      </c>
      <c r="D1117" s="102" t="s">
        <v>265</v>
      </c>
      <c r="E1117" s="258">
        <f>Table6[[#This Row],[Date]]-DAY(Table6[[#This Row],[Date]])+1</f>
        <v>45809</v>
      </c>
      <c r="F1117" s="259">
        <v>45816</v>
      </c>
      <c r="G1117" s="35" t="s">
        <v>133</v>
      </c>
      <c r="H1117" s="35" t="str">
        <f>IFERROR(_xlfn.XLOOKUP(Table6[[#This Row],[Affected WTG]],'Basic Data'!$A:$A,'Basic Data'!$B:$B),"")</f>
        <v>TQGXIIPL</v>
      </c>
      <c r="I1117" s="35" t="str">
        <f>IFERROR(_xlfn.XLOOKUP(Table6[[#This Row],[Affected WTG]],'Basic Data'!$A:$A,'Basic Data'!$C:$C),"")</f>
        <v>GEDA</v>
      </c>
      <c r="J1117" s="260">
        <f>IFERROR(_xlfn.XLOOKUP(Table6[[#This Row],[Affected WTG]],'Basic Data'!$A:$A,'Basic Data'!$E:$E),"")</f>
        <v>3.846153846153845E-2</v>
      </c>
      <c r="K1117" s="102">
        <v>55</v>
      </c>
      <c r="L1117" s="35" t="str">
        <f>IFERROR(_xlfn.XLOOKUP(Table6[[#This Row],[Error Code]],'Basic Data'!$AA:$AA,'Basic Data'!$AB:$AB),"Incorrect Error Code")</f>
        <v>WTG shut down</v>
      </c>
      <c r="M1117" s="35" t="s">
        <v>504</v>
      </c>
      <c r="N1117" s="264"/>
      <c r="O1117" s="265">
        <v>0.76597222222222228</v>
      </c>
      <c r="P1117" s="265">
        <v>0.76597222222222228</v>
      </c>
      <c r="Q1117" s="266">
        <v>0.78819444444444442</v>
      </c>
      <c r="R1117" s="261">
        <f>IF(Table6[[#This Row],[Work Start TimeStamp]]="","",(Table6[[#This Row],[Work Start TimeStamp]]-Table6[[#This Row],[Fault Start TimeStamp]])*24)</f>
        <v>0</v>
      </c>
      <c r="S1117" s="261">
        <f>(Table6[[#This Row],[Fault Clearance time]]-Table6[[#This Row],[Work Start TimeStamp]])*24</f>
        <v>0.53333333333333144</v>
      </c>
      <c r="T1117" s="261">
        <f>(Table6[[#This Row],[Fault Clearance time]]-Table6[[#This Row],[Fault Start TimeStamp]])*24</f>
        <v>0.53333333333333144</v>
      </c>
      <c r="U1117" s="35" t="s">
        <v>505</v>
      </c>
      <c r="V1117" s="102" t="s">
        <v>268</v>
      </c>
      <c r="W1117" s="267">
        <f>IFERROR(Table6[[#This Row],[Breakdown Time]]*Table6[[#This Row],[Plant Equivalent Weightage]],"")</f>
        <v>2.0512820512820433E-2</v>
      </c>
      <c r="X1117" s="262" t="s">
        <v>296</v>
      </c>
      <c r="Y1117" s="263" t="s">
        <v>121</v>
      </c>
      <c r="Z1117" s="102">
        <v>27380</v>
      </c>
      <c r="AA1117" s="257">
        <f>(Table6[[#This Row],[Paired WTG Generation for loss calculation]]/24)*Table6[[#This Row],[Breakdown Time]]</f>
        <v>608.4444444444423</v>
      </c>
      <c r="AB1117" s="102"/>
      <c r="AC1117" s="35"/>
      <c r="AD1117" s="35"/>
    </row>
    <row r="1118" spans="1:30">
      <c r="A1118" s="102">
        <f t="shared" si="18"/>
        <v>1117</v>
      </c>
      <c r="B1118" s="257">
        <f>YEAR(Table6[[#This Row],[Date]])+IF(MONTH(Table6[[#This Row],[Date]])&gt;=4,1,0)</f>
        <v>2026</v>
      </c>
      <c r="C1118" s="102">
        <f>YEAR(Table6[[#This Row],[Date]])</f>
        <v>2025</v>
      </c>
      <c r="D1118" s="102" t="s">
        <v>265</v>
      </c>
      <c r="E1118" s="258">
        <f>Table6[[#This Row],[Date]]-DAY(Table6[[#This Row],[Date]])+1</f>
        <v>45809</v>
      </c>
      <c r="F1118" s="259">
        <v>45816</v>
      </c>
      <c r="G1118" s="35" t="s">
        <v>138</v>
      </c>
      <c r="H1118" s="35" t="str">
        <f>IFERROR(_xlfn.XLOOKUP(Table6[[#This Row],[Affected WTG]],'Basic Data'!$A:$A,'Basic Data'!$B:$B),"")</f>
        <v>TQGXIIPL</v>
      </c>
      <c r="I1118" s="35" t="str">
        <f>IFERROR(_xlfn.XLOOKUP(Table6[[#This Row],[Affected WTG]],'Basic Data'!$A:$A,'Basic Data'!$C:$C),"")</f>
        <v>GEDA</v>
      </c>
      <c r="J1118" s="260">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266</v>
      </c>
      <c r="N1118" s="264"/>
      <c r="O1118" s="265">
        <v>0.43888888888888888</v>
      </c>
      <c r="P1118" s="265">
        <v>0.43888888888888888</v>
      </c>
      <c r="Q1118" s="266">
        <v>0.44722222222222224</v>
      </c>
      <c r="R1118" s="261">
        <f>IF(Table6[[#This Row],[Work Start TimeStamp]]="","",(Table6[[#This Row],[Work Start TimeStamp]]-Table6[[#This Row],[Fault Start TimeStamp]])*24)</f>
        <v>0</v>
      </c>
      <c r="S1118" s="261">
        <f>(Table6[[#This Row],[Fault Clearance time]]-Table6[[#This Row],[Work Start TimeStamp]])*24</f>
        <v>0.20000000000000062</v>
      </c>
      <c r="T1118" s="261">
        <f>(Table6[[#This Row],[Fault Clearance time]]-Table6[[#This Row],[Fault Start TimeStamp]])*24</f>
        <v>0.20000000000000062</v>
      </c>
      <c r="U1118" s="35" t="s">
        <v>483</v>
      </c>
      <c r="V1118" s="102" t="s">
        <v>268</v>
      </c>
      <c r="W1118" s="267">
        <f>IFERROR(Table6[[#This Row],[Breakdown Time]]*Table6[[#This Row],[Plant Equivalent Weightage]],"")</f>
        <v>7.6923076923077136E-3</v>
      </c>
      <c r="X1118" s="262" t="s">
        <v>269</v>
      </c>
      <c r="Y1118" s="263" t="s">
        <v>134</v>
      </c>
      <c r="Z1118" s="102">
        <v>31913</v>
      </c>
      <c r="AA1118" s="257">
        <f>(Table6[[#This Row],[Paired WTG Generation for loss calculation]]/24)*Table6[[#This Row],[Breakdown Time]]</f>
        <v>265.94166666666746</v>
      </c>
      <c r="AB1118" s="102"/>
      <c r="AC1118" s="35"/>
      <c r="AD1118" s="35"/>
    </row>
    <row r="1119" spans="1:30">
      <c r="A1119" s="102">
        <f t="shared" si="18"/>
        <v>1118</v>
      </c>
      <c r="B1119" s="257">
        <f>YEAR(Table6[[#This Row],[Date]])+IF(MONTH(Table6[[#This Row],[Date]])&gt;=4,1,0)</f>
        <v>2026</v>
      </c>
      <c r="C1119" s="102">
        <f>YEAR(Table6[[#This Row],[Date]])</f>
        <v>2025</v>
      </c>
      <c r="D1119" s="102" t="s">
        <v>265</v>
      </c>
      <c r="E1119" s="258">
        <f>Table6[[#This Row],[Date]]-DAY(Table6[[#This Row],[Date]])+1</f>
        <v>45809</v>
      </c>
      <c r="F1119" s="259">
        <v>45817</v>
      </c>
      <c r="G1119" s="35" t="s">
        <v>125</v>
      </c>
      <c r="H1119" s="35" t="str">
        <f>IFERROR(_xlfn.XLOOKUP(Table6[[#This Row],[Affected WTG]],'Basic Data'!$A:$A,'Basic Data'!$B:$B),"")</f>
        <v>TQGXIIPL</v>
      </c>
      <c r="I1119" s="35" t="str">
        <f>IFERROR(_xlfn.XLOOKUP(Table6[[#This Row],[Affected WTG]],'Basic Data'!$A:$A,'Basic Data'!$C:$C),"")</f>
        <v>GEDA</v>
      </c>
      <c r="J1119" s="260">
        <f>IFERROR(_xlfn.XLOOKUP(Table6[[#This Row],[Affected WTG]],'Basic Data'!$A:$A,'Basic Data'!$E:$E),"")</f>
        <v>3.846153846153845E-2</v>
      </c>
      <c r="K1119" s="102">
        <v>6130</v>
      </c>
      <c r="L1119" s="35" t="str">
        <f>IFERROR(_xlfn.XLOOKUP(Table6[[#This Row],[Error Code]],'Basic Data'!$AA:$AA,'Basic Data'!$AB:$AB),"Incorrect Error Code")</f>
        <v>Yaw speed high</v>
      </c>
      <c r="M1119" s="35" t="s">
        <v>278</v>
      </c>
      <c r="N1119" s="264"/>
      <c r="O1119" s="265">
        <v>0.60347222222222219</v>
      </c>
      <c r="P1119" s="265">
        <v>0.60347222222222219</v>
      </c>
      <c r="Q1119" s="266">
        <v>0.60763888888888884</v>
      </c>
      <c r="R1119" s="261">
        <f>IF(Table6[[#This Row],[Work Start TimeStamp]]="","",(Table6[[#This Row],[Work Start TimeStamp]]-Table6[[#This Row],[Fault Start TimeStamp]])*24)</f>
        <v>0</v>
      </c>
      <c r="S1119" s="261">
        <f>(Table6[[#This Row],[Fault Clearance time]]-Table6[[#This Row],[Work Start TimeStamp]])*24</f>
        <v>9.9999999999999645E-2</v>
      </c>
      <c r="T1119" s="261">
        <f>(Table6[[#This Row],[Fault Clearance time]]-Table6[[#This Row],[Fault Start TimeStamp]])*24</f>
        <v>9.9999999999999645E-2</v>
      </c>
      <c r="U1119" s="35" t="s">
        <v>277</v>
      </c>
      <c r="V1119" s="102" t="s">
        <v>268</v>
      </c>
      <c r="W1119" s="267">
        <f>IFERROR(Table6[[#This Row],[Breakdown Time]]*Table6[[#This Row],[Plant Equivalent Weightage]],"")</f>
        <v>3.8461538461538312E-3</v>
      </c>
      <c r="X1119" s="262" t="s">
        <v>269</v>
      </c>
      <c r="Y1119" s="263" t="s">
        <v>126</v>
      </c>
      <c r="Z1119" s="102">
        <v>36462</v>
      </c>
      <c r="AA1119" s="257">
        <f>(Table6[[#This Row],[Paired WTG Generation for loss calculation]]/24)*Table6[[#This Row],[Breakdown Time]]</f>
        <v>151.92499999999947</v>
      </c>
      <c r="AB1119" s="102"/>
      <c r="AC1119" s="35"/>
      <c r="AD1119" s="35"/>
    </row>
    <row r="1120" spans="1:30">
      <c r="A1120" s="102">
        <f t="shared" si="18"/>
        <v>1119</v>
      </c>
      <c r="B1120" s="257">
        <f>YEAR(Table6[[#This Row],[Date]])+IF(MONTH(Table6[[#This Row],[Date]])&gt;=4,1,0)</f>
        <v>2026</v>
      </c>
      <c r="C1120" s="102">
        <f>YEAR(Table6[[#This Row],[Date]])</f>
        <v>2025</v>
      </c>
      <c r="D1120" s="102" t="s">
        <v>265</v>
      </c>
      <c r="E1120" s="258">
        <f>Table6[[#This Row],[Date]]-DAY(Table6[[#This Row],[Date]])+1</f>
        <v>45809</v>
      </c>
      <c r="F1120" s="259">
        <v>45817</v>
      </c>
      <c r="G1120" s="35" t="s">
        <v>127</v>
      </c>
      <c r="H1120" s="35" t="str">
        <f>IFERROR(_xlfn.XLOOKUP(Table6[[#This Row],[Affected WTG]],'Basic Data'!$A:$A,'Basic Data'!$B:$B),"")</f>
        <v>TQGXIIPL</v>
      </c>
      <c r="I1120" s="35" t="str">
        <f>IFERROR(_xlfn.XLOOKUP(Table6[[#This Row],[Affected WTG]],'Basic Data'!$A:$A,'Basic Data'!$C:$C),"")</f>
        <v>GEDA</v>
      </c>
      <c r="J1120" s="260">
        <f>IFERROR(_xlfn.XLOOKUP(Table6[[#This Row],[Affected WTG]],'Basic Data'!$A:$A,'Basic Data'!$E:$E),"")</f>
        <v>3.846153846153845E-2</v>
      </c>
      <c r="K1120" s="102">
        <v>6130</v>
      </c>
      <c r="L1120" s="35" t="str">
        <f>IFERROR(_xlfn.XLOOKUP(Table6[[#This Row],[Error Code]],'Basic Data'!$AA:$AA,'Basic Data'!$AB:$AB),"Incorrect Error Code")</f>
        <v>Yaw speed high</v>
      </c>
      <c r="M1120" s="35" t="s">
        <v>278</v>
      </c>
      <c r="N1120" s="264"/>
      <c r="O1120" s="265">
        <v>0.6</v>
      </c>
      <c r="P1120" s="265">
        <v>0.6</v>
      </c>
      <c r="Q1120" s="266">
        <v>0.60416666666666663</v>
      </c>
      <c r="R1120" s="261">
        <f>IF(Table6[[#This Row],[Work Start TimeStamp]]="","",(Table6[[#This Row],[Work Start TimeStamp]]-Table6[[#This Row],[Fault Start TimeStamp]])*24)</f>
        <v>0</v>
      </c>
      <c r="S1120" s="261">
        <f>(Table6[[#This Row],[Fault Clearance time]]-Table6[[#This Row],[Work Start TimeStamp]])*24</f>
        <v>9.9999999999999645E-2</v>
      </c>
      <c r="T1120" s="261">
        <f>(Table6[[#This Row],[Fault Clearance time]]-Table6[[#This Row],[Fault Start TimeStamp]])*24</f>
        <v>9.9999999999999645E-2</v>
      </c>
      <c r="U1120" s="35" t="s">
        <v>277</v>
      </c>
      <c r="V1120" s="102" t="s">
        <v>268</v>
      </c>
      <c r="W1120" s="267">
        <f>IFERROR(Table6[[#This Row],[Breakdown Time]]*Table6[[#This Row],[Plant Equivalent Weightage]],"")</f>
        <v>3.8461538461538312E-3</v>
      </c>
      <c r="X1120" s="262" t="s">
        <v>269</v>
      </c>
      <c r="Y1120" s="263" t="s">
        <v>125</v>
      </c>
      <c r="Z1120" s="102">
        <v>35565</v>
      </c>
      <c r="AA1120" s="257">
        <f>(Table6[[#This Row],[Paired WTG Generation for loss calculation]]/24)*Table6[[#This Row],[Breakdown Time]]</f>
        <v>148.18749999999946</v>
      </c>
      <c r="AB1120" s="102"/>
      <c r="AC1120" s="35"/>
      <c r="AD1120" s="35"/>
    </row>
    <row r="1121" spans="1:30">
      <c r="A1121" s="102">
        <f t="shared" si="18"/>
        <v>1120</v>
      </c>
      <c r="B1121" s="257">
        <f>YEAR(Table6[[#This Row],[Date]])+IF(MONTH(Table6[[#This Row],[Date]])&gt;=4,1,0)</f>
        <v>2026</v>
      </c>
      <c r="C1121" s="102">
        <f>YEAR(Table6[[#This Row],[Date]])</f>
        <v>2025</v>
      </c>
      <c r="D1121" s="102" t="s">
        <v>265</v>
      </c>
      <c r="E1121" s="258">
        <f>Table6[[#This Row],[Date]]-DAY(Table6[[#This Row],[Date]])+1</f>
        <v>45809</v>
      </c>
      <c r="F1121" s="259">
        <v>45817</v>
      </c>
      <c r="G1121" s="35" t="s">
        <v>128</v>
      </c>
      <c r="H1121" s="35" t="str">
        <f>IFERROR(_xlfn.XLOOKUP(Table6[[#This Row],[Affected WTG]],'Basic Data'!$A:$A,'Basic Data'!$B:$B),"")</f>
        <v>TQGXIIPL</v>
      </c>
      <c r="I1121" s="35" t="str">
        <f>IFERROR(_xlfn.XLOOKUP(Table6[[#This Row],[Affected WTG]],'Basic Data'!$A:$A,'Basic Data'!$C:$C),"")</f>
        <v>GEDA</v>
      </c>
      <c r="J1121" s="260">
        <f>IFERROR(_xlfn.XLOOKUP(Table6[[#This Row],[Affected WTG]],'Basic Data'!$A:$A,'Basic Data'!$E:$E),"")</f>
        <v>3.846153846153845E-2</v>
      </c>
      <c r="K1121" s="102">
        <v>4970</v>
      </c>
      <c r="L1121" s="35" t="str">
        <f>IFERROR(_xlfn.XLOOKUP(Table6[[#This Row],[Error Code]],'Basic Data'!$AA:$AA,'Basic Data'!$AB:$AB),"Incorrect Error Code")</f>
        <v>Tower oscillation XF</v>
      </c>
      <c r="M1121" s="35" t="s">
        <v>278</v>
      </c>
      <c r="N1121" s="264"/>
      <c r="O1121" s="265">
        <v>0.62777777777777777</v>
      </c>
      <c r="P1121" s="265">
        <v>0.62777777777777777</v>
      </c>
      <c r="Q1121" s="266">
        <v>0.63888888888888884</v>
      </c>
      <c r="R1121" s="261">
        <f>IF(Table6[[#This Row],[Work Start TimeStamp]]="","",(Table6[[#This Row],[Work Start TimeStamp]]-Table6[[#This Row],[Fault Start TimeStamp]])*24)</f>
        <v>0</v>
      </c>
      <c r="S1121" s="261">
        <f>(Table6[[#This Row],[Fault Clearance time]]-Table6[[#This Row],[Work Start TimeStamp]])*24</f>
        <v>0.26666666666666572</v>
      </c>
      <c r="T1121" s="261">
        <f>(Table6[[#This Row],[Fault Clearance time]]-Table6[[#This Row],[Fault Start TimeStamp]])*24</f>
        <v>0.26666666666666572</v>
      </c>
      <c r="U1121" s="35" t="s">
        <v>277</v>
      </c>
      <c r="V1121" s="102" t="s">
        <v>268</v>
      </c>
      <c r="W1121" s="267">
        <f>IFERROR(Table6[[#This Row],[Breakdown Time]]*Table6[[#This Row],[Plant Equivalent Weightage]],"")</f>
        <v>1.0256410256410217E-2</v>
      </c>
      <c r="X1121" s="262" t="s">
        <v>269</v>
      </c>
      <c r="Y1121" s="263" t="s">
        <v>126</v>
      </c>
      <c r="Z1121" s="102">
        <v>36462</v>
      </c>
      <c r="AA1121" s="257">
        <f>(Table6[[#This Row],[Paired WTG Generation for loss calculation]]/24)*Table6[[#This Row],[Breakdown Time]]</f>
        <v>405.1333333333319</v>
      </c>
      <c r="AB1121" s="102"/>
      <c r="AC1121" s="35"/>
      <c r="AD1121" s="35"/>
    </row>
    <row r="1122" spans="1:30">
      <c r="A1122" s="102">
        <f t="shared" si="18"/>
        <v>1121</v>
      </c>
      <c r="B1122" s="257">
        <f>YEAR(Table6[[#This Row],[Date]])+IF(MONTH(Table6[[#This Row],[Date]])&gt;=4,1,0)</f>
        <v>2026</v>
      </c>
      <c r="C1122" s="102">
        <f>YEAR(Table6[[#This Row],[Date]])</f>
        <v>2025</v>
      </c>
      <c r="D1122" s="102" t="s">
        <v>265</v>
      </c>
      <c r="E1122" s="258">
        <f>Table6[[#This Row],[Date]]-DAY(Table6[[#This Row],[Date]])+1</f>
        <v>45809</v>
      </c>
      <c r="F1122" s="259">
        <v>45817</v>
      </c>
      <c r="G1122" s="35" t="s">
        <v>132</v>
      </c>
      <c r="H1122" s="35" t="str">
        <f>IFERROR(_xlfn.XLOOKUP(Table6[[#This Row],[Affected WTG]],'Basic Data'!$A:$A,'Basic Data'!$B:$B),"")</f>
        <v>TQGXIIPL</v>
      </c>
      <c r="I1122" s="35" t="str">
        <f>IFERROR(_xlfn.XLOOKUP(Table6[[#This Row],[Affected WTG]],'Basic Data'!$A:$A,'Basic Data'!$C:$C),"")</f>
        <v>GEDA</v>
      </c>
      <c r="J1122" s="260">
        <f>IFERROR(_xlfn.XLOOKUP(Table6[[#This Row],[Affected WTG]],'Basic Data'!$A:$A,'Basic Data'!$E:$E),"")</f>
        <v>3.846153846153845E-2</v>
      </c>
      <c r="K1122" s="102">
        <v>6130</v>
      </c>
      <c r="L1122" s="35" t="str">
        <f>IFERROR(_xlfn.XLOOKUP(Table6[[#This Row],[Error Code]],'Basic Data'!$AA:$AA,'Basic Data'!$AB:$AB),"Incorrect Error Code")</f>
        <v>Yaw speed high</v>
      </c>
      <c r="M1122" s="35" t="s">
        <v>278</v>
      </c>
      <c r="N1122" s="264"/>
      <c r="O1122" s="265">
        <v>0.49513888888888891</v>
      </c>
      <c r="P1122" s="265">
        <v>0.49513888888888891</v>
      </c>
      <c r="Q1122" s="266">
        <v>0.49930555555555556</v>
      </c>
      <c r="R1122" s="261">
        <f>IF(Table6[[#This Row],[Work Start TimeStamp]]="","",(Table6[[#This Row],[Work Start TimeStamp]]-Table6[[#This Row],[Fault Start TimeStamp]])*24)</f>
        <v>0</v>
      </c>
      <c r="S1122" s="261">
        <f>(Table6[[#This Row],[Fault Clearance time]]-Table6[[#This Row],[Work Start TimeStamp]])*24</f>
        <v>9.9999999999999645E-2</v>
      </c>
      <c r="T1122" s="261">
        <f>(Table6[[#This Row],[Fault Clearance time]]-Table6[[#This Row],[Fault Start TimeStamp]])*24</f>
        <v>9.9999999999999645E-2</v>
      </c>
      <c r="U1122" s="35" t="s">
        <v>277</v>
      </c>
      <c r="V1122" s="102" t="s">
        <v>268</v>
      </c>
      <c r="W1122" s="267">
        <f>IFERROR(Table6[[#This Row],[Breakdown Time]]*Table6[[#This Row],[Plant Equivalent Weightage]],"")</f>
        <v>3.8461538461538312E-3</v>
      </c>
      <c r="X1122" s="262" t="s">
        <v>269</v>
      </c>
      <c r="Y1122" s="263" t="s">
        <v>120</v>
      </c>
      <c r="Z1122" s="102">
        <v>40911</v>
      </c>
      <c r="AA1122" s="257">
        <f>(Table6[[#This Row],[Paired WTG Generation for loss calculation]]/24)*Table6[[#This Row],[Breakdown Time]]</f>
        <v>170.46249999999938</v>
      </c>
      <c r="AB1122" s="102"/>
      <c r="AC1122" s="35"/>
      <c r="AD1122" s="35"/>
    </row>
    <row r="1123" spans="1:30">
      <c r="A1123" s="102">
        <f t="shared" si="18"/>
        <v>1122</v>
      </c>
      <c r="B1123" s="257">
        <f>YEAR(Table6[[#This Row],[Date]])+IF(MONTH(Table6[[#This Row],[Date]])&gt;=4,1,0)</f>
        <v>2026</v>
      </c>
      <c r="C1123" s="102">
        <f>YEAR(Table6[[#This Row],[Date]])</f>
        <v>2025</v>
      </c>
      <c r="D1123" s="102" t="s">
        <v>265</v>
      </c>
      <c r="E1123" s="258">
        <f>Table6[[#This Row],[Date]]-DAY(Table6[[#This Row],[Date]])+1</f>
        <v>45809</v>
      </c>
      <c r="F1123" s="259">
        <v>45817</v>
      </c>
      <c r="G1123" s="35" t="s">
        <v>140</v>
      </c>
      <c r="H1123" s="35" t="str">
        <f>IFERROR(_xlfn.XLOOKUP(Table6[[#This Row],[Affected WTG]],'Basic Data'!$A:$A,'Basic Data'!$B:$B),"")</f>
        <v>TQGXIIPL</v>
      </c>
      <c r="I1123" s="35" t="str">
        <f>IFERROR(_xlfn.XLOOKUP(Table6[[#This Row],[Affected WTG]],'Basic Data'!$A:$A,'Basic Data'!$C:$C),"")</f>
        <v>GEDA</v>
      </c>
      <c r="J1123" s="260">
        <f>IFERROR(_xlfn.XLOOKUP(Table6[[#This Row],[Affected WTG]],'Basic Data'!$A:$A,'Basic Data'!$E:$E),"")</f>
        <v>3.846153846153845E-2</v>
      </c>
      <c r="K1123" s="102">
        <v>5510</v>
      </c>
      <c r="L1123" s="35" t="str">
        <f>IFERROR(_xlfn.XLOOKUP(Table6[[#This Row],[Error Code]],'Basic Data'!$AA:$AA,'Basic Data'!$AB:$AB),"Incorrect Error Code")</f>
        <v>Low hydraulic pressure</v>
      </c>
      <c r="M1123" s="35" t="s">
        <v>266</v>
      </c>
      <c r="N1123" s="264"/>
      <c r="O1123" s="265">
        <v>0.40555555555555556</v>
      </c>
      <c r="P1123" s="265">
        <v>0.40555555555555556</v>
      </c>
      <c r="Q1123" s="266">
        <v>0.40902777777777777</v>
      </c>
      <c r="R1123" s="261">
        <f>IF(Table6[[#This Row],[Work Start TimeStamp]]="","",(Table6[[#This Row],[Work Start TimeStamp]]-Table6[[#This Row],[Fault Start TimeStamp]])*24)</f>
        <v>0</v>
      </c>
      <c r="S1123" s="261">
        <f>(Table6[[#This Row],[Fault Clearance time]]-Table6[[#This Row],[Work Start TimeStamp]])*24</f>
        <v>8.3333333333333037E-2</v>
      </c>
      <c r="T1123" s="261">
        <f>(Table6[[#This Row],[Fault Clearance time]]-Table6[[#This Row],[Fault Start TimeStamp]])*24</f>
        <v>8.3333333333333037E-2</v>
      </c>
      <c r="U1123" s="35" t="s">
        <v>483</v>
      </c>
      <c r="V1123" s="102" t="s">
        <v>268</v>
      </c>
      <c r="W1123" s="267">
        <f>IFERROR(Table6[[#This Row],[Breakdown Time]]*Table6[[#This Row],[Plant Equivalent Weightage]],"")</f>
        <v>3.2051282051281929E-3</v>
      </c>
      <c r="X1123" s="262" t="s">
        <v>269</v>
      </c>
      <c r="Y1123" s="263" t="s">
        <v>115</v>
      </c>
      <c r="Z1123" s="102">
        <v>38655</v>
      </c>
      <c r="AA1123" s="257">
        <f>(Table6[[#This Row],[Paired WTG Generation for loss calculation]]/24)*Table6[[#This Row],[Breakdown Time]]</f>
        <v>134.21874999999952</v>
      </c>
      <c r="AB1123" s="102"/>
      <c r="AC1123" s="35"/>
      <c r="AD1123" s="35"/>
    </row>
    <row r="1124" spans="1:30">
      <c r="A1124" s="102">
        <f t="shared" si="18"/>
        <v>1123</v>
      </c>
      <c r="B1124" s="257">
        <f>YEAR(Table6[[#This Row],[Date]])+IF(MONTH(Table6[[#This Row],[Date]])&gt;=4,1,0)</f>
        <v>2026</v>
      </c>
      <c r="C1124" s="102">
        <f>YEAR(Table6[[#This Row],[Date]])</f>
        <v>2025</v>
      </c>
      <c r="D1124" s="102" t="s">
        <v>265</v>
      </c>
      <c r="E1124" s="258">
        <f>Table6[[#This Row],[Date]]-DAY(Table6[[#This Row],[Date]])+1</f>
        <v>45809</v>
      </c>
      <c r="F1124" s="259">
        <v>45818</v>
      </c>
      <c r="G1124" s="35" t="s">
        <v>115</v>
      </c>
      <c r="H1124" s="35" t="str">
        <f>IFERROR(_xlfn.XLOOKUP(Table6[[#This Row],[Affected WTG]],'Basic Data'!$A:$A,'Basic Data'!$B:$B),"")</f>
        <v>TQGXIIPL</v>
      </c>
      <c r="I1124" s="35" t="str">
        <f>IFERROR(_xlfn.XLOOKUP(Table6[[#This Row],[Affected WTG]],'Basic Data'!$A:$A,'Basic Data'!$C:$C),"")</f>
        <v>GEDA</v>
      </c>
      <c r="J1124" s="260">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266</v>
      </c>
      <c r="N1124" s="264"/>
      <c r="O1124" s="265">
        <v>0.33333333333333331</v>
      </c>
      <c r="P1124" s="265">
        <v>0.33333333333333331</v>
      </c>
      <c r="Q1124" s="266">
        <v>0.33750000000000002</v>
      </c>
      <c r="R1124" s="261">
        <f>IF(Table6[[#This Row],[Work Start TimeStamp]]="","",(Table6[[#This Row],[Work Start TimeStamp]]-Table6[[#This Row],[Fault Start TimeStamp]])*24)</f>
        <v>0</v>
      </c>
      <c r="S1124" s="261">
        <f>(Table6[[#This Row],[Fault Clearance time]]-Table6[[#This Row],[Work Start TimeStamp]])*24</f>
        <v>0.10000000000000098</v>
      </c>
      <c r="T1124" s="261">
        <f>(Table6[[#This Row],[Fault Clearance time]]-Table6[[#This Row],[Fault Start TimeStamp]])*24</f>
        <v>0.10000000000000098</v>
      </c>
      <c r="U1124" s="35" t="s">
        <v>483</v>
      </c>
      <c r="V1124" s="102" t="s">
        <v>268</v>
      </c>
      <c r="W1124" s="267">
        <f>IFERROR(Table6[[#This Row],[Breakdown Time]]*Table6[[#This Row],[Plant Equivalent Weightage]],"")</f>
        <v>3.8461538461538824E-3</v>
      </c>
      <c r="X1124" s="262" t="s">
        <v>269</v>
      </c>
      <c r="Y1124" s="263" t="s">
        <v>140</v>
      </c>
      <c r="Z1124" s="102">
        <v>40326</v>
      </c>
      <c r="AA1124" s="257">
        <f>(Table6[[#This Row],[Paired WTG Generation for loss calculation]]/24)*Table6[[#This Row],[Breakdown Time]]</f>
        <v>168.02500000000165</v>
      </c>
      <c r="AB1124" s="102"/>
      <c r="AC1124" s="35"/>
      <c r="AD1124" s="35"/>
    </row>
    <row r="1125" spans="1:30">
      <c r="A1125" s="102">
        <f t="shared" si="18"/>
        <v>1124</v>
      </c>
      <c r="B1125" s="257">
        <f>YEAR(Table6[[#This Row],[Date]])+IF(MONTH(Table6[[#This Row],[Date]])&gt;=4,1,0)</f>
        <v>2026</v>
      </c>
      <c r="C1125" s="102">
        <f>YEAR(Table6[[#This Row],[Date]])</f>
        <v>2025</v>
      </c>
      <c r="D1125" s="102" t="s">
        <v>265</v>
      </c>
      <c r="E1125" s="258">
        <f>Table6[[#This Row],[Date]]-DAY(Table6[[#This Row],[Date]])+1</f>
        <v>45809</v>
      </c>
      <c r="F1125" s="259">
        <v>45818</v>
      </c>
      <c r="G1125" s="35" t="s">
        <v>115</v>
      </c>
      <c r="H1125" s="35" t="str">
        <f>IFERROR(_xlfn.XLOOKUP(Table6[[#This Row],[Affected WTG]],'Basic Data'!$A:$A,'Basic Data'!$B:$B),"")</f>
        <v>TQGXIIPL</v>
      </c>
      <c r="I1125" s="35" t="str">
        <f>IFERROR(_xlfn.XLOOKUP(Table6[[#This Row],[Affected WTG]],'Basic Data'!$A:$A,'Basic Data'!$C:$C),"")</f>
        <v>GEDA</v>
      </c>
      <c r="J1125" s="260">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266</v>
      </c>
      <c r="N1125" s="264"/>
      <c r="O1125" s="265">
        <v>0.84652777777777777</v>
      </c>
      <c r="P1125" s="265">
        <v>0.90972222222222221</v>
      </c>
      <c r="Q1125" s="266">
        <v>1</v>
      </c>
      <c r="R1125" s="261">
        <f>IF(Table6[[#This Row],[Work Start TimeStamp]]="","",(Table6[[#This Row],[Work Start TimeStamp]]-Table6[[#This Row],[Fault Start TimeStamp]])*24)</f>
        <v>1.5166666666666666</v>
      </c>
      <c r="S1125" s="261">
        <f>(Table6[[#This Row],[Fault Clearance time]]-Table6[[#This Row],[Work Start TimeStamp]])*24</f>
        <v>2.166666666666667</v>
      </c>
      <c r="T1125" s="261">
        <f>(Table6[[#This Row],[Fault Clearance time]]-Table6[[#This Row],[Fault Start TimeStamp]])*24</f>
        <v>3.6833333333333336</v>
      </c>
      <c r="U1125" s="35" t="s">
        <v>510</v>
      </c>
      <c r="V1125" s="102" t="s">
        <v>268</v>
      </c>
      <c r="W1125" s="267">
        <f>IFERROR(Table6[[#This Row],[Breakdown Time]]*Table6[[#This Row],[Plant Equivalent Weightage]],"")</f>
        <v>0.14166666666666664</v>
      </c>
      <c r="X1125" s="262" t="s">
        <v>296</v>
      </c>
      <c r="Y1125" s="263" t="s">
        <v>140</v>
      </c>
      <c r="Z1125" s="102">
        <v>40326</v>
      </c>
      <c r="AA1125" s="257">
        <f>(Table6[[#This Row],[Paired WTG Generation for loss calculation]]/24)*Table6[[#This Row],[Breakdown Time]]</f>
        <v>6188.9208333333336</v>
      </c>
      <c r="AB1125" s="102"/>
      <c r="AC1125" s="35"/>
      <c r="AD1125" s="35"/>
    </row>
    <row r="1126" spans="1:30">
      <c r="A1126" s="102">
        <f t="shared" si="18"/>
        <v>1125</v>
      </c>
      <c r="B1126" s="257">
        <f>YEAR(Table6[[#This Row],[Date]])+IF(MONTH(Table6[[#This Row],[Date]])&gt;=4,1,0)</f>
        <v>2026</v>
      </c>
      <c r="C1126" s="102">
        <f>YEAR(Table6[[#This Row],[Date]])</f>
        <v>2025</v>
      </c>
      <c r="D1126" s="102" t="s">
        <v>265</v>
      </c>
      <c r="E1126" s="258">
        <f>Table6[[#This Row],[Date]]-DAY(Table6[[#This Row],[Date]])+1</f>
        <v>45809</v>
      </c>
      <c r="F1126" s="259">
        <v>45818</v>
      </c>
      <c r="G1126" s="35" t="s">
        <v>118</v>
      </c>
      <c r="H1126" s="35" t="str">
        <f>IFERROR(_xlfn.XLOOKUP(Table6[[#This Row],[Affected WTG]],'Basic Data'!$A:$A,'Basic Data'!$B:$B),"")</f>
        <v>TQGXIIPL</v>
      </c>
      <c r="I1126" s="35" t="str">
        <f>IFERROR(_xlfn.XLOOKUP(Table6[[#This Row],[Affected WTG]],'Basic Data'!$A:$A,'Basic Data'!$C:$C),"")</f>
        <v>GEDA</v>
      </c>
      <c r="J1126" s="260">
        <f>IFERROR(_xlfn.XLOOKUP(Table6[[#This Row],[Affected WTG]],'Basic Data'!$A:$A,'Basic Data'!$E:$E),"")</f>
        <v>3.846153846153845E-2</v>
      </c>
      <c r="K1126" s="102">
        <v>6130</v>
      </c>
      <c r="L1126" s="35" t="str">
        <f>IFERROR(_xlfn.XLOOKUP(Table6[[#This Row],[Error Code]],'Basic Data'!$AA:$AA,'Basic Data'!$AB:$AB),"Incorrect Error Code")</f>
        <v>Yaw speed high</v>
      </c>
      <c r="M1126" s="35" t="s">
        <v>278</v>
      </c>
      <c r="N1126" s="264"/>
      <c r="O1126" s="265">
        <v>0.39444444444444443</v>
      </c>
      <c r="P1126" s="265">
        <v>0.39444444444444443</v>
      </c>
      <c r="Q1126" s="266">
        <v>0.39861111111111114</v>
      </c>
      <c r="R1126" s="261">
        <f>IF(Table6[[#This Row],[Work Start TimeStamp]]="","",(Table6[[#This Row],[Work Start TimeStamp]]-Table6[[#This Row],[Fault Start TimeStamp]])*24)</f>
        <v>0</v>
      </c>
      <c r="S1126" s="261">
        <f>(Table6[[#This Row],[Fault Clearance time]]-Table6[[#This Row],[Work Start TimeStamp]])*24</f>
        <v>0.10000000000000098</v>
      </c>
      <c r="T1126" s="261">
        <f>(Table6[[#This Row],[Fault Clearance time]]-Table6[[#This Row],[Fault Start TimeStamp]])*24</f>
        <v>0.10000000000000098</v>
      </c>
      <c r="U1126" s="35" t="s">
        <v>277</v>
      </c>
      <c r="V1126" s="102" t="s">
        <v>268</v>
      </c>
      <c r="W1126" s="267">
        <f>IFERROR(Table6[[#This Row],[Breakdown Time]]*Table6[[#This Row],[Plant Equivalent Weightage]],"")</f>
        <v>3.8461538461538824E-3</v>
      </c>
      <c r="X1126" s="262" t="s">
        <v>269</v>
      </c>
      <c r="Y1126" s="263" t="s">
        <v>121</v>
      </c>
      <c r="Z1126" s="102">
        <v>44939</v>
      </c>
      <c r="AA1126" s="257">
        <f>(Table6[[#This Row],[Paired WTG Generation for loss calculation]]/24)*Table6[[#This Row],[Breakdown Time]]</f>
        <v>187.24583333333516</v>
      </c>
      <c r="AB1126" s="102"/>
      <c r="AC1126" s="35"/>
      <c r="AD1126" s="35"/>
    </row>
    <row r="1127" spans="1:30">
      <c r="A1127" s="102">
        <f t="shared" si="18"/>
        <v>1126</v>
      </c>
      <c r="B1127" s="257">
        <f>YEAR(Table6[[#This Row],[Date]])+IF(MONTH(Table6[[#This Row],[Date]])&gt;=4,1,0)</f>
        <v>2026</v>
      </c>
      <c r="C1127" s="102">
        <f>YEAR(Table6[[#This Row],[Date]])</f>
        <v>2025</v>
      </c>
      <c r="D1127" s="102" t="s">
        <v>265</v>
      </c>
      <c r="E1127" s="258">
        <f>Table6[[#This Row],[Date]]-DAY(Table6[[#This Row],[Date]])+1</f>
        <v>45809</v>
      </c>
      <c r="F1127" s="259">
        <v>45818</v>
      </c>
      <c r="G1127" s="35" t="s">
        <v>118</v>
      </c>
      <c r="H1127" s="35" t="str">
        <f>IFERROR(_xlfn.XLOOKUP(Table6[[#This Row],[Affected WTG]],'Basic Data'!$A:$A,'Basic Data'!$B:$B),"")</f>
        <v>TQGXIIPL</v>
      </c>
      <c r="I1127" s="35" t="str">
        <f>IFERROR(_xlfn.XLOOKUP(Table6[[#This Row],[Affected WTG]],'Basic Data'!$A:$A,'Basic Data'!$C:$C),"")</f>
        <v>GEDA</v>
      </c>
      <c r="J1127" s="260">
        <f>IFERROR(_xlfn.XLOOKUP(Table6[[#This Row],[Affected WTG]],'Basic Data'!$A:$A,'Basic Data'!$E:$E),"")</f>
        <v>3.846153846153845E-2</v>
      </c>
      <c r="K1127" s="102">
        <v>55</v>
      </c>
      <c r="L1127" s="35" t="str">
        <f>IFERROR(_xlfn.XLOOKUP(Table6[[#This Row],[Error Code]],'Basic Data'!$AA:$AA,'Basic Data'!$AB:$AB),"Incorrect Error Code")</f>
        <v>WTG shut down</v>
      </c>
      <c r="M1127" s="35" t="s">
        <v>504</v>
      </c>
      <c r="N1127" s="264"/>
      <c r="O1127" s="265">
        <v>0.43680555555555556</v>
      </c>
      <c r="P1127" s="265">
        <v>0.43680555555555556</v>
      </c>
      <c r="Q1127" s="266">
        <v>0.4777777777777778</v>
      </c>
      <c r="R1127" s="261">
        <f>IF(Table6[[#This Row],[Work Start TimeStamp]]="","",(Table6[[#This Row],[Work Start TimeStamp]]-Table6[[#This Row],[Fault Start TimeStamp]])*24)</f>
        <v>0</v>
      </c>
      <c r="S1127" s="261">
        <f>(Table6[[#This Row],[Fault Clearance time]]-Table6[[#This Row],[Work Start TimeStamp]])*24</f>
        <v>0.98333333333333384</v>
      </c>
      <c r="T1127" s="261">
        <f>(Table6[[#This Row],[Fault Clearance time]]-Table6[[#This Row],[Fault Start TimeStamp]])*24</f>
        <v>0.98333333333333384</v>
      </c>
      <c r="U1127" s="35" t="s">
        <v>511</v>
      </c>
      <c r="V1127" s="102" t="s">
        <v>268</v>
      </c>
      <c r="W1127" s="267">
        <f>IFERROR(Table6[[#This Row],[Breakdown Time]]*Table6[[#This Row],[Plant Equivalent Weightage]],"")</f>
        <v>3.7820512820512825E-2</v>
      </c>
      <c r="X1127" s="262" t="s">
        <v>296</v>
      </c>
      <c r="Y1127" s="263" t="s">
        <v>121</v>
      </c>
      <c r="Z1127" s="102">
        <v>44939</v>
      </c>
      <c r="AA1127" s="257">
        <f>(Table6[[#This Row],[Paired WTG Generation for loss calculation]]/24)*Table6[[#This Row],[Breakdown Time]]</f>
        <v>1841.2506944444453</v>
      </c>
      <c r="AB1127" s="102"/>
      <c r="AC1127" s="35"/>
      <c r="AD1127" s="35"/>
    </row>
    <row r="1128" spans="1:30">
      <c r="A1128" s="102">
        <f t="shared" si="18"/>
        <v>1127</v>
      </c>
      <c r="B1128" s="257">
        <f>YEAR(Table6[[#This Row],[Date]])+IF(MONTH(Table6[[#This Row],[Date]])&gt;=4,1,0)</f>
        <v>2026</v>
      </c>
      <c r="C1128" s="102">
        <f>YEAR(Table6[[#This Row],[Date]])</f>
        <v>2025</v>
      </c>
      <c r="D1128" s="102" t="s">
        <v>265</v>
      </c>
      <c r="E1128" s="258">
        <f>Table6[[#This Row],[Date]]-DAY(Table6[[#This Row],[Date]])+1</f>
        <v>45809</v>
      </c>
      <c r="F1128" s="259">
        <v>45818</v>
      </c>
      <c r="G1128" s="35" t="s">
        <v>118</v>
      </c>
      <c r="H1128" s="35" t="str">
        <f>IFERROR(_xlfn.XLOOKUP(Table6[[#This Row],[Affected WTG]],'Basic Data'!$A:$A,'Basic Data'!$B:$B),"")</f>
        <v>TQGXIIPL</v>
      </c>
      <c r="I1128" s="35" t="str">
        <f>IFERROR(_xlfn.XLOOKUP(Table6[[#This Row],[Affected WTG]],'Basic Data'!$A:$A,'Basic Data'!$C:$C),"")</f>
        <v>GEDA</v>
      </c>
      <c r="J1128" s="260">
        <f>IFERROR(_xlfn.XLOOKUP(Table6[[#This Row],[Affected WTG]],'Basic Data'!$A:$A,'Basic Data'!$E:$E),"")</f>
        <v>3.846153846153845E-2</v>
      </c>
      <c r="K1128" s="102">
        <v>55</v>
      </c>
      <c r="L1128" s="35" t="str">
        <f>IFERROR(_xlfn.XLOOKUP(Table6[[#This Row],[Error Code]],'Basic Data'!$AA:$AA,'Basic Data'!$AB:$AB),"Incorrect Error Code")</f>
        <v>WTG shut down</v>
      </c>
      <c r="M1128" s="35" t="s">
        <v>504</v>
      </c>
      <c r="N1128" s="264"/>
      <c r="O1128" s="265">
        <v>0.51249999999999996</v>
      </c>
      <c r="P1128" s="265">
        <v>0.51249999999999996</v>
      </c>
      <c r="Q1128" s="266">
        <v>0.52986111111111112</v>
      </c>
      <c r="R1128" s="261">
        <f>IF(Table6[[#This Row],[Work Start TimeStamp]]="","",(Table6[[#This Row],[Work Start TimeStamp]]-Table6[[#This Row],[Fault Start TimeStamp]])*24)</f>
        <v>0</v>
      </c>
      <c r="S1128" s="261">
        <f>(Table6[[#This Row],[Fault Clearance time]]-Table6[[#This Row],[Work Start TimeStamp]])*24</f>
        <v>0.41666666666666785</v>
      </c>
      <c r="T1128" s="261">
        <f>(Table6[[#This Row],[Fault Clearance time]]-Table6[[#This Row],[Fault Start TimeStamp]])*24</f>
        <v>0.41666666666666785</v>
      </c>
      <c r="U1128" s="35" t="s">
        <v>511</v>
      </c>
      <c r="V1128" s="102" t="s">
        <v>268</v>
      </c>
      <c r="W1128" s="267">
        <f>IFERROR(Table6[[#This Row],[Breakdown Time]]*Table6[[#This Row],[Plant Equivalent Weightage]],"")</f>
        <v>1.6025641025641066E-2</v>
      </c>
      <c r="X1128" s="262" t="s">
        <v>296</v>
      </c>
      <c r="Y1128" s="263" t="s">
        <v>121</v>
      </c>
      <c r="Z1128" s="102">
        <v>44939</v>
      </c>
      <c r="AA1128" s="257">
        <f>(Table6[[#This Row],[Paired WTG Generation for loss calculation]]/24)*Table6[[#This Row],[Breakdown Time]]</f>
        <v>780.19097222222445</v>
      </c>
      <c r="AB1128" s="102"/>
      <c r="AC1128" s="35"/>
      <c r="AD1128" s="35"/>
    </row>
    <row r="1129" spans="1:30">
      <c r="A1129" s="102">
        <f t="shared" si="18"/>
        <v>1128</v>
      </c>
      <c r="B1129" s="257">
        <f>YEAR(Table6[[#This Row],[Date]])+IF(MONTH(Table6[[#This Row],[Date]])&gt;=4,1,0)</f>
        <v>2026</v>
      </c>
      <c r="C1129" s="102">
        <f>YEAR(Table6[[#This Row],[Date]])</f>
        <v>2025</v>
      </c>
      <c r="D1129" s="102" t="s">
        <v>265</v>
      </c>
      <c r="E1129" s="258">
        <f>Table6[[#This Row],[Date]]-DAY(Table6[[#This Row],[Date]])+1</f>
        <v>45809</v>
      </c>
      <c r="F1129" s="259">
        <v>45818</v>
      </c>
      <c r="G1129" s="35" t="s">
        <v>118</v>
      </c>
      <c r="H1129" s="35" t="str">
        <f>IFERROR(_xlfn.XLOOKUP(Table6[[#This Row],[Affected WTG]],'Basic Data'!$A:$A,'Basic Data'!$B:$B),"")</f>
        <v>TQGXIIPL</v>
      </c>
      <c r="I1129" s="35" t="str">
        <f>IFERROR(_xlfn.XLOOKUP(Table6[[#This Row],[Affected WTG]],'Basic Data'!$A:$A,'Basic Data'!$C:$C),"")</f>
        <v>GEDA</v>
      </c>
      <c r="J1129" s="260">
        <f>IFERROR(_xlfn.XLOOKUP(Table6[[#This Row],[Affected WTG]],'Basic Data'!$A:$A,'Basic Data'!$E:$E),"")</f>
        <v>3.846153846153845E-2</v>
      </c>
      <c r="K1129" s="102">
        <v>6130</v>
      </c>
      <c r="L1129" s="35" t="str">
        <f>IFERROR(_xlfn.XLOOKUP(Table6[[#This Row],[Error Code]],'Basic Data'!$AA:$AA,'Basic Data'!$AB:$AB),"Incorrect Error Code")</f>
        <v>Yaw speed high</v>
      </c>
      <c r="M1129" s="35" t="s">
        <v>266</v>
      </c>
      <c r="N1129" s="264"/>
      <c r="O1129" s="265">
        <v>0.78888888888888886</v>
      </c>
      <c r="P1129" s="265">
        <v>0.78888888888888886</v>
      </c>
      <c r="Q1129" s="266">
        <v>0.79097222222222219</v>
      </c>
      <c r="R1129" s="261">
        <f>IF(Table6[[#This Row],[Work Start TimeStamp]]="","",(Table6[[#This Row],[Work Start TimeStamp]]-Table6[[#This Row],[Fault Start TimeStamp]])*24)</f>
        <v>0</v>
      </c>
      <c r="S1129" s="261">
        <f>(Table6[[#This Row],[Fault Clearance time]]-Table6[[#This Row],[Work Start TimeStamp]])*24</f>
        <v>4.9999999999999822E-2</v>
      </c>
      <c r="T1129" s="261">
        <f>(Table6[[#This Row],[Fault Clearance time]]-Table6[[#This Row],[Fault Start TimeStamp]])*24</f>
        <v>4.9999999999999822E-2</v>
      </c>
      <c r="U1129" s="35" t="s">
        <v>483</v>
      </c>
      <c r="V1129" s="102" t="s">
        <v>268</v>
      </c>
      <c r="W1129" s="267">
        <f>IFERROR(Table6[[#This Row],[Breakdown Time]]*Table6[[#This Row],[Plant Equivalent Weightage]],"")</f>
        <v>1.9230769230769156E-3</v>
      </c>
      <c r="X1129" s="262" t="s">
        <v>269</v>
      </c>
      <c r="Y1129" s="263" t="s">
        <v>121</v>
      </c>
      <c r="Z1129" s="102">
        <v>44939</v>
      </c>
      <c r="AA1129" s="257">
        <f>(Table6[[#This Row],[Paired WTG Generation for loss calculation]]/24)*Table6[[#This Row],[Breakdown Time]]</f>
        <v>93.622916666666328</v>
      </c>
      <c r="AB1129" s="102"/>
      <c r="AC1129" s="35"/>
      <c r="AD1129" s="35"/>
    </row>
    <row r="1130" spans="1:30">
      <c r="A1130" s="102">
        <f t="shared" si="18"/>
        <v>1129</v>
      </c>
      <c r="B1130" s="257">
        <f>YEAR(Table6[[#This Row],[Date]])+IF(MONTH(Table6[[#This Row],[Date]])&gt;=4,1,0)</f>
        <v>2026</v>
      </c>
      <c r="C1130" s="102">
        <f>YEAR(Table6[[#This Row],[Date]])</f>
        <v>2025</v>
      </c>
      <c r="D1130" s="102" t="s">
        <v>265</v>
      </c>
      <c r="E1130" s="258">
        <f>Table6[[#This Row],[Date]]-DAY(Table6[[#This Row],[Date]])+1</f>
        <v>45809</v>
      </c>
      <c r="F1130" s="259">
        <v>45818</v>
      </c>
      <c r="G1130" s="35" t="s">
        <v>119</v>
      </c>
      <c r="H1130" s="35" t="str">
        <f>IFERROR(_xlfn.XLOOKUP(Table6[[#This Row],[Affected WTG]],'Basic Data'!$A:$A,'Basic Data'!$B:$B),"")</f>
        <v>TQGXIIPL</v>
      </c>
      <c r="I1130" s="35" t="str">
        <f>IFERROR(_xlfn.XLOOKUP(Table6[[#This Row],[Affected WTG]],'Basic Data'!$A:$A,'Basic Data'!$C:$C),"")</f>
        <v>GEDA</v>
      </c>
      <c r="J1130" s="260">
        <f>IFERROR(_xlfn.XLOOKUP(Table6[[#This Row],[Affected WTG]],'Basic Data'!$A:$A,'Basic Data'!$E:$E),"")</f>
        <v>3.846153846153845E-2</v>
      </c>
      <c r="K1130" s="102">
        <v>4960</v>
      </c>
      <c r="L1130" s="35" t="str">
        <f>IFERROR(_xlfn.XLOOKUP(Table6[[#This Row],[Error Code]],'Basic Data'!$AA:$AA,'Basic Data'!$AB:$AB),"Incorrect Error Code")</f>
        <v>Tower oscillation YF</v>
      </c>
      <c r="M1130" s="35" t="s">
        <v>266</v>
      </c>
      <c r="N1130" s="264"/>
      <c r="O1130" s="265">
        <v>0.50347222222222221</v>
      </c>
      <c r="P1130" s="265">
        <v>0.50347222222222221</v>
      </c>
      <c r="Q1130" s="266">
        <v>0.50555555555555554</v>
      </c>
      <c r="R1130" s="261">
        <f>IF(Table6[[#This Row],[Work Start TimeStamp]]="","",(Table6[[#This Row],[Work Start TimeStamp]]-Table6[[#This Row],[Fault Start TimeStamp]])*24)</f>
        <v>0</v>
      </c>
      <c r="S1130" s="261">
        <f>(Table6[[#This Row],[Fault Clearance time]]-Table6[[#This Row],[Work Start TimeStamp]])*24</f>
        <v>4.9999999999999822E-2</v>
      </c>
      <c r="T1130" s="261">
        <f>(Table6[[#This Row],[Fault Clearance time]]-Table6[[#This Row],[Fault Start TimeStamp]])*24</f>
        <v>4.9999999999999822E-2</v>
      </c>
      <c r="U1130" s="35" t="s">
        <v>483</v>
      </c>
      <c r="V1130" s="102" t="s">
        <v>268</v>
      </c>
      <c r="W1130" s="267">
        <f>IFERROR(Table6[[#This Row],[Breakdown Time]]*Table6[[#This Row],[Plant Equivalent Weightage]],"")</f>
        <v>1.9230769230769156E-3</v>
      </c>
      <c r="X1130" s="262" t="s">
        <v>269</v>
      </c>
      <c r="Y1130" s="263" t="s">
        <v>116</v>
      </c>
      <c r="Z1130" s="102">
        <v>48133</v>
      </c>
      <c r="AA1130" s="257">
        <f>(Table6[[#This Row],[Paired WTG Generation for loss calculation]]/24)*Table6[[#This Row],[Breakdown Time]]</f>
        <v>100.27708333333298</v>
      </c>
      <c r="AB1130" s="102"/>
      <c r="AC1130" s="35"/>
      <c r="AD1130" s="35"/>
    </row>
    <row r="1131" spans="1:30">
      <c r="A1131" s="102">
        <f t="shared" si="18"/>
        <v>1130</v>
      </c>
      <c r="B1131" s="257">
        <f>YEAR(Table6[[#This Row],[Date]])+IF(MONTH(Table6[[#This Row],[Date]])&gt;=4,1,0)</f>
        <v>2026</v>
      </c>
      <c r="C1131" s="102">
        <f>YEAR(Table6[[#This Row],[Date]])</f>
        <v>2025</v>
      </c>
      <c r="D1131" s="102" t="s">
        <v>265</v>
      </c>
      <c r="E1131" s="258">
        <f>Table6[[#This Row],[Date]]-DAY(Table6[[#This Row],[Date]])+1</f>
        <v>45809</v>
      </c>
      <c r="F1131" s="259">
        <v>45818</v>
      </c>
      <c r="G1131" s="35" t="s">
        <v>119</v>
      </c>
      <c r="H1131" s="35" t="str">
        <f>IFERROR(_xlfn.XLOOKUP(Table6[[#This Row],[Affected WTG]],'Basic Data'!$A:$A,'Basic Data'!$B:$B),"")</f>
        <v>TQGXIIPL</v>
      </c>
      <c r="I1131" s="35" t="str">
        <f>IFERROR(_xlfn.XLOOKUP(Table6[[#This Row],[Affected WTG]],'Basic Data'!$A:$A,'Basic Data'!$C:$C),"")</f>
        <v>GEDA</v>
      </c>
      <c r="J1131" s="260">
        <f>IFERROR(_xlfn.XLOOKUP(Table6[[#This Row],[Affected WTG]],'Basic Data'!$A:$A,'Basic Data'!$E:$E),"")</f>
        <v>3.846153846153845E-2</v>
      </c>
      <c r="K1131" s="102">
        <v>6130</v>
      </c>
      <c r="L1131" s="35" t="str">
        <f>IFERROR(_xlfn.XLOOKUP(Table6[[#This Row],[Error Code]],'Basic Data'!$AA:$AA,'Basic Data'!$AB:$AB),"Incorrect Error Code")</f>
        <v>Yaw speed high</v>
      </c>
      <c r="M1131" s="35" t="s">
        <v>266</v>
      </c>
      <c r="N1131" s="264"/>
      <c r="O1131" s="265">
        <v>0.59791666666666665</v>
      </c>
      <c r="P1131" s="265">
        <v>0.59791666666666665</v>
      </c>
      <c r="Q1131" s="266">
        <v>0.59861111111111109</v>
      </c>
      <c r="R1131" s="261">
        <f>IF(Table6[[#This Row],[Work Start TimeStamp]]="","",(Table6[[#This Row],[Work Start TimeStamp]]-Table6[[#This Row],[Fault Start TimeStamp]])*24)</f>
        <v>0</v>
      </c>
      <c r="S1131" s="261">
        <f>(Table6[[#This Row],[Fault Clearance time]]-Table6[[#This Row],[Work Start TimeStamp]])*24</f>
        <v>1.6666666666666607E-2</v>
      </c>
      <c r="T1131" s="261">
        <f>(Table6[[#This Row],[Fault Clearance time]]-Table6[[#This Row],[Fault Start TimeStamp]])*24</f>
        <v>1.6666666666666607E-2</v>
      </c>
      <c r="U1131" s="35" t="s">
        <v>483</v>
      </c>
      <c r="V1131" s="102" t="s">
        <v>268</v>
      </c>
      <c r="W1131" s="267">
        <f>IFERROR(Table6[[#This Row],[Breakdown Time]]*Table6[[#This Row],[Plant Equivalent Weightage]],"")</f>
        <v>6.4102564102563853E-4</v>
      </c>
      <c r="X1131" s="262" t="s">
        <v>269</v>
      </c>
      <c r="Y1131" s="263" t="s">
        <v>116</v>
      </c>
      <c r="Z1131" s="102">
        <v>48133</v>
      </c>
      <c r="AA1131" s="257">
        <f>(Table6[[#This Row],[Paired WTG Generation for loss calculation]]/24)*Table6[[#This Row],[Breakdown Time]]</f>
        <v>33.425694444444325</v>
      </c>
      <c r="AB1131" s="102"/>
      <c r="AC1131" s="35"/>
      <c r="AD1131" s="35"/>
    </row>
    <row r="1132" spans="1:30">
      <c r="A1132" s="102">
        <f t="shared" si="18"/>
        <v>1131</v>
      </c>
      <c r="B1132" s="257">
        <f>YEAR(Table6[[#This Row],[Date]])+IF(MONTH(Table6[[#This Row],[Date]])&gt;=4,1,0)</f>
        <v>2026</v>
      </c>
      <c r="C1132" s="102">
        <f>YEAR(Table6[[#This Row],[Date]])</f>
        <v>2025</v>
      </c>
      <c r="D1132" s="102" t="s">
        <v>265</v>
      </c>
      <c r="E1132" s="258">
        <f>Table6[[#This Row],[Date]]-DAY(Table6[[#This Row],[Date]])+1</f>
        <v>45809</v>
      </c>
      <c r="F1132" s="259">
        <v>45818</v>
      </c>
      <c r="G1132" s="35" t="s">
        <v>120</v>
      </c>
      <c r="H1132" s="35" t="str">
        <f>IFERROR(_xlfn.XLOOKUP(Table6[[#This Row],[Affected WTG]],'Basic Data'!$A:$A,'Basic Data'!$B:$B),"")</f>
        <v>TQGXIIPL</v>
      </c>
      <c r="I1132" s="35" t="str">
        <f>IFERROR(_xlfn.XLOOKUP(Table6[[#This Row],[Affected WTG]],'Basic Data'!$A:$A,'Basic Data'!$C:$C),"")</f>
        <v>GEDA</v>
      </c>
      <c r="J1132" s="260">
        <f>IFERROR(_xlfn.XLOOKUP(Table6[[#This Row],[Affected WTG]],'Basic Data'!$A:$A,'Basic Data'!$E:$E),"")</f>
        <v>3.846153846153845E-2</v>
      </c>
      <c r="K1132" s="102">
        <v>6130</v>
      </c>
      <c r="L1132" s="35" t="str">
        <f>IFERROR(_xlfn.XLOOKUP(Table6[[#This Row],[Error Code]],'Basic Data'!$AA:$AA,'Basic Data'!$AB:$AB),"Incorrect Error Code")</f>
        <v>Yaw speed high</v>
      </c>
      <c r="M1132" s="35" t="s">
        <v>266</v>
      </c>
      <c r="N1132" s="264"/>
      <c r="O1132" s="265">
        <v>0.49652777777777779</v>
      </c>
      <c r="P1132" s="265">
        <v>0.49652777777777779</v>
      </c>
      <c r="Q1132" s="266">
        <v>0.49722222222222223</v>
      </c>
      <c r="R1132" s="261">
        <f>IF(Table6[[#This Row],[Work Start TimeStamp]]="","",(Table6[[#This Row],[Work Start TimeStamp]]-Table6[[#This Row],[Fault Start TimeStamp]])*24)</f>
        <v>0</v>
      </c>
      <c r="S1132" s="261">
        <f>(Table6[[#This Row],[Fault Clearance time]]-Table6[[#This Row],[Work Start TimeStamp]])*24</f>
        <v>1.6666666666666607E-2</v>
      </c>
      <c r="T1132" s="261">
        <f>(Table6[[#This Row],[Fault Clearance time]]-Table6[[#This Row],[Fault Start TimeStamp]])*24</f>
        <v>1.6666666666666607E-2</v>
      </c>
      <c r="U1132" s="35" t="s">
        <v>483</v>
      </c>
      <c r="V1132" s="102" t="s">
        <v>268</v>
      </c>
      <c r="W1132" s="267">
        <f>IFERROR(Table6[[#This Row],[Breakdown Time]]*Table6[[#This Row],[Plant Equivalent Weightage]],"")</f>
        <v>6.4102564102563853E-4</v>
      </c>
      <c r="X1132" s="262" t="s">
        <v>269</v>
      </c>
      <c r="Y1132" s="263" t="s">
        <v>135</v>
      </c>
      <c r="Z1132" s="102">
        <v>39222</v>
      </c>
      <c r="AA1132" s="257">
        <f>(Table6[[#This Row],[Paired WTG Generation for loss calculation]]/24)*Table6[[#This Row],[Breakdown Time]]</f>
        <v>27.237499999999905</v>
      </c>
      <c r="AB1132" s="102"/>
      <c r="AC1132" s="35"/>
      <c r="AD1132" s="35"/>
    </row>
    <row r="1133" spans="1:30">
      <c r="A1133" s="102">
        <f t="shared" si="18"/>
        <v>1132</v>
      </c>
      <c r="B1133" s="257">
        <f>YEAR(Table6[[#This Row],[Date]])+IF(MONTH(Table6[[#This Row],[Date]])&gt;=4,1,0)</f>
        <v>2026</v>
      </c>
      <c r="C1133" s="102">
        <f>YEAR(Table6[[#This Row],[Date]])</f>
        <v>2025</v>
      </c>
      <c r="D1133" s="102" t="s">
        <v>265</v>
      </c>
      <c r="E1133" s="258">
        <f>Table6[[#This Row],[Date]]-DAY(Table6[[#This Row],[Date]])+1</f>
        <v>45809</v>
      </c>
      <c r="F1133" s="259">
        <v>45818</v>
      </c>
      <c r="G1133" s="35" t="s">
        <v>121</v>
      </c>
      <c r="H1133" s="35" t="str">
        <f>IFERROR(_xlfn.XLOOKUP(Table6[[#This Row],[Affected WTG]],'Basic Data'!$A:$A,'Basic Data'!$B:$B),"")</f>
        <v>TQGXIIPL</v>
      </c>
      <c r="I1133" s="35" t="str">
        <f>IFERROR(_xlfn.XLOOKUP(Table6[[#This Row],[Affected WTG]],'Basic Data'!$A:$A,'Basic Data'!$C:$C),"")</f>
        <v>GEDA</v>
      </c>
      <c r="J1133" s="260">
        <f>IFERROR(_xlfn.XLOOKUP(Table6[[#This Row],[Affected WTG]],'Basic Data'!$A:$A,'Basic Data'!$E:$E),"")</f>
        <v>3.846153846153845E-2</v>
      </c>
      <c r="K1133" s="102">
        <v>55</v>
      </c>
      <c r="L1133" s="35" t="str">
        <f>IFERROR(_xlfn.XLOOKUP(Table6[[#This Row],[Error Code]],'Basic Data'!$AA:$AA,'Basic Data'!$AB:$AB),"Incorrect Error Code")</f>
        <v>WTG shut down</v>
      </c>
      <c r="M1133" s="35" t="s">
        <v>504</v>
      </c>
      <c r="N1133" s="264"/>
      <c r="O1133" s="265">
        <v>0.43680555555555556</v>
      </c>
      <c r="P1133" s="265">
        <v>0.43680555555555556</v>
      </c>
      <c r="Q1133" s="266">
        <v>0.53055555555555556</v>
      </c>
      <c r="R1133" s="261">
        <f>IF(Table6[[#This Row],[Work Start TimeStamp]]="","",(Table6[[#This Row],[Work Start TimeStamp]]-Table6[[#This Row],[Fault Start TimeStamp]])*24)</f>
        <v>0</v>
      </c>
      <c r="S1133" s="261">
        <f>(Table6[[#This Row],[Fault Clearance time]]-Table6[[#This Row],[Work Start TimeStamp]])*24</f>
        <v>2.25</v>
      </c>
      <c r="T1133" s="261">
        <f>(Table6[[#This Row],[Fault Clearance time]]-Table6[[#This Row],[Fault Start TimeStamp]])*24</f>
        <v>2.25</v>
      </c>
      <c r="U1133" s="35" t="s">
        <v>511</v>
      </c>
      <c r="V1133" s="102" t="s">
        <v>268</v>
      </c>
      <c r="W1133" s="267">
        <f>IFERROR(Table6[[#This Row],[Breakdown Time]]*Table6[[#This Row],[Plant Equivalent Weightage]],"")</f>
        <v>8.6538461538461509E-2</v>
      </c>
      <c r="X1133" s="262" t="s">
        <v>296</v>
      </c>
      <c r="Y1133" s="263" t="s">
        <v>118</v>
      </c>
      <c r="Z1133" s="102">
        <v>45191</v>
      </c>
      <c r="AA1133" s="257">
        <f>(Table6[[#This Row],[Paired WTG Generation for loss calculation]]/24)*Table6[[#This Row],[Breakdown Time]]</f>
        <v>4236.65625</v>
      </c>
      <c r="AB1133" s="102"/>
      <c r="AC1133" s="35"/>
      <c r="AD1133" s="35"/>
    </row>
    <row r="1134" spans="1:30">
      <c r="A1134" s="102">
        <f t="shared" si="18"/>
        <v>1133</v>
      </c>
      <c r="B1134" s="257">
        <f>YEAR(Table6[[#This Row],[Date]])+IF(MONTH(Table6[[#This Row],[Date]])&gt;=4,1,0)</f>
        <v>2026</v>
      </c>
      <c r="C1134" s="102">
        <f>YEAR(Table6[[#This Row],[Date]])</f>
        <v>2025</v>
      </c>
      <c r="D1134" s="102" t="s">
        <v>265</v>
      </c>
      <c r="E1134" s="258">
        <f>Table6[[#This Row],[Date]]-DAY(Table6[[#This Row],[Date]])+1</f>
        <v>45809</v>
      </c>
      <c r="F1134" s="259">
        <v>45818</v>
      </c>
      <c r="G1134" s="35" t="s">
        <v>122</v>
      </c>
      <c r="H1134" s="35" t="str">
        <f>IFERROR(_xlfn.XLOOKUP(Table6[[#This Row],[Affected WTG]],'Basic Data'!$A:$A,'Basic Data'!$B:$B),"")</f>
        <v>TQGXIIPL</v>
      </c>
      <c r="I1134" s="35" t="str">
        <f>IFERROR(_xlfn.XLOOKUP(Table6[[#This Row],[Affected WTG]],'Basic Data'!$A:$A,'Basic Data'!$C:$C),"")</f>
        <v>GEDA</v>
      </c>
      <c r="J1134" s="260">
        <f>IFERROR(_xlfn.XLOOKUP(Table6[[#This Row],[Affected WTG]],'Basic Data'!$A:$A,'Basic Data'!$E:$E),"")</f>
        <v>3.846153846153845E-2</v>
      </c>
      <c r="K1134" s="102">
        <v>665</v>
      </c>
      <c r="L1134" s="35" t="str">
        <f>IFERROR(_xlfn.XLOOKUP(Table6[[#This Row],[Error Code]],'Basic Data'!$AA:$AA,'Basic Data'!$AB:$AB),"Incorrect Error Code")</f>
        <v>Pitch error</v>
      </c>
      <c r="M1134" s="35" t="s">
        <v>266</v>
      </c>
      <c r="N1134" s="264"/>
      <c r="O1134" s="265">
        <v>0.11458333333333333</v>
      </c>
      <c r="P1134" s="265">
        <v>0.11458333333333333</v>
      </c>
      <c r="Q1134" s="266">
        <v>0.11874999999999999</v>
      </c>
      <c r="R1134" s="261">
        <f>IF(Table6[[#This Row],[Work Start TimeStamp]]="","",(Table6[[#This Row],[Work Start TimeStamp]]-Table6[[#This Row],[Fault Start TimeStamp]])*24)</f>
        <v>0</v>
      </c>
      <c r="S1134" s="261">
        <f>(Table6[[#This Row],[Fault Clearance time]]-Table6[[#This Row],[Work Start TimeStamp]])*24</f>
        <v>9.9999999999999978E-2</v>
      </c>
      <c r="T1134" s="261">
        <f>(Table6[[#This Row],[Fault Clearance time]]-Table6[[#This Row],[Fault Start TimeStamp]])*24</f>
        <v>9.9999999999999978E-2</v>
      </c>
      <c r="U1134" s="35" t="s">
        <v>483</v>
      </c>
      <c r="V1134" s="102" t="s">
        <v>268</v>
      </c>
      <c r="W1134" s="267">
        <f>IFERROR(Table6[[#This Row],[Breakdown Time]]*Table6[[#This Row],[Plant Equivalent Weightage]],"")</f>
        <v>3.8461538461538442E-3</v>
      </c>
      <c r="X1134" s="262" t="s">
        <v>269</v>
      </c>
      <c r="Y1134" s="263" t="s">
        <v>140</v>
      </c>
      <c r="Z1134" s="102">
        <v>40326</v>
      </c>
      <c r="AA1134" s="257">
        <f>(Table6[[#This Row],[Paired WTG Generation for loss calculation]]/24)*Table6[[#This Row],[Breakdown Time]]</f>
        <v>168.02499999999995</v>
      </c>
      <c r="AB1134" s="102"/>
      <c r="AC1134" s="35"/>
      <c r="AD1134" s="35"/>
    </row>
    <row r="1135" spans="1:30">
      <c r="A1135" s="102">
        <f t="shared" si="18"/>
        <v>1134</v>
      </c>
      <c r="B1135" s="257">
        <f>YEAR(Table6[[#This Row],[Date]])+IF(MONTH(Table6[[#This Row],[Date]])&gt;=4,1,0)</f>
        <v>2026</v>
      </c>
      <c r="C1135" s="102">
        <f>YEAR(Table6[[#This Row],[Date]])</f>
        <v>2025</v>
      </c>
      <c r="D1135" s="102" t="s">
        <v>265</v>
      </c>
      <c r="E1135" s="258">
        <f>Table6[[#This Row],[Date]]-DAY(Table6[[#This Row],[Date]])+1</f>
        <v>45809</v>
      </c>
      <c r="F1135" s="259">
        <v>45818</v>
      </c>
      <c r="G1135" s="35" t="s">
        <v>122</v>
      </c>
      <c r="H1135" s="35" t="str">
        <f>IFERROR(_xlfn.XLOOKUP(Table6[[#This Row],[Affected WTG]],'Basic Data'!$A:$A,'Basic Data'!$B:$B),"")</f>
        <v>TQGXIIPL</v>
      </c>
      <c r="I1135" s="35" t="str">
        <f>IFERROR(_xlfn.XLOOKUP(Table6[[#This Row],[Affected WTG]],'Basic Data'!$A:$A,'Basic Data'!$C:$C),"")</f>
        <v>GEDA</v>
      </c>
      <c r="J1135" s="260">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266</v>
      </c>
      <c r="N1135" s="264"/>
      <c r="O1135" s="265">
        <v>0.31944444444444442</v>
      </c>
      <c r="P1135" s="265">
        <v>0.31944444444444442</v>
      </c>
      <c r="Q1135" s="266">
        <v>0.3263888888888889</v>
      </c>
      <c r="R1135" s="261">
        <f>IF(Table6[[#This Row],[Work Start TimeStamp]]="","",(Table6[[#This Row],[Work Start TimeStamp]]-Table6[[#This Row],[Fault Start TimeStamp]])*24)</f>
        <v>0</v>
      </c>
      <c r="S1135" s="261">
        <f>(Table6[[#This Row],[Fault Clearance time]]-Table6[[#This Row],[Work Start TimeStamp]])*24</f>
        <v>0.16666666666666741</v>
      </c>
      <c r="T1135" s="261">
        <f>(Table6[[#This Row],[Fault Clearance time]]-Table6[[#This Row],[Fault Start TimeStamp]])*24</f>
        <v>0.16666666666666741</v>
      </c>
      <c r="U1135" s="35" t="s">
        <v>483</v>
      </c>
      <c r="V1135" s="102" t="s">
        <v>268</v>
      </c>
      <c r="W1135" s="267">
        <f>IFERROR(Table6[[#This Row],[Breakdown Time]]*Table6[[#This Row],[Plant Equivalent Weightage]],"")</f>
        <v>6.4102564102564369E-3</v>
      </c>
      <c r="X1135" s="262" t="s">
        <v>269</v>
      </c>
      <c r="Y1135" s="263" t="s">
        <v>140</v>
      </c>
      <c r="Z1135" s="102">
        <v>40326</v>
      </c>
      <c r="AA1135" s="257">
        <f>(Table6[[#This Row],[Paired WTG Generation for loss calculation]]/24)*Table6[[#This Row],[Breakdown Time]]</f>
        <v>280.04166666666794</v>
      </c>
      <c r="AB1135" s="102"/>
      <c r="AC1135" s="35"/>
      <c r="AD1135" s="35"/>
    </row>
    <row r="1136" spans="1:30">
      <c r="A1136" s="102">
        <f t="shared" si="18"/>
        <v>1135</v>
      </c>
      <c r="B1136" s="257">
        <f>YEAR(Table6[[#This Row],[Date]])+IF(MONTH(Table6[[#This Row],[Date]])&gt;=4,1,0)</f>
        <v>2026</v>
      </c>
      <c r="C1136" s="102">
        <f>YEAR(Table6[[#This Row],[Date]])</f>
        <v>2025</v>
      </c>
      <c r="D1136" s="102" t="s">
        <v>265</v>
      </c>
      <c r="E1136" s="258">
        <f>Table6[[#This Row],[Date]]-DAY(Table6[[#This Row],[Date]])+1</f>
        <v>45809</v>
      </c>
      <c r="F1136" s="259">
        <v>45818</v>
      </c>
      <c r="G1136" s="35" t="s">
        <v>124</v>
      </c>
      <c r="H1136" s="35" t="str">
        <f>IFERROR(_xlfn.XLOOKUP(Table6[[#This Row],[Affected WTG]],'Basic Data'!$A:$A,'Basic Data'!$B:$B),"")</f>
        <v>TQGXIIPL</v>
      </c>
      <c r="I1136" s="35" t="str">
        <f>IFERROR(_xlfn.XLOOKUP(Table6[[#This Row],[Affected WTG]],'Basic Data'!$A:$A,'Basic Data'!$C:$C),"")</f>
        <v>GEDA</v>
      </c>
      <c r="J1136" s="260">
        <f>IFERROR(_xlfn.XLOOKUP(Table6[[#This Row],[Affected WTG]],'Basic Data'!$A:$A,'Basic Data'!$E:$E),"")</f>
        <v>3.846153846153845E-2</v>
      </c>
      <c r="K1136" s="102">
        <v>3110</v>
      </c>
      <c r="L1136" s="35" t="str">
        <f>IFERROR(_xlfn.XLOOKUP(Table6[[#This Row],[Error Code]],'Basic Data'!$AA:$AA,'Basic Data'!$AB:$AB),"Incorrect Error Code")</f>
        <v>Frequency converter error</v>
      </c>
      <c r="M1136" s="35" t="s">
        <v>266</v>
      </c>
      <c r="N1136" s="264"/>
      <c r="O1136" s="265">
        <v>0.29305555555555557</v>
      </c>
      <c r="P1136" s="265">
        <v>0.29305555555555557</v>
      </c>
      <c r="Q1136" s="266">
        <v>0.3</v>
      </c>
      <c r="R1136" s="261">
        <f>IF(Table6[[#This Row],[Work Start TimeStamp]]="","",(Table6[[#This Row],[Work Start TimeStamp]]-Table6[[#This Row],[Fault Start TimeStamp]])*24)</f>
        <v>0</v>
      </c>
      <c r="S1136" s="261">
        <f>(Table6[[#This Row],[Fault Clearance time]]-Table6[[#This Row],[Work Start TimeStamp]])*24</f>
        <v>0.16666666666666607</v>
      </c>
      <c r="T1136" s="261">
        <f>(Table6[[#This Row],[Fault Clearance time]]-Table6[[#This Row],[Fault Start TimeStamp]])*24</f>
        <v>0.16666666666666607</v>
      </c>
      <c r="U1136" s="35" t="s">
        <v>494</v>
      </c>
      <c r="V1136" s="102" t="s">
        <v>268</v>
      </c>
      <c r="W1136" s="267">
        <f>IFERROR(Table6[[#This Row],[Breakdown Time]]*Table6[[#This Row],[Plant Equivalent Weightage]],"")</f>
        <v>6.4102564102563857E-3</v>
      </c>
      <c r="X1136" s="262" t="s">
        <v>269</v>
      </c>
      <c r="Y1136" s="263" t="s">
        <v>129</v>
      </c>
      <c r="Z1136" s="102">
        <v>39946</v>
      </c>
      <c r="AA1136" s="257">
        <f>(Table6[[#This Row],[Paired WTG Generation for loss calculation]]/24)*Table6[[#This Row],[Breakdown Time]]</f>
        <v>277.40277777777681</v>
      </c>
      <c r="AB1136" s="102"/>
      <c r="AC1136" s="35"/>
      <c r="AD1136" s="35"/>
    </row>
    <row r="1137" spans="1:30">
      <c r="A1137" s="102">
        <f t="shared" si="18"/>
        <v>1136</v>
      </c>
      <c r="B1137" s="257">
        <f>YEAR(Table6[[#This Row],[Date]])+IF(MONTH(Table6[[#This Row],[Date]])&gt;=4,1,0)</f>
        <v>2026</v>
      </c>
      <c r="C1137" s="102">
        <f>YEAR(Table6[[#This Row],[Date]])</f>
        <v>2025</v>
      </c>
      <c r="D1137" s="102" t="s">
        <v>265</v>
      </c>
      <c r="E1137" s="258">
        <f>Table6[[#This Row],[Date]]-DAY(Table6[[#This Row],[Date]])+1</f>
        <v>45809</v>
      </c>
      <c r="F1137" s="259">
        <v>45818</v>
      </c>
      <c r="G1137" s="35" t="s">
        <v>124</v>
      </c>
      <c r="H1137" s="35" t="str">
        <f>IFERROR(_xlfn.XLOOKUP(Table6[[#This Row],[Affected WTG]],'Basic Data'!$A:$A,'Basic Data'!$B:$B),"")</f>
        <v>TQGXIIPL</v>
      </c>
      <c r="I1137" s="35" t="str">
        <f>IFERROR(_xlfn.XLOOKUP(Table6[[#This Row],[Affected WTG]],'Basic Data'!$A:$A,'Basic Data'!$C:$C),"")</f>
        <v>GEDA</v>
      </c>
      <c r="J1137" s="260">
        <f>IFERROR(_xlfn.XLOOKUP(Table6[[#This Row],[Affected WTG]],'Basic Data'!$A:$A,'Basic Data'!$E:$E),"")</f>
        <v>3.846153846153845E-2</v>
      </c>
      <c r="K1137" s="102">
        <v>3395</v>
      </c>
      <c r="L1137" s="35" t="str">
        <f>IFERROR(_xlfn.XLOOKUP(Table6[[#This Row],[Error Code]],'Basic Data'!$AA:$AA,'Basic Data'!$AB:$AB),"Incorrect Error Code")</f>
        <v>Pump cooling sys. overload</v>
      </c>
      <c r="M1137" s="35" t="s">
        <v>266</v>
      </c>
      <c r="N1137" s="264"/>
      <c r="O1137" s="265">
        <v>0.30277777777777776</v>
      </c>
      <c r="P1137" s="265">
        <v>0.35416666666666669</v>
      </c>
      <c r="Q1137" s="266">
        <v>0.54027777777777775</v>
      </c>
      <c r="R1137" s="261">
        <f>IF(Table6[[#This Row],[Work Start TimeStamp]]="","",(Table6[[#This Row],[Work Start TimeStamp]]-Table6[[#This Row],[Fault Start TimeStamp]])*24)</f>
        <v>1.2333333333333343</v>
      </c>
      <c r="S1137" s="261">
        <f>(Table6[[#This Row],[Fault Clearance time]]-Table6[[#This Row],[Work Start TimeStamp]])*24</f>
        <v>4.466666666666665</v>
      </c>
      <c r="T1137" s="261">
        <f>(Table6[[#This Row],[Fault Clearance time]]-Table6[[#This Row],[Fault Start TimeStamp]])*24</f>
        <v>5.6999999999999993</v>
      </c>
      <c r="U1137" s="35" t="s">
        <v>512</v>
      </c>
      <c r="V1137" s="102" t="s">
        <v>268</v>
      </c>
      <c r="W1137" s="267">
        <f>IFERROR(Table6[[#This Row],[Breakdown Time]]*Table6[[#This Row],[Plant Equivalent Weightage]],"")</f>
        <v>0.21923076923076915</v>
      </c>
      <c r="X1137" s="262" t="s">
        <v>296</v>
      </c>
      <c r="Y1137" s="263" t="s">
        <v>129</v>
      </c>
      <c r="Z1137" s="102">
        <v>39946</v>
      </c>
      <c r="AA1137" s="257">
        <f>(Table6[[#This Row],[Paired WTG Generation for loss calculation]]/24)*Table6[[#This Row],[Breakdown Time]]</f>
        <v>9487.1749999999993</v>
      </c>
      <c r="AB1137" s="102"/>
      <c r="AC1137" s="35"/>
      <c r="AD1137" s="35"/>
    </row>
    <row r="1138" spans="1:30">
      <c r="A1138" s="102">
        <f t="shared" si="18"/>
        <v>1137</v>
      </c>
      <c r="B1138" s="257">
        <f>YEAR(Table6[[#This Row],[Date]])+IF(MONTH(Table6[[#This Row],[Date]])&gt;=4,1,0)</f>
        <v>2026</v>
      </c>
      <c r="C1138" s="102">
        <f>YEAR(Table6[[#This Row],[Date]])</f>
        <v>2025</v>
      </c>
      <c r="D1138" s="102" t="s">
        <v>265</v>
      </c>
      <c r="E1138" s="258">
        <f>Table6[[#This Row],[Date]]-DAY(Table6[[#This Row],[Date]])+1</f>
        <v>45809</v>
      </c>
      <c r="F1138" s="259">
        <v>45818</v>
      </c>
      <c r="G1138" s="35" t="s">
        <v>125</v>
      </c>
      <c r="H1138" s="35" t="str">
        <f>IFERROR(_xlfn.XLOOKUP(Table6[[#This Row],[Affected WTG]],'Basic Data'!$A:$A,'Basic Data'!$B:$B),"")</f>
        <v>TQGXIIPL</v>
      </c>
      <c r="I1138" s="35" t="str">
        <f>IFERROR(_xlfn.XLOOKUP(Table6[[#This Row],[Affected WTG]],'Basic Data'!$A:$A,'Basic Data'!$C:$C),"")</f>
        <v>GEDA</v>
      </c>
      <c r="J1138" s="260">
        <f>IFERROR(_xlfn.XLOOKUP(Table6[[#This Row],[Affected WTG]],'Basic Data'!$A:$A,'Basic Data'!$E:$E),"")</f>
        <v>3.846153846153845E-2</v>
      </c>
      <c r="K1138" s="102">
        <v>6130</v>
      </c>
      <c r="L1138" s="35" t="str">
        <f>IFERROR(_xlfn.XLOOKUP(Table6[[#This Row],[Error Code]],'Basic Data'!$AA:$AA,'Basic Data'!$AB:$AB),"Incorrect Error Code")</f>
        <v>Yaw speed high</v>
      </c>
      <c r="M1138" s="35" t="s">
        <v>266</v>
      </c>
      <c r="N1138" s="264"/>
      <c r="O1138" s="265">
        <v>0.46388888888888891</v>
      </c>
      <c r="P1138" s="265">
        <v>0.46388888888888891</v>
      </c>
      <c r="Q1138" s="266">
        <v>0.46597222222222223</v>
      </c>
      <c r="R1138" s="261">
        <f>IF(Table6[[#This Row],[Work Start TimeStamp]]="","",(Table6[[#This Row],[Work Start TimeStamp]]-Table6[[#This Row],[Fault Start TimeStamp]])*24)</f>
        <v>0</v>
      </c>
      <c r="S1138" s="261">
        <f>(Table6[[#This Row],[Fault Clearance time]]-Table6[[#This Row],[Work Start TimeStamp]])*24</f>
        <v>4.9999999999999822E-2</v>
      </c>
      <c r="T1138" s="261">
        <f>(Table6[[#This Row],[Fault Clearance time]]-Table6[[#This Row],[Fault Start TimeStamp]])*24</f>
        <v>4.9999999999999822E-2</v>
      </c>
      <c r="U1138" s="35" t="s">
        <v>483</v>
      </c>
      <c r="V1138" s="102" t="s">
        <v>268</v>
      </c>
      <c r="W1138" s="267">
        <f>IFERROR(Table6[[#This Row],[Breakdown Time]]*Table6[[#This Row],[Plant Equivalent Weightage]],"")</f>
        <v>1.9230769230769156E-3</v>
      </c>
      <c r="X1138" s="262" t="s">
        <v>269</v>
      </c>
      <c r="Y1138" s="263" t="s">
        <v>126</v>
      </c>
      <c r="Z1138" s="102">
        <v>38012</v>
      </c>
      <c r="AA1138" s="257">
        <f>(Table6[[#This Row],[Paired WTG Generation for loss calculation]]/24)*Table6[[#This Row],[Breakdown Time]]</f>
        <v>79.191666666666379</v>
      </c>
      <c r="AB1138" s="102"/>
      <c r="AC1138" s="35"/>
      <c r="AD1138" s="35"/>
    </row>
    <row r="1139" spans="1:30">
      <c r="A1139" s="102">
        <f t="shared" si="18"/>
        <v>1138</v>
      </c>
      <c r="B1139" s="257">
        <f>YEAR(Table6[[#This Row],[Date]])+IF(MONTH(Table6[[#This Row],[Date]])&gt;=4,1,0)</f>
        <v>2026</v>
      </c>
      <c r="C1139" s="102">
        <f>YEAR(Table6[[#This Row],[Date]])</f>
        <v>2025</v>
      </c>
      <c r="D1139" s="102" t="s">
        <v>265</v>
      </c>
      <c r="E1139" s="258">
        <f>Table6[[#This Row],[Date]]-DAY(Table6[[#This Row],[Date]])+1</f>
        <v>45809</v>
      </c>
      <c r="F1139" s="259">
        <v>45818</v>
      </c>
      <c r="G1139" s="35" t="s">
        <v>128</v>
      </c>
      <c r="H1139" s="35" t="str">
        <f>IFERROR(_xlfn.XLOOKUP(Table6[[#This Row],[Affected WTG]],'Basic Data'!$A:$A,'Basic Data'!$B:$B),"")</f>
        <v>TQGXIIPL</v>
      </c>
      <c r="I1139" s="35" t="str">
        <f>IFERROR(_xlfn.XLOOKUP(Table6[[#This Row],[Affected WTG]],'Basic Data'!$A:$A,'Basic Data'!$C:$C),"")</f>
        <v>GEDA</v>
      </c>
      <c r="J1139" s="260">
        <f>IFERROR(_xlfn.XLOOKUP(Table6[[#This Row],[Affected WTG]],'Basic Data'!$A:$A,'Basic Data'!$E:$E),"")</f>
        <v>3.846153846153845E-2</v>
      </c>
      <c r="K1139" s="102">
        <v>6130</v>
      </c>
      <c r="L1139" s="35" t="str">
        <f>IFERROR(_xlfn.XLOOKUP(Table6[[#This Row],[Error Code]],'Basic Data'!$AA:$AA,'Basic Data'!$AB:$AB),"Incorrect Error Code")</f>
        <v>Yaw speed high</v>
      </c>
      <c r="M1139" s="35" t="s">
        <v>266</v>
      </c>
      <c r="N1139" s="264"/>
      <c r="O1139" s="265">
        <v>0.66874999999999996</v>
      </c>
      <c r="P1139" s="265">
        <v>0.66874999999999996</v>
      </c>
      <c r="Q1139" s="266">
        <v>0.6694444444444444</v>
      </c>
      <c r="R1139" s="261">
        <f>IF(Table6[[#This Row],[Work Start TimeStamp]]="","",(Table6[[#This Row],[Work Start TimeStamp]]-Table6[[#This Row],[Fault Start TimeStamp]])*24)</f>
        <v>0</v>
      </c>
      <c r="S1139" s="261">
        <f>(Table6[[#This Row],[Fault Clearance time]]-Table6[[#This Row],[Work Start TimeStamp]])*24</f>
        <v>1.6666666666666607E-2</v>
      </c>
      <c r="T1139" s="261">
        <f>(Table6[[#This Row],[Fault Clearance time]]-Table6[[#This Row],[Fault Start TimeStamp]])*24</f>
        <v>1.6666666666666607E-2</v>
      </c>
      <c r="U1139" s="35" t="s">
        <v>483</v>
      </c>
      <c r="V1139" s="102" t="s">
        <v>268</v>
      </c>
      <c r="W1139" s="267">
        <f>IFERROR(Table6[[#This Row],[Breakdown Time]]*Table6[[#This Row],[Plant Equivalent Weightage]],"")</f>
        <v>6.4102564102563853E-4</v>
      </c>
      <c r="X1139" s="262" t="s">
        <v>269</v>
      </c>
      <c r="Y1139" s="263" t="s">
        <v>126</v>
      </c>
      <c r="Z1139" s="102">
        <v>38012</v>
      </c>
      <c r="AA1139" s="257">
        <f>(Table6[[#This Row],[Paired WTG Generation for loss calculation]]/24)*Table6[[#This Row],[Breakdown Time]]</f>
        <v>26.397222222222126</v>
      </c>
      <c r="AB1139" s="102"/>
      <c r="AC1139" s="35"/>
      <c r="AD1139" s="35"/>
    </row>
    <row r="1140" spans="1:30">
      <c r="A1140" s="102">
        <f t="shared" si="18"/>
        <v>1139</v>
      </c>
      <c r="B1140" s="257">
        <f>YEAR(Table6[[#This Row],[Date]])+IF(MONTH(Table6[[#This Row],[Date]])&gt;=4,1,0)</f>
        <v>2026</v>
      </c>
      <c r="C1140" s="102">
        <f>YEAR(Table6[[#This Row],[Date]])</f>
        <v>2025</v>
      </c>
      <c r="D1140" s="102" t="s">
        <v>265</v>
      </c>
      <c r="E1140" s="258">
        <f>Table6[[#This Row],[Date]]-DAY(Table6[[#This Row],[Date]])+1</f>
        <v>45809</v>
      </c>
      <c r="F1140" s="259">
        <v>45818</v>
      </c>
      <c r="G1140" s="35" t="s">
        <v>129</v>
      </c>
      <c r="H1140" s="35" t="str">
        <f>IFERROR(_xlfn.XLOOKUP(Table6[[#This Row],[Affected WTG]],'Basic Data'!$A:$A,'Basic Data'!$B:$B),"")</f>
        <v>TQGXIIPL</v>
      </c>
      <c r="I1140" s="35" t="str">
        <f>IFERROR(_xlfn.XLOOKUP(Table6[[#This Row],[Affected WTG]],'Basic Data'!$A:$A,'Basic Data'!$C:$C),"")</f>
        <v>GEDA</v>
      </c>
      <c r="J1140" s="260">
        <f>IFERROR(_xlfn.XLOOKUP(Table6[[#This Row],[Affected WTG]],'Basic Data'!$A:$A,'Basic Data'!$E:$E),"")</f>
        <v>3.846153846153845E-2</v>
      </c>
      <c r="K1140" s="102">
        <v>6130</v>
      </c>
      <c r="L1140" s="35" t="str">
        <f>IFERROR(_xlfn.XLOOKUP(Table6[[#This Row],[Error Code]],'Basic Data'!$AA:$AA,'Basic Data'!$AB:$AB),"Incorrect Error Code")</f>
        <v>Yaw speed high</v>
      </c>
      <c r="M1140" s="35" t="s">
        <v>278</v>
      </c>
      <c r="N1140" s="264"/>
      <c r="O1140" s="265">
        <v>0.55625000000000002</v>
      </c>
      <c r="P1140" s="265">
        <v>0.55625000000000002</v>
      </c>
      <c r="Q1140" s="266">
        <v>0.56041666666666667</v>
      </c>
      <c r="R1140" s="261">
        <f>IF(Table6[[#This Row],[Work Start TimeStamp]]="","",(Table6[[#This Row],[Work Start TimeStamp]]-Table6[[#This Row],[Fault Start TimeStamp]])*24)</f>
        <v>0</v>
      </c>
      <c r="S1140" s="261">
        <f>(Table6[[#This Row],[Fault Clearance time]]-Table6[[#This Row],[Work Start TimeStamp]])*24</f>
        <v>9.9999999999999645E-2</v>
      </c>
      <c r="T1140" s="261">
        <f>(Table6[[#This Row],[Fault Clearance time]]-Table6[[#This Row],[Fault Start TimeStamp]])*24</f>
        <v>9.9999999999999645E-2</v>
      </c>
      <c r="U1140" s="35" t="s">
        <v>277</v>
      </c>
      <c r="V1140" s="102" t="s">
        <v>268</v>
      </c>
      <c r="W1140" s="267">
        <f>IFERROR(Table6[[#This Row],[Breakdown Time]]*Table6[[#This Row],[Plant Equivalent Weightage]],"")</f>
        <v>3.8461538461538312E-3</v>
      </c>
      <c r="X1140" s="262" t="s">
        <v>269</v>
      </c>
      <c r="Y1140" s="263" t="s">
        <v>124</v>
      </c>
      <c r="Z1140" s="102">
        <v>24662</v>
      </c>
      <c r="AA1140" s="257">
        <f>(Table6[[#This Row],[Paired WTG Generation for loss calculation]]/24)*Table6[[#This Row],[Breakdown Time]]</f>
        <v>102.75833333333296</v>
      </c>
      <c r="AB1140" s="102"/>
      <c r="AC1140" s="35"/>
      <c r="AD1140" s="35"/>
    </row>
    <row r="1141" spans="1:30">
      <c r="A1141" s="102">
        <f t="shared" si="18"/>
        <v>1140</v>
      </c>
      <c r="B1141" s="257">
        <f>YEAR(Table6[[#This Row],[Date]])+IF(MONTH(Table6[[#This Row],[Date]])&gt;=4,1,0)</f>
        <v>2026</v>
      </c>
      <c r="C1141" s="102">
        <f>YEAR(Table6[[#This Row],[Date]])</f>
        <v>2025</v>
      </c>
      <c r="D1141" s="102" t="s">
        <v>265</v>
      </c>
      <c r="E1141" s="258">
        <f>Table6[[#This Row],[Date]]-DAY(Table6[[#This Row],[Date]])+1</f>
        <v>45809</v>
      </c>
      <c r="F1141" s="259">
        <v>45818</v>
      </c>
      <c r="G1141" s="35" t="s">
        <v>131</v>
      </c>
      <c r="H1141" s="35" t="str">
        <f>IFERROR(_xlfn.XLOOKUP(Table6[[#This Row],[Affected WTG]],'Basic Data'!$A:$A,'Basic Data'!$B:$B),"")</f>
        <v>TQGXIIPL</v>
      </c>
      <c r="I1141" s="35" t="str">
        <f>IFERROR(_xlfn.XLOOKUP(Table6[[#This Row],[Affected WTG]],'Basic Data'!$A:$A,'Basic Data'!$C:$C),"")</f>
        <v>GEDA</v>
      </c>
      <c r="J1141" s="260">
        <f>IFERROR(_xlfn.XLOOKUP(Table6[[#This Row],[Affected WTG]],'Basic Data'!$A:$A,'Basic Data'!$E:$E),"")</f>
        <v>3.846153846153845E-2</v>
      </c>
      <c r="K1141" s="102">
        <v>4960</v>
      </c>
      <c r="L1141" s="35" t="str">
        <f>IFERROR(_xlfn.XLOOKUP(Table6[[#This Row],[Error Code]],'Basic Data'!$AA:$AA,'Basic Data'!$AB:$AB),"Incorrect Error Code")</f>
        <v>Tower oscillation YF</v>
      </c>
      <c r="M1141" s="35" t="s">
        <v>278</v>
      </c>
      <c r="N1141" s="264"/>
      <c r="O1141" s="265">
        <v>0.43819444444444444</v>
      </c>
      <c r="P1141" s="265">
        <v>0.43819444444444444</v>
      </c>
      <c r="Q1141" s="266">
        <v>0.44930555555555557</v>
      </c>
      <c r="R1141" s="261">
        <f>IF(Table6[[#This Row],[Work Start TimeStamp]]="","",(Table6[[#This Row],[Work Start TimeStamp]]-Table6[[#This Row],[Fault Start TimeStamp]])*24)</f>
        <v>0</v>
      </c>
      <c r="S1141" s="261">
        <f>(Table6[[#This Row],[Fault Clearance time]]-Table6[[#This Row],[Work Start TimeStamp]])*24</f>
        <v>0.26666666666666705</v>
      </c>
      <c r="T1141" s="261">
        <f>(Table6[[#This Row],[Fault Clearance time]]-Table6[[#This Row],[Fault Start TimeStamp]])*24</f>
        <v>0.26666666666666705</v>
      </c>
      <c r="U1141" s="35" t="s">
        <v>277</v>
      </c>
      <c r="V1141" s="102" t="s">
        <v>268</v>
      </c>
      <c r="W1141" s="267">
        <f>IFERROR(Table6[[#This Row],[Breakdown Time]]*Table6[[#This Row],[Plant Equivalent Weightage]],"")</f>
        <v>1.0256410256410269E-2</v>
      </c>
      <c r="X1141" s="262" t="s">
        <v>269</v>
      </c>
      <c r="Y1141" s="263" t="s">
        <v>136</v>
      </c>
      <c r="Z1141" s="102">
        <v>47621</v>
      </c>
      <c r="AA1141" s="257">
        <f>(Table6[[#This Row],[Paired WTG Generation for loss calculation]]/24)*Table6[[#This Row],[Breakdown Time]]</f>
        <v>529.12222222222294</v>
      </c>
      <c r="AB1141" s="102"/>
      <c r="AC1141" s="35"/>
      <c r="AD1141" s="35"/>
    </row>
    <row r="1142" spans="1:30">
      <c r="A1142" s="102">
        <f t="shared" si="18"/>
        <v>1141</v>
      </c>
      <c r="B1142" s="257">
        <f>YEAR(Table6[[#This Row],[Date]])+IF(MONTH(Table6[[#This Row],[Date]])&gt;=4,1,0)</f>
        <v>2026</v>
      </c>
      <c r="C1142" s="102">
        <f>YEAR(Table6[[#This Row],[Date]])</f>
        <v>2025</v>
      </c>
      <c r="D1142" s="102" t="s">
        <v>265</v>
      </c>
      <c r="E1142" s="258">
        <f>Table6[[#This Row],[Date]]-DAY(Table6[[#This Row],[Date]])+1</f>
        <v>45809</v>
      </c>
      <c r="F1142" s="259">
        <v>45818</v>
      </c>
      <c r="G1142" s="35" t="s">
        <v>133</v>
      </c>
      <c r="H1142" s="35" t="str">
        <f>IFERROR(_xlfn.XLOOKUP(Table6[[#This Row],[Affected WTG]],'Basic Data'!$A:$A,'Basic Data'!$B:$B),"")</f>
        <v>TQGXIIPL</v>
      </c>
      <c r="I1142" s="35" t="str">
        <f>IFERROR(_xlfn.XLOOKUP(Table6[[#This Row],[Affected WTG]],'Basic Data'!$A:$A,'Basic Data'!$C:$C),"")</f>
        <v>GEDA</v>
      </c>
      <c r="J1142" s="260">
        <f>IFERROR(_xlfn.XLOOKUP(Table6[[#This Row],[Affected WTG]],'Basic Data'!$A:$A,'Basic Data'!$E:$E),"")</f>
        <v>3.846153846153845E-2</v>
      </c>
      <c r="K1142" s="102">
        <v>55</v>
      </c>
      <c r="L1142" s="35" t="str">
        <f>IFERROR(_xlfn.XLOOKUP(Table6[[#This Row],[Error Code]],'Basic Data'!$AA:$AA,'Basic Data'!$AB:$AB),"Incorrect Error Code")</f>
        <v>WTG shut down</v>
      </c>
      <c r="M1142" s="35" t="s">
        <v>504</v>
      </c>
      <c r="N1142" s="264"/>
      <c r="O1142" s="265">
        <v>0.43680555555555556</v>
      </c>
      <c r="P1142" s="265">
        <v>0.43680555555555556</v>
      </c>
      <c r="Q1142" s="266">
        <v>0.46041666666666664</v>
      </c>
      <c r="R1142" s="261">
        <f>IF(Table6[[#This Row],[Work Start TimeStamp]]="","",(Table6[[#This Row],[Work Start TimeStamp]]-Table6[[#This Row],[Fault Start TimeStamp]])*24)</f>
        <v>0</v>
      </c>
      <c r="S1142" s="261">
        <f>(Table6[[#This Row],[Fault Clearance time]]-Table6[[#This Row],[Work Start TimeStamp]])*24</f>
        <v>0.56666666666666599</v>
      </c>
      <c r="T1142" s="261">
        <f>(Table6[[#This Row],[Fault Clearance time]]-Table6[[#This Row],[Fault Start TimeStamp]])*24</f>
        <v>0.56666666666666599</v>
      </c>
      <c r="U1142" s="35" t="s">
        <v>511</v>
      </c>
      <c r="V1142" s="102" t="s">
        <v>268</v>
      </c>
      <c r="W1142" s="267">
        <f>IFERROR(Table6[[#This Row],[Breakdown Time]]*Table6[[#This Row],[Plant Equivalent Weightage]],"")</f>
        <v>2.1794871794871763E-2</v>
      </c>
      <c r="X1142" s="262" t="s">
        <v>296</v>
      </c>
      <c r="Y1142" s="263" t="s">
        <v>121</v>
      </c>
      <c r="Z1142" s="102">
        <v>44939</v>
      </c>
      <c r="AA1142" s="257">
        <f>(Table6[[#This Row],[Paired WTG Generation for loss calculation]]/24)*Table6[[#This Row],[Breakdown Time]]</f>
        <v>1061.0597222222209</v>
      </c>
      <c r="AB1142" s="102"/>
      <c r="AC1142" s="35"/>
      <c r="AD1142" s="35"/>
    </row>
    <row r="1143" spans="1:30">
      <c r="A1143" s="102">
        <f t="shared" si="18"/>
        <v>1142</v>
      </c>
      <c r="B1143" s="257">
        <f>YEAR(Table6[[#This Row],[Date]])+IF(MONTH(Table6[[#This Row],[Date]])&gt;=4,1,0)</f>
        <v>2026</v>
      </c>
      <c r="C1143" s="102">
        <f>YEAR(Table6[[#This Row],[Date]])</f>
        <v>2025</v>
      </c>
      <c r="D1143" s="102" t="s">
        <v>265</v>
      </c>
      <c r="E1143" s="258">
        <f>Table6[[#This Row],[Date]]-DAY(Table6[[#This Row],[Date]])+1</f>
        <v>45809</v>
      </c>
      <c r="F1143" s="259">
        <v>45818</v>
      </c>
      <c r="G1143" s="35" t="s">
        <v>133</v>
      </c>
      <c r="H1143" s="35" t="str">
        <f>IFERROR(_xlfn.XLOOKUP(Table6[[#This Row],[Affected WTG]],'Basic Data'!$A:$A,'Basic Data'!$B:$B),"")</f>
        <v>TQGXIIPL</v>
      </c>
      <c r="I1143" s="35" t="str">
        <f>IFERROR(_xlfn.XLOOKUP(Table6[[#This Row],[Affected WTG]],'Basic Data'!$A:$A,'Basic Data'!$C:$C),"")</f>
        <v>GEDA</v>
      </c>
      <c r="J1143" s="260">
        <f>IFERROR(_xlfn.XLOOKUP(Table6[[#This Row],[Affected WTG]],'Basic Data'!$A:$A,'Basic Data'!$E:$E),"")</f>
        <v>3.846153846153845E-2</v>
      </c>
      <c r="K1143" s="102">
        <v>55</v>
      </c>
      <c r="L1143" s="35" t="str">
        <f>IFERROR(_xlfn.XLOOKUP(Table6[[#This Row],[Error Code]],'Basic Data'!$AA:$AA,'Basic Data'!$AB:$AB),"Incorrect Error Code")</f>
        <v>WTG shut down</v>
      </c>
      <c r="M1143" s="35" t="s">
        <v>504</v>
      </c>
      <c r="N1143" s="264"/>
      <c r="O1143" s="265">
        <v>0.51249999999999996</v>
      </c>
      <c r="P1143" s="265">
        <v>0.51249999999999996</v>
      </c>
      <c r="Q1143" s="266">
        <v>0.52986111111111112</v>
      </c>
      <c r="R1143" s="261">
        <f>IF(Table6[[#This Row],[Work Start TimeStamp]]="","",(Table6[[#This Row],[Work Start TimeStamp]]-Table6[[#This Row],[Fault Start TimeStamp]])*24)</f>
        <v>0</v>
      </c>
      <c r="S1143" s="261">
        <f>(Table6[[#This Row],[Fault Clearance time]]-Table6[[#This Row],[Work Start TimeStamp]])*24</f>
        <v>0.41666666666666785</v>
      </c>
      <c r="T1143" s="261">
        <f>(Table6[[#This Row],[Fault Clearance time]]-Table6[[#This Row],[Fault Start TimeStamp]])*24</f>
        <v>0.41666666666666785</v>
      </c>
      <c r="U1143" s="35" t="s">
        <v>511</v>
      </c>
      <c r="V1143" s="102" t="s">
        <v>268</v>
      </c>
      <c r="W1143" s="267">
        <f>IFERROR(Table6[[#This Row],[Breakdown Time]]*Table6[[#This Row],[Plant Equivalent Weightage]],"")</f>
        <v>1.6025641025641066E-2</v>
      </c>
      <c r="X1143" s="262" t="s">
        <v>296</v>
      </c>
      <c r="Y1143" s="263" t="s">
        <v>121</v>
      </c>
      <c r="Z1143" s="102">
        <v>44939</v>
      </c>
      <c r="AA1143" s="257">
        <f>(Table6[[#This Row],[Paired WTG Generation for loss calculation]]/24)*Table6[[#This Row],[Breakdown Time]]</f>
        <v>780.19097222222445</v>
      </c>
      <c r="AB1143" s="102"/>
      <c r="AC1143" s="35"/>
      <c r="AD1143" s="35"/>
    </row>
    <row r="1144" spans="1:30">
      <c r="A1144" s="102">
        <f t="shared" si="18"/>
        <v>1143</v>
      </c>
      <c r="B1144" s="257">
        <f>YEAR(Table6[[#This Row],[Date]])+IF(MONTH(Table6[[#This Row],[Date]])&gt;=4,1,0)</f>
        <v>2026</v>
      </c>
      <c r="C1144" s="102">
        <f>YEAR(Table6[[#This Row],[Date]])</f>
        <v>2025</v>
      </c>
      <c r="D1144" s="102" t="s">
        <v>265</v>
      </c>
      <c r="E1144" s="258">
        <f>Table6[[#This Row],[Date]]-DAY(Table6[[#This Row],[Date]])+1</f>
        <v>45809</v>
      </c>
      <c r="F1144" s="259">
        <v>45818</v>
      </c>
      <c r="G1144" s="35" t="s">
        <v>138</v>
      </c>
      <c r="H1144" s="35" t="str">
        <f>IFERROR(_xlfn.XLOOKUP(Table6[[#This Row],[Affected WTG]],'Basic Data'!$A:$A,'Basic Data'!$B:$B),"")</f>
        <v>TQGXIIPL</v>
      </c>
      <c r="I1144" s="35" t="str">
        <f>IFERROR(_xlfn.XLOOKUP(Table6[[#This Row],[Affected WTG]],'Basic Data'!$A:$A,'Basic Data'!$C:$C),"")</f>
        <v>GEDA</v>
      </c>
      <c r="J1144" s="260">
        <f>IFERROR(_xlfn.XLOOKUP(Table6[[#This Row],[Affected WTG]],'Basic Data'!$A:$A,'Basic Data'!$E:$E),"")</f>
        <v>3.846153846153845E-2</v>
      </c>
      <c r="K1144" s="102">
        <v>6130</v>
      </c>
      <c r="L1144" s="35" t="str">
        <f>IFERROR(_xlfn.XLOOKUP(Table6[[#This Row],[Error Code]],'Basic Data'!$AA:$AA,'Basic Data'!$AB:$AB),"Incorrect Error Code")</f>
        <v>Yaw speed high</v>
      </c>
      <c r="M1144" s="35" t="s">
        <v>266</v>
      </c>
      <c r="N1144" s="264"/>
      <c r="O1144" s="265">
        <v>0.69861111111111107</v>
      </c>
      <c r="P1144" s="265">
        <v>0.69861111111111107</v>
      </c>
      <c r="Q1144" s="266">
        <v>0.70138888888888884</v>
      </c>
      <c r="R1144" s="261">
        <f>IF(Table6[[#This Row],[Work Start TimeStamp]]="","",(Table6[[#This Row],[Work Start TimeStamp]]-Table6[[#This Row],[Fault Start TimeStamp]])*24)</f>
        <v>0</v>
      </c>
      <c r="S1144" s="261">
        <f>(Table6[[#This Row],[Fault Clearance time]]-Table6[[#This Row],[Work Start TimeStamp]])*24</f>
        <v>6.666666666666643E-2</v>
      </c>
      <c r="T1144" s="261">
        <f>(Table6[[#This Row],[Fault Clearance time]]-Table6[[#This Row],[Fault Start TimeStamp]])*24</f>
        <v>6.666666666666643E-2</v>
      </c>
      <c r="U1144" s="35" t="s">
        <v>483</v>
      </c>
      <c r="V1144" s="102" t="s">
        <v>268</v>
      </c>
      <c r="W1144" s="267">
        <f>IFERROR(Table6[[#This Row],[Breakdown Time]]*Table6[[#This Row],[Plant Equivalent Weightage]],"")</f>
        <v>2.5641025641025541E-3</v>
      </c>
      <c r="X1144" s="262" t="s">
        <v>269</v>
      </c>
      <c r="Y1144" s="263" t="s">
        <v>134</v>
      </c>
      <c r="Z1144" s="102">
        <v>41819</v>
      </c>
      <c r="AA1144" s="257">
        <f>(Table6[[#This Row],[Paired WTG Generation for loss calculation]]/24)*Table6[[#This Row],[Breakdown Time]]</f>
        <v>116.16388888888847</v>
      </c>
      <c r="AB1144" s="102"/>
      <c r="AC1144" s="35"/>
      <c r="AD1144" s="35"/>
    </row>
    <row r="1145" spans="1:30">
      <c r="A1145" s="102">
        <f t="shared" si="18"/>
        <v>1144</v>
      </c>
      <c r="B1145" s="257">
        <f>YEAR(Table6[[#This Row],[Date]])+IF(MONTH(Table6[[#This Row],[Date]])&gt;=4,1,0)</f>
        <v>2026</v>
      </c>
      <c r="C1145" s="102">
        <f>YEAR(Table6[[#This Row],[Date]])</f>
        <v>2025</v>
      </c>
      <c r="D1145" s="102" t="s">
        <v>265</v>
      </c>
      <c r="E1145" s="258">
        <f>Table6[[#This Row],[Date]]-DAY(Table6[[#This Row],[Date]])+1</f>
        <v>45809</v>
      </c>
      <c r="F1145" s="259">
        <v>45818</v>
      </c>
      <c r="G1145" s="35" t="s">
        <v>139</v>
      </c>
      <c r="H1145" s="35" t="str">
        <f>IFERROR(_xlfn.XLOOKUP(Table6[[#This Row],[Affected WTG]],'Basic Data'!$A:$A,'Basic Data'!$B:$B),"")</f>
        <v>TQGXIIPL</v>
      </c>
      <c r="I1145" s="35" t="str">
        <f>IFERROR(_xlfn.XLOOKUP(Table6[[#This Row],[Affected WTG]],'Basic Data'!$A:$A,'Basic Data'!$C:$C),"")</f>
        <v>GEDA</v>
      </c>
      <c r="J1145" s="260">
        <f>IFERROR(_xlfn.XLOOKUP(Table6[[#This Row],[Affected WTG]],'Basic Data'!$A:$A,'Basic Data'!$E:$E),"")</f>
        <v>3.846153846153845E-2</v>
      </c>
      <c r="K1145" s="102">
        <v>4960</v>
      </c>
      <c r="L1145" s="35" t="str">
        <f>IFERROR(_xlfn.XLOOKUP(Table6[[#This Row],[Error Code]],'Basic Data'!$AA:$AA,'Basic Data'!$AB:$AB),"Incorrect Error Code")</f>
        <v>Tower oscillation YF</v>
      </c>
      <c r="M1145" s="35" t="s">
        <v>278</v>
      </c>
      <c r="N1145" s="264"/>
      <c r="O1145" s="265">
        <v>0.83263888888888893</v>
      </c>
      <c r="P1145" s="265">
        <v>0.83263888888888893</v>
      </c>
      <c r="Q1145" s="266">
        <v>0.84375</v>
      </c>
      <c r="R1145" s="261">
        <f>IF(Table6[[#This Row],[Work Start TimeStamp]]="","",(Table6[[#This Row],[Work Start TimeStamp]]-Table6[[#This Row],[Fault Start TimeStamp]])*24)</f>
        <v>0</v>
      </c>
      <c r="S1145" s="261">
        <f>(Table6[[#This Row],[Fault Clearance time]]-Table6[[#This Row],[Work Start TimeStamp]])*24</f>
        <v>0.26666666666666572</v>
      </c>
      <c r="T1145" s="261">
        <f>(Table6[[#This Row],[Fault Clearance time]]-Table6[[#This Row],[Fault Start TimeStamp]])*24</f>
        <v>0.26666666666666572</v>
      </c>
      <c r="U1145" s="35" t="s">
        <v>277</v>
      </c>
      <c r="V1145" s="102" t="s">
        <v>268</v>
      </c>
      <c r="W1145" s="267">
        <f>IFERROR(Table6[[#This Row],[Breakdown Time]]*Table6[[#This Row],[Plant Equivalent Weightage]],"")</f>
        <v>1.0256410256410217E-2</v>
      </c>
      <c r="X1145" s="262" t="s">
        <v>269</v>
      </c>
      <c r="Y1145" s="263" t="s">
        <v>115</v>
      </c>
      <c r="Z1145" s="102">
        <v>31902</v>
      </c>
      <c r="AA1145" s="257">
        <f>(Table6[[#This Row],[Paired WTG Generation for loss calculation]]/24)*Table6[[#This Row],[Breakdown Time]]</f>
        <v>354.46666666666539</v>
      </c>
      <c r="AB1145" s="102"/>
      <c r="AC1145" s="35"/>
      <c r="AD1145" s="35"/>
    </row>
    <row r="1146" spans="1:30">
      <c r="A1146" s="102">
        <f t="shared" si="18"/>
        <v>1145</v>
      </c>
      <c r="B1146" s="257">
        <f>YEAR(Table6[[#This Row],[Date]])+IF(MONTH(Table6[[#This Row],[Date]])&gt;=4,1,0)</f>
        <v>2026</v>
      </c>
      <c r="C1146" s="102">
        <f>YEAR(Table6[[#This Row],[Date]])</f>
        <v>2025</v>
      </c>
      <c r="D1146" s="102" t="s">
        <v>265</v>
      </c>
      <c r="E1146" s="258">
        <f>Table6[[#This Row],[Date]]-DAY(Table6[[#This Row],[Date]])+1</f>
        <v>45809</v>
      </c>
      <c r="F1146" s="259">
        <v>45819</v>
      </c>
      <c r="G1146" s="35" t="s">
        <v>115</v>
      </c>
      <c r="H1146" s="35" t="str">
        <f>IFERROR(_xlfn.XLOOKUP(Table6[[#This Row],[Affected WTG]],'Basic Data'!$A:$A,'Basic Data'!$B:$B),"")</f>
        <v>TQGXIIPL</v>
      </c>
      <c r="I1146" s="35" t="str">
        <f>IFERROR(_xlfn.XLOOKUP(Table6[[#This Row],[Affected WTG]],'Basic Data'!$A:$A,'Basic Data'!$C:$C),"")</f>
        <v>GEDA</v>
      </c>
      <c r="J1146" s="260">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291</v>
      </c>
      <c r="N1146" s="264"/>
      <c r="O1146" s="265">
        <v>0</v>
      </c>
      <c r="P1146" s="265">
        <v>0</v>
      </c>
      <c r="Q1146" s="266">
        <v>0.55069444444444449</v>
      </c>
      <c r="R1146" s="261">
        <f>IF(Table6[[#This Row],[Work Start TimeStamp]]="","",(Table6[[#This Row],[Work Start TimeStamp]]-Table6[[#This Row],[Fault Start TimeStamp]])*24)</f>
        <v>0</v>
      </c>
      <c r="S1146" s="261">
        <f>(Table6[[#This Row],[Fault Clearance time]]-Table6[[#This Row],[Work Start TimeStamp]])*24</f>
        <v>13.216666666666669</v>
      </c>
      <c r="T1146" s="261">
        <f>(Table6[[#This Row],[Fault Clearance time]]-Table6[[#This Row],[Fault Start TimeStamp]])*24</f>
        <v>13.216666666666669</v>
      </c>
      <c r="U1146" s="35" t="s">
        <v>513</v>
      </c>
      <c r="V1146" s="102" t="s">
        <v>268</v>
      </c>
      <c r="W1146" s="267">
        <f>IFERROR(Table6[[#This Row],[Breakdown Time]]*Table6[[#This Row],[Plant Equivalent Weightage]],"")</f>
        <v>0.5083333333333333</v>
      </c>
      <c r="X1146" s="262" t="s">
        <v>296</v>
      </c>
      <c r="Y1146" s="263" t="s">
        <v>140</v>
      </c>
      <c r="Z1146" s="102">
        <v>31821</v>
      </c>
      <c r="AA1146" s="257">
        <f>(Table6[[#This Row],[Paired WTG Generation for loss calculation]]/24)*Table6[[#This Row],[Breakdown Time]]</f>
        <v>17523.647916666669</v>
      </c>
      <c r="AB1146" s="102"/>
      <c r="AC1146" s="35"/>
      <c r="AD1146" s="35"/>
    </row>
    <row r="1147" spans="1:30">
      <c r="A1147" s="102">
        <f t="shared" si="18"/>
        <v>1146</v>
      </c>
      <c r="B1147" s="257">
        <f>YEAR(Table6[[#This Row],[Date]])+IF(MONTH(Table6[[#This Row],[Date]])&gt;=4,1,0)</f>
        <v>2026</v>
      </c>
      <c r="C1147" s="102">
        <f>YEAR(Table6[[#This Row],[Date]])</f>
        <v>2025</v>
      </c>
      <c r="D1147" s="102" t="s">
        <v>265</v>
      </c>
      <c r="E1147" s="258">
        <f>Table6[[#This Row],[Date]]-DAY(Table6[[#This Row],[Date]])+1</f>
        <v>45809</v>
      </c>
      <c r="F1147" s="259">
        <v>45819</v>
      </c>
      <c r="G1147" s="35" t="s">
        <v>115</v>
      </c>
      <c r="H1147" s="35" t="str">
        <f>IFERROR(_xlfn.XLOOKUP(Table6[[#This Row],[Affected WTG]],'Basic Data'!$A:$A,'Basic Data'!$B:$B),"")</f>
        <v>TQGXIIPL</v>
      </c>
      <c r="I1147" s="35" t="str">
        <f>IFERROR(_xlfn.XLOOKUP(Table6[[#This Row],[Affected WTG]],'Basic Data'!$A:$A,'Basic Data'!$C:$C),"")</f>
        <v>GEDA</v>
      </c>
      <c r="J1147" s="260">
        <f>IFERROR(_xlfn.XLOOKUP(Table6[[#This Row],[Affected WTG]],'Basic Data'!$A:$A,'Basic Data'!$E:$E),"")</f>
        <v>3.846153846153845E-2</v>
      </c>
      <c r="K1147" s="102">
        <v>55</v>
      </c>
      <c r="L1147" s="35" t="str">
        <f>IFERROR(_xlfn.XLOOKUP(Table6[[#This Row],[Error Code]],'Basic Data'!$AA:$AA,'Basic Data'!$AB:$AB),"Incorrect Error Code")</f>
        <v>WTG shut down</v>
      </c>
      <c r="M1147" s="35" t="s">
        <v>266</v>
      </c>
      <c r="N1147" s="264"/>
      <c r="O1147" s="265">
        <v>0.65555555555555556</v>
      </c>
      <c r="P1147" s="265">
        <v>0.65555555555555556</v>
      </c>
      <c r="Q1147" s="266">
        <v>0.65972222222222221</v>
      </c>
      <c r="R1147" s="261">
        <f>IF(Table6[[#This Row],[Work Start TimeStamp]]="","",(Table6[[#This Row],[Work Start TimeStamp]]-Table6[[#This Row],[Fault Start TimeStamp]])*24)</f>
        <v>0</v>
      </c>
      <c r="S1147" s="261">
        <f>(Table6[[#This Row],[Fault Clearance time]]-Table6[[#This Row],[Work Start TimeStamp]])*24</f>
        <v>9.9999999999999645E-2</v>
      </c>
      <c r="T1147" s="261">
        <f>(Table6[[#This Row],[Fault Clearance time]]-Table6[[#This Row],[Fault Start TimeStamp]])*24</f>
        <v>9.9999999999999645E-2</v>
      </c>
      <c r="U1147" s="35" t="s">
        <v>514</v>
      </c>
      <c r="V1147" s="102" t="s">
        <v>268</v>
      </c>
      <c r="W1147" s="267">
        <f>IFERROR(Table6[[#This Row],[Breakdown Time]]*Table6[[#This Row],[Plant Equivalent Weightage]],"")</f>
        <v>3.8461538461538312E-3</v>
      </c>
      <c r="X1147" s="262" t="s">
        <v>296</v>
      </c>
      <c r="Y1147" s="263" t="s">
        <v>140</v>
      </c>
      <c r="Z1147" s="102">
        <v>31821</v>
      </c>
      <c r="AA1147" s="257">
        <f>(Table6[[#This Row],[Paired WTG Generation for loss calculation]]/24)*Table6[[#This Row],[Breakdown Time]]</f>
        <v>132.58749999999952</v>
      </c>
      <c r="AB1147" s="102"/>
      <c r="AC1147" s="35"/>
      <c r="AD1147" s="35"/>
    </row>
    <row r="1148" spans="1:30">
      <c r="A1148" s="102">
        <f t="shared" si="18"/>
        <v>1147</v>
      </c>
      <c r="B1148" s="257">
        <f>YEAR(Table6[[#This Row],[Date]])+IF(MONTH(Table6[[#This Row],[Date]])&gt;=4,1,0)</f>
        <v>2026</v>
      </c>
      <c r="C1148" s="102">
        <f>YEAR(Table6[[#This Row],[Date]])</f>
        <v>2025</v>
      </c>
      <c r="D1148" s="102" t="s">
        <v>265</v>
      </c>
      <c r="E1148" s="258">
        <f>Table6[[#This Row],[Date]]-DAY(Table6[[#This Row],[Date]])+1</f>
        <v>45809</v>
      </c>
      <c r="F1148" s="259">
        <v>45819</v>
      </c>
      <c r="G1148" s="35" t="s">
        <v>116</v>
      </c>
      <c r="H1148" s="35" t="str">
        <f>IFERROR(_xlfn.XLOOKUP(Table6[[#This Row],[Affected WTG]],'Basic Data'!$A:$A,'Basic Data'!$B:$B),"")</f>
        <v>TQGXIIPL</v>
      </c>
      <c r="I1148" s="35" t="str">
        <f>IFERROR(_xlfn.XLOOKUP(Table6[[#This Row],[Affected WTG]],'Basic Data'!$A:$A,'Basic Data'!$C:$C),"")</f>
        <v>GEDA</v>
      </c>
      <c r="J1148" s="260">
        <f>IFERROR(_xlfn.XLOOKUP(Table6[[#This Row],[Affected WTG]],'Basic Data'!$A:$A,'Basic Data'!$E:$E),"")</f>
        <v>3.846153846153845E-2</v>
      </c>
      <c r="K1148" s="102">
        <v>55</v>
      </c>
      <c r="L1148" s="35" t="str">
        <f>IFERROR(_xlfn.XLOOKUP(Table6[[#This Row],[Error Code]],'Basic Data'!$AA:$AA,'Basic Data'!$AB:$AB),"Incorrect Error Code")</f>
        <v>WTG shut down</v>
      </c>
      <c r="M1148" s="35" t="s">
        <v>266</v>
      </c>
      <c r="N1148" s="264"/>
      <c r="O1148" s="265">
        <v>0.64166666666666672</v>
      </c>
      <c r="P1148" s="265">
        <v>0.64166666666666672</v>
      </c>
      <c r="Q1148" s="266">
        <v>0.65138888888888891</v>
      </c>
      <c r="R1148" s="261">
        <f>IF(Table6[[#This Row],[Work Start TimeStamp]]="","",(Table6[[#This Row],[Work Start TimeStamp]]-Table6[[#This Row],[Fault Start TimeStamp]])*24)</f>
        <v>0</v>
      </c>
      <c r="S1148" s="261">
        <f>(Table6[[#This Row],[Fault Clearance time]]-Table6[[#This Row],[Work Start TimeStamp]])*24</f>
        <v>0.2333333333333325</v>
      </c>
      <c r="T1148" s="261">
        <f>(Table6[[#This Row],[Fault Clearance time]]-Table6[[#This Row],[Fault Start TimeStamp]])*24</f>
        <v>0.2333333333333325</v>
      </c>
      <c r="U1148" s="35" t="s">
        <v>514</v>
      </c>
      <c r="V1148" s="102" t="s">
        <v>268</v>
      </c>
      <c r="W1148" s="267">
        <f>IFERROR(Table6[[#This Row],[Breakdown Time]]*Table6[[#This Row],[Plant Equivalent Weightage]],"")</f>
        <v>8.974358974358939E-3</v>
      </c>
      <c r="X1148" s="262" t="s">
        <v>296</v>
      </c>
      <c r="Y1148" s="263" t="s">
        <v>119</v>
      </c>
      <c r="Z1148" s="102">
        <v>36794</v>
      </c>
      <c r="AA1148" s="257">
        <f>(Table6[[#This Row],[Paired WTG Generation for loss calculation]]/24)*Table6[[#This Row],[Breakdown Time]]</f>
        <v>357.71944444444318</v>
      </c>
      <c r="AB1148" s="102"/>
      <c r="AC1148" s="35"/>
      <c r="AD1148" s="35"/>
    </row>
    <row r="1149" spans="1:30">
      <c r="A1149" s="102">
        <f t="shared" si="18"/>
        <v>1148</v>
      </c>
      <c r="B1149" s="257">
        <f>YEAR(Table6[[#This Row],[Date]])+IF(MONTH(Table6[[#This Row],[Date]])&gt;=4,1,0)</f>
        <v>2026</v>
      </c>
      <c r="C1149" s="102">
        <f>YEAR(Table6[[#This Row],[Date]])</f>
        <v>2025</v>
      </c>
      <c r="D1149" s="102" t="s">
        <v>265</v>
      </c>
      <c r="E1149" s="258">
        <f>Table6[[#This Row],[Date]]-DAY(Table6[[#This Row],[Date]])+1</f>
        <v>45809</v>
      </c>
      <c r="F1149" s="259">
        <v>45819</v>
      </c>
      <c r="G1149" s="35" t="s">
        <v>117</v>
      </c>
      <c r="H1149" s="35" t="str">
        <f>IFERROR(_xlfn.XLOOKUP(Table6[[#This Row],[Affected WTG]],'Basic Data'!$A:$A,'Basic Data'!$B:$B),"")</f>
        <v>TQGXIIPL</v>
      </c>
      <c r="I1149" s="35" t="str">
        <f>IFERROR(_xlfn.XLOOKUP(Table6[[#This Row],[Affected WTG]],'Basic Data'!$A:$A,'Basic Data'!$C:$C),"")</f>
        <v>GEDA</v>
      </c>
      <c r="J1149" s="260">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266</v>
      </c>
      <c r="N1149" s="264"/>
      <c r="O1149" s="265">
        <v>0.28194444444444444</v>
      </c>
      <c r="P1149" s="265">
        <v>0.28194444444444444</v>
      </c>
      <c r="Q1149" s="266">
        <v>0.28472222222222221</v>
      </c>
      <c r="R1149" s="261">
        <f>IF(Table6[[#This Row],[Work Start TimeStamp]]="","",(Table6[[#This Row],[Work Start TimeStamp]]-Table6[[#This Row],[Fault Start TimeStamp]])*24)</f>
        <v>0</v>
      </c>
      <c r="S1149" s="261">
        <f>(Table6[[#This Row],[Fault Clearance time]]-Table6[[#This Row],[Work Start TimeStamp]])*24</f>
        <v>6.666666666666643E-2</v>
      </c>
      <c r="T1149" s="261">
        <f>(Table6[[#This Row],[Fault Clearance time]]-Table6[[#This Row],[Fault Start TimeStamp]])*24</f>
        <v>6.666666666666643E-2</v>
      </c>
      <c r="U1149" s="35" t="s">
        <v>515</v>
      </c>
      <c r="V1149" s="102" t="s">
        <v>268</v>
      </c>
      <c r="W1149" s="267">
        <f>IFERROR(Table6[[#This Row],[Breakdown Time]]*Table6[[#This Row],[Plant Equivalent Weightage]],"")</f>
        <v>2.5641025641025541E-3</v>
      </c>
      <c r="X1149" s="262" t="s">
        <v>269</v>
      </c>
      <c r="Y1149" s="263" t="s">
        <v>123</v>
      </c>
      <c r="Z1149" s="102">
        <v>31584</v>
      </c>
      <c r="AA1149" s="257">
        <f>(Table6[[#This Row],[Paired WTG Generation for loss calculation]]/24)*Table6[[#This Row],[Breakdown Time]]</f>
        <v>87.733333333333022</v>
      </c>
      <c r="AB1149" s="102"/>
      <c r="AC1149" s="35"/>
      <c r="AD1149" s="35"/>
    </row>
    <row r="1150" spans="1:30">
      <c r="A1150" s="102">
        <f t="shared" si="18"/>
        <v>1149</v>
      </c>
      <c r="B1150" s="257">
        <f>YEAR(Table6[[#This Row],[Date]])+IF(MONTH(Table6[[#This Row],[Date]])&gt;=4,1,0)</f>
        <v>2026</v>
      </c>
      <c r="C1150" s="102">
        <f>YEAR(Table6[[#This Row],[Date]])</f>
        <v>2025</v>
      </c>
      <c r="D1150" s="102" t="s">
        <v>265</v>
      </c>
      <c r="E1150" s="258">
        <f>Table6[[#This Row],[Date]]-DAY(Table6[[#This Row],[Date]])+1</f>
        <v>45809</v>
      </c>
      <c r="F1150" s="259">
        <v>45819</v>
      </c>
      <c r="G1150" s="35" t="s">
        <v>119</v>
      </c>
      <c r="H1150" s="35" t="str">
        <f>IFERROR(_xlfn.XLOOKUP(Table6[[#This Row],[Affected WTG]],'Basic Data'!$A:$A,'Basic Data'!$B:$B),"")</f>
        <v>TQGXIIPL</v>
      </c>
      <c r="I1150" s="35" t="str">
        <f>IFERROR(_xlfn.XLOOKUP(Table6[[#This Row],[Affected WTG]],'Basic Data'!$A:$A,'Basic Data'!$C:$C),"")</f>
        <v>GEDA</v>
      </c>
      <c r="J1150" s="260">
        <f>IFERROR(_xlfn.XLOOKUP(Table6[[#This Row],[Affected WTG]],'Basic Data'!$A:$A,'Basic Data'!$E:$E),"")</f>
        <v>3.846153846153845E-2</v>
      </c>
      <c r="K1150" s="102">
        <v>6130</v>
      </c>
      <c r="L1150" s="35" t="str">
        <f>IFERROR(_xlfn.XLOOKUP(Table6[[#This Row],[Error Code]],'Basic Data'!$AA:$AA,'Basic Data'!$AB:$AB),"Incorrect Error Code")</f>
        <v>Yaw speed high</v>
      </c>
      <c r="M1150" s="35" t="s">
        <v>278</v>
      </c>
      <c r="N1150" s="264"/>
      <c r="O1150" s="265">
        <v>0.63263888888888886</v>
      </c>
      <c r="P1150" s="265">
        <v>0.63263888888888886</v>
      </c>
      <c r="Q1150" s="266">
        <v>0.63680555555555551</v>
      </c>
      <c r="R1150" s="261">
        <f>IF(Table6[[#This Row],[Work Start TimeStamp]]="","",(Table6[[#This Row],[Work Start TimeStamp]]-Table6[[#This Row],[Fault Start TimeStamp]])*24)</f>
        <v>0</v>
      </c>
      <c r="S1150" s="261">
        <f>(Table6[[#This Row],[Fault Clearance time]]-Table6[[#This Row],[Work Start TimeStamp]])*24</f>
        <v>9.9999999999999645E-2</v>
      </c>
      <c r="T1150" s="261">
        <f>(Table6[[#This Row],[Fault Clearance time]]-Table6[[#This Row],[Fault Start TimeStamp]])*24</f>
        <v>9.9999999999999645E-2</v>
      </c>
      <c r="U1150" s="35" t="s">
        <v>277</v>
      </c>
      <c r="V1150" s="102" t="s">
        <v>268</v>
      </c>
      <c r="W1150" s="267">
        <f>IFERROR(Table6[[#This Row],[Breakdown Time]]*Table6[[#This Row],[Plant Equivalent Weightage]],"")</f>
        <v>3.8461538461538312E-3</v>
      </c>
      <c r="X1150" s="262" t="s">
        <v>269</v>
      </c>
      <c r="Y1150" s="263" t="s">
        <v>116</v>
      </c>
      <c r="Z1150" s="102">
        <v>36977</v>
      </c>
      <c r="AA1150" s="257">
        <f>(Table6[[#This Row],[Paired WTG Generation for loss calculation]]/24)*Table6[[#This Row],[Breakdown Time]]</f>
        <v>154.07083333333279</v>
      </c>
      <c r="AB1150" s="102"/>
      <c r="AC1150" s="35"/>
      <c r="AD1150" s="35"/>
    </row>
    <row r="1151" spans="1:30">
      <c r="A1151" s="102">
        <f t="shared" si="18"/>
        <v>1150</v>
      </c>
      <c r="B1151" s="257">
        <f>YEAR(Table6[[#This Row],[Date]])+IF(MONTH(Table6[[#This Row],[Date]])&gt;=4,1,0)</f>
        <v>2026</v>
      </c>
      <c r="C1151" s="102">
        <f>YEAR(Table6[[#This Row],[Date]])</f>
        <v>2025</v>
      </c>
      <c r="D1151" s="102" t="s">
        <v>265</v>
      </c>
      <c r="E1151" s="258">
        <f>Table6[[#This Row],[Date]]-DAY(Table6[[#This Row],[Date]])+1</f>
        <v>45809</v>
      </c>
      <c r="F1151" s="259">
        <v>45819</v>
      </c>
      <c r="G1151" s="35" t="s">
        <v>122</v>
      </c>
      <c r="H1151" s="35" t="str">
        <f>IFERROR(_xlfn.XLOOKUP(Table6[[#This Row],[Affected WTG]],'Basic Data'!$A:$A,'Basic Data'!$B:$B),"")</f>
        <v>TQGXIIPL</v>
      </c>
      <c r="I1151" s="35" t="str">
        <f>IFERROR(_xlfn.XLOOKUP(Table6[[#This Row],[Affected WTG]],'Basic Data'!$A:$A,'Basic Data'!$C:$C),"")</f>
        <v>GEDA</v>
      </c>
      <c r="J1151" s="260">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266</v>
      </c>
      <c r="N1151" s="264"/>
      <c r="O1151" s="265">
        <v>0.12916666666666668</v>
      </c>
      <c r="P1151" s="265">
        <v>0.12916666666666668</v>
      </c>
      <c r="Q1151" s="266">
        <v>0.13819444444444445</v>
      </c>
      <c r="R1151" s="261">
        <f>IF(Table6[[#This Row],[Work Start TimeStamp]]="","",(Table6[[#This Row],[Work Start TimeStamp]]-Table6[[#This Row],[Fault Start TimeStamp]])*24)</f>
        <v>0</v>
      </c>
      <c r="S1151" s="261">
        <f>(Table6[[#This Row],[Fault Clearance time]]-Table6[[#This Row],[Work Start TimeStamp]])*24</f>
        <v>0.21666666666666656</v>
      </c>
      <c r="T1151" s="261">
        <f>(Table6[[#This Row],[Fault Clearance time]]-Table6[[#This Row],[Fault Start TimeStamp]])*24</f>
        <v>0.21666666666666656</v>
      </c>
      <c r="U1151" s="35" t="s">
        <v>483</v>
      </c>
      <c r="V1151" s="102" t="s">
        <v>268</v>
      </c>
      <c r="W1151" s="267">
        <f>IFERROR(Table6[[#This Row],[Breakdown Time]]*Table6[[#This Row],[Plant Equivalent Weightage]],"")</f>
        <v>8.3333333333333263E-3</v>
      </c>
      <c r="X1151" s="262" t="s">
        <v>269</v>
      </c>
      <c r="Y1151" s="263" t="s">
        <v>140</v>
      </c>
      <c r="Z1151" s="102">
        <v>31821</v>
      </c>
      <c r="AA1151" s="257">
        <f>(Table6[[#This Row],[Paired WTG Generation for loss calculation]]/24)*Table6[[#This Row],[Breakdown Time]]</f>
        <v>287.2729166666665</v>
      </c>
      <c r="AB1151" s="102"/>
      <c r="AC1151" s="35"/>
      <c r="AD1151" s="35"/>
    </row>
    <row r="1152" spans="1:30">
      <c r="A1152" s="102">
        <f t="shared" si="18"/>
        <v>1151</v>
      </c>
      <c r="B1152" s="257">
        <f>YEAR(Table6[[#This Row],[Date]])+IF(MONTH(Table6[[#This Row],[Date]])&gt;=4,1,0)</f>
        <v>2026</v>
      </c>
      <c r="C1152" s="102">
        <f>YEAR(Table6[[#This Row],[Date]])</f>
        <v>2025</v>
      </c>
      <c r="D1152" s="102" t="s">
        <v>265</v>
      </c>
      <c r="E1152" s="258">
        <f>Table6[[#This Row],[Date]]-DAY(Table6[[#This Row],[Date]])+1</f>
        <v>45809</v>
      </c>
      <c r="F1152" s="259">
        <v>45819</v>
      </c>
      <c r="G1152" s="35" t="s">
        <v>122</v>
      </c>
      <c r="H1152" s="35" t="str">
        <f>IFERROR(_xlfn.XLOOKUP(Table6[[#This Row],[Affected WTG]],'Basic Data'!$A:$A,'Basic Data'!$B:$B),"")</f>
        <v>TQGXIIPL</v>
      </c>
      <c r="I1152" s="35" t="str">
        <f>IFERROR(_xlfn.XLOOKUP(Table6[[#This Row],[Affected WTG]],'Basic Data'!$A:$A,'Basic Data'!$C:$C),"")</f>
        <v>GEDA</v>
      </c>
      <c r="J1152" s="260">
        <f>IFERROR(_xlfn.XLOOKUP(Table6[[#This Row],[Affected WTG]],'Basic Data'!$A:$A,'Basic Data'!$E:$E),"")</f>
        <v>3.846153846153845E-2</v>
      </c>
      <c r="K1152" s="102">
        <v>665</v>
      </c>
      <c r="L1152" s="35" t="str">
        <f>IFERROR(_xlfn.XLOOKUP(Table6[[#This Row],[Error Code]],'Basic Data'!$AA:$AA,'Basic Data'!$AB:$AB),"Incorrect Error Code")</f>
        <v>Pitch error</v>
      </c>
      <c r="M1152" s="35" t="s">
        <v>266</v>
      </c>
      <c r="N1152" s="264"/>
      <c r="O1152" s="265">
        <v>0.17083333333333334</v>
      </c>
      <c r="P1152" s="265">
        <v>0.17083333333333334</v>
      </c>
      <c r="Q1152" s="266">
        <v>0.18124999999999999</v>
      </c>
      <c r="R1152" s="261">
        <f>IF(Table6[[#This Row],[Work Start TimeStamp]]="","",(Table6[[#This Row],[Work Start TimeStamp]]-Table6[[#This Row],[Fault Start TimeStamp]])*24)</f>
        <v>0</v>
      </c>
      <c r="S1152" s="261">
        <f>(Table6[[#This Row],[Fault Clearance time]]-Table6[[#This Row],[Work Start TimeStamp]])*24</f>
        <v>0.24999999999999978</v>
      </c>
      <c r="T1152" s="261">
        <f>(Table6[[#This Row],[Fault Clearance time]]-Table6[[#This Row],[Fault Start TimeStamp]])*24</f>
        <v>0.24999999999999978</v>
      </c>
      <c r="U1152" s="35" t="s">
        <v>483</v>
      </c>
      <c r="V1152" s="102" t="s">
        <v>268</v>
      </c>
      <c r="W1152" s="267">
        <f>IFERROR(Table6[[#This Row],[Breakdown Time]]*Table6[[#This Row],[Plant Equivalent Weightage]],"")</f>
        <v>9.6153846153846038E-3</v>
      </c>
      <c r="X1152" s="262" t="s">
        <v>269</v>
      </c>
      <c r="Y1152" s="263" t="s">
        <v>140</v>
      </c>
      <c r="Z1152" s="102">
        <v>31821</v>
      </c>
      <c r="AA1152" s="257">
        <f>(Table6[[#This Row],[Paired WTG Generation for loss calculation]]/24)*Table6[[#This Row],[Breakdown Time]]</f>
        <v>331.46874999999972</v>
      </c>
      <c r="AB1152" s="102"/>
      <c r="AC1152" s="35"/>
      <c r="AD1152" s="35"/>
    </row>
    <row r="1153" spans="1:30">
      <c r="A1153" s="102">
        <f t="shared" si="18"/>
        <v>1152</v>
      </c>
      <c r="B1153" s="257">
        <f>YEAR(Table6[[#This Row],[Date]])+IF(MONTH(Table6[[#This Row],[Date]])&gt;=4,1,0)</f>
        <v>2026</v>
      </c>
      <c r="C1153" s="102">
        <f>YEAR(Table6[[#This Row],[Date]])</f>
        <v>2025</v>
      </c>
      <c r="D1153" s="102" t="s">
        <v>265</v>
      </c>
      <c r="E1153" s="258">
        <f>Table6[[#This Row],[Date]]-DAY(Table6[[#This Row],[Date]])+1</f>
        <v>45809</v>
      </c>
      <c r="F1153" s="259">
        <v>45819</v>
      </c>
      <c r="G1153" s="35" t="s">
        <v>125</v>
      </c>
      <c r="H1153" s="35" t="str">
        <f>IFERROR(_xlfn.XLOOKUP(Table6[[#This Row],[Affected WTG]],'Basic Data'!$A:$A,'Basic Data'!$B:$B),"")</f>
        <v>TQGXIIPL</v>
      </c>
      <c r="I1153" s="35" t="str">
        <f>IFERROR(_xlfn.XLOOKUP(Table6[[#This Row],[Affected WTG]],'Basic Data'!$A:$A,'Basic Data'!$C:$C),"")</f>
        <v>GEDA</v>
      </c>
      <c r="J1153" s="260">
        <f>IFERROR(_xlfn.XLOOKUP(Table6[[#This Row],[Affected WTG]],'Basic Data'!$A:$A,'Basic Data'!$E:$E),"")</f>
        <v>3.846153846153845E-2</v>
      </c>
      <c r="K1153" s="102">
        <v>55</v>
      </c>
      <c r="L1153" s="35" t="str">
        <f>IFERROR(_xlfn.XLOOKUP(Table6[[#This Row],[Error Code]],'Basic Data'!$AA:$AA,'Basic Data'!$AB:$AB),"Incorrect Error Code")</f>
        <v>WTG shut down</v>
      </c>
      <c r="M1153" s="35" t="s">
        <v>266</v>
      </c>
      <c r="N1153" s="264"/>
      <c r="O1153" s="265">
        <v>0.64027777777777772</v>
      </c>
      <c r="P1153" s="265">
        <v>0.64027777777777772</v>
      </c>
      <c r="Q1153" s="266">
        <v>0.64583333333333337</v>
      </c>
      <c r="R1153" s="261">
        <f>IF(Table6[[#This Row],[Work Start TimeStamp]]="","",(Table6[[#This Row],[Work Start TimeStamp]]-Table6[[#This Row],[Fault Start TimeStamp]])*24)</f>
        <v>0</v>
      </c>
      <c r="S1153" s="261">
        <f>(Table6[[#This Row],[Fault Clearance time]]-Table6[[#This Row],[Work Start TimeStamp]])*24</f>
        <v>0.13333333333333552</v>
      </c>
      <c r="T1153" s="261">
        <f>(Table6[[#This Row],[Fault Clearance time]]-Table6[[#This Row],[Fault Start TimeStamp]])*24</f>
        <v>0.13333333333333552</v>
      </c>
      <c r="U1153" s="35" t="s">
        <v>514</v>
      </c>
      <c r="V1153" s="102" t="s">
        <v>268</v>
      </c>
      <c r="W1153" s="267">
        <f>IFERROR(Table6[[#This Row],[Breakdown Time]]*Table6[[#This Row],[Plant Equivalent Weightage]],"")</f>
        <v>5.1282051282052106E-3</v>
      </c>
      <c r="X1153" s="262" t="s">
        <v>296</v>
      </c>
      <c r="Y1153" s="263" t="s">
        <v>126</v>
      </c>
      <c r="Z1153" s="102">
        <v>29594</v>
      </c>
      <c r="AA1153" s="257">
        <f>(Table6[[#This Row],[Paired WTG Generation for loss calculation]]/24)*Table6[[#This Row],[Breakdown Time]]</f>
        <v>164.4111111111138</v>
      </c>
      <c r="AB1153" s="102"/>
      <c r="AC1153" s="35"/>
      <c r="AD1153" s="35"/>
    </row>
    <row r="1154" spans="1:30">
      <c r="A1154" s="102">
        <f t="shared" si="18"/>
        <v>1153</v>
      </c>
      <c r="B1154" s="257">
        <f>YEAR(Table6[[#This Row],[Date]])+IF(MONTH(Table6[[#This Row],[Date]])&gt;=4,1,0)</f>
        <v>2026</v>
      </c>
      <c r="C1154" s="102">
        <f>YEAR(Table6[[#This Row],[Date]])</f>
        <v>2025</v>
      </c>
      <c r="D1154" s="102" t="s">
        <v>265</v>
      </c>
      <c r="E1154" s="258">
        <f>Table6[[#This Row],[Date]]-DAY(Table6[[#This Row],[Date]])+1</f>
        <v>45809</v>
      </c>
      <c r="F1154" s="259">
        <v>45819</v>
      </c>
      <c r="G1154" s="35" t="s">
        <v>127</v>
      </c>
      <c r="H1154" s="35" t="str">
        <f>IFERROR(_xlfn.XLOOKUP(Table6[[#This Row],[Affected WTG]],'Basic Data'!$A:$A,'Basic Data'!$B:$B),"")</f>
        <v>TQGXIIPL</v>
      </c>
      <c r="I1154" s="35" t="str">
        <f>IFERROR(_xlfn.XLOOKUP(Table6[[#This Row],[Affected WTG]],'Basic Data'!$A:$A,'Basic Data'!$C:$C),"")</f>
        <v>GEDA</v>
      </c>
      <c r="J1154" s="260">
        <f>IFERROR(_xlfn.XLOOKUP(Table6[[#This Row],[Affected WTG]],'Basic Data'!$A:$A,'Basic Data'!$E:$E),"")</f>
        <v>3.846153846153845E-2</v>
      </c>
      <c r="K1154" s="102">
        <v>6130</v>
      </c>
      <c r="L1154" s="35" t="str">
        <f>IFERROR(_xlfn.XLOOKUP(Table6[[#This Row],[Error Code]],'Basic Data'!$AA:$AA,'Basic Data'!$AB:$AB),"Incorrect Error Code")</f>
        <v>Yaw speed high</v>
      </c>
      <c r="M1154" s="35" t="s">
        <v>266</v>
      </c>
      <c r="N1154" s="264"/>
      <c r="O1154" s="265">
        <v>0.12083333333333333</v>
      </c>
      <c r="P1154" s="265">
        <v>0.12083333333333333</v>
      </c>
      <c r="Q1154" s="266">
        <v>0.12291666666666666</v>
      </c>
      <c r="R1154" s="261">
        <f>IF(Table6[[#This Row],[Work Start TimeStamp]]="","",(Table6[[#This Row],[Work Start TimeStamp]]-Table6[[#This Row],[Fault Start TimeStamp]])*24)</f>
        <v>0</v>
      </c>
      <c r="S1154" s="261">
        <f>(Table6[[#This Row],[Fault Clearance time]]-Table6[[#This Row],[Work Start TimeStamp]])*24</f>
        <v>4.9999999999999822E-2</v>
      </c>
      <c r="T1154" s="261">
        <f>(Table6[[#This Row],[Fault Clearance time]]-Table6[[#This Row],[Fault Start TimeStamp]])*24</f>
        <v>4.9999999999999822E-2</v>
      </c>
      <c r="U1154" s="35" t="s">
        <v>483</v>
      </c>
      <c r="V1154" s="102" t="s">
        <v>268</v>
      </c>
      <c r="W1154" s="267">
        <f>IFERROR(Table6[[#This Row],[Breakdown Time]]*Table6[[#This Row],[Plant Equivalent Weightage]],"")</f>
        <v>1.9230769230769156E-3</v>
      </c>
      <c r="X1154" s="262" t="s">
        <v>269</v>
      </c>
      <c r="Y1154" s="263" t="s">
        <v>125</v>
      </c>
      <c r="Z1154" s="102">
        <v>30425</v>
      </c>
      <c r="AA1154" s="257">
        <f>(Table6[[#This Row],[Paired WTG Generation for loss calculation]]/24)*Table6[[#This Row],[Breakdown Time]]</f>
        <v>63.385416666666437</v>
      </c>
      <c r="AB1154" s="102"/>
      <c r="AC1154" s="35"/>
      <c r="AD1154" s="35"/>
    </row>
    <row r="1155" spans="1:30">
      <c r="A1155" s="102">
        <f t="shared" si="18"/>
        <v>1154</v>
      </c>
      <c r="B1155" s="257">
        <f>YEAR(Table6[[#This Row],[Date]])+IF(MONTH(Table6[[#This Row],[Date]])&gt;=4,1,0)</f>
        <v>2026</v>
      </c>
      <c r="C1155" s="102">
        <f>YEAR(Table6[[#This Row],[Date]])</f>
        <v>2025</v>
      </c>
      <c r="D1155" s="102" t="s">
        <v>265</v>
      </c>
      <c r="E1155" s="258">
        <f>Table6[[#This Row],[Date]]-DAY(Table6[[#This Row],[Date]])+1</f>
        <v>45809</v>
      </c>
      <c r="F1155" s="259">
        <v>45819</v>
      </c>
      <c r="G1155" s="35" t="s">
        <v>127</v>
      </c>
      <c r="H1155" s="35" t="str">
        <f>IFERROR(_xlfn.XLOOKUP(Table6[[#This Row],[Affected WTG]],'Basic Data'!$A:$A,'Basic Data'!$B:$B),"")</f>
        <v>TQGXIIPL</v>
      </c>
      <c r="I1155" s="35" t="str">
        <f>IFERROR(_xlfn.XLOOKUP(Table6[[#This Row],[Affected WTG]],'Basic Data'!$A:$A,'Basic Data'!$C:$C),"")</f>
        <v>GEDA</v>
      </c>
      <c r="J1155" s="260">
        <f>IFERROR(_xlfn.XLOOKUP(Table6[[#This Row],[Affected WTG]],'Basic Data'!$A:$A,'Basic Data'!$E:$E),"")</f>
        <v>3.846153846153845E-2</v>
      </c>
      <c r="K1155" s="102">
        <v>55</v>
      </c>
      <c r="L1155" s="35" t="str">
        <f>IFERROR(_xlfn.XLOOKUP(Table6[[#This Row],[Error Code]],'Basic Data'!$AA:$AA,'Basic Data'!$AB:$AB),"Incorrect Error Code")</f>
        <v>WTG shut down</v>
      </c>
      <c r="M1155" s="35" t="s">
        <v>266</v>
      </c>
      <c r="N1155" s="264"/>
      <c r="O1155" s="265">
        <v>0.63749999999999996</v>
      </c>
      <c r="P1155" s="265">
        <v>0.63749999999999996</v>
      </c>
      <c r="Q1155" s="266">
        <v>0.64375000000000004</v>
      </c>
      <c r="R1155" s="261">
        <f>IF(Table6[[#This Row],[Work Start TimeStamp]]="","",(Table6[[#This Row],[Work Start TimeStamp]]-Table6[[#This Row],[Fault Start TimeStamp]])*24)</f>
        <v>0</v>
      </c>
      <c r="S1155" s="261">
        <f>(Table6[[#This Row],[Fault Clearance time]]-Table6[[#This Row],[Work Start TimeStamp]])*24</f>
        <v>0.15000000000000213</v>
      </c>
      <c r="T1155" s="261">
        <f>(Table6[[#This Row],[Fault Clearance time]]-Table6[[#This Row],[Fault Start TimeStamp]])*24</f>
        <v>0.15000000000000213</v>
      </c>
      <c r="U1155" s="35" t="s">
        <v>514</v>
      </c>
      <c r="V1155" s="102" t="s">
        <v>268</v>
      </c>
      <c r="W1155" s="267">
        <f>IFERROR(Table6[[#This Row],[Breakdown Time]]*Table6[[#This Row],[Plant Equivalent Weightage]],"")</f>
        <v>5.7692307692308493E-3</v>
      </c>
      <c r="X1155" s="262" t="s">
        <v>296</v>
      </c>
      <c r="Y1155" s="263" t="s">
        <v>125</v>
      </c>
      <c r="Z1155" s="102">
        <v>30425</v>
      </c>
      <c r="AA1155" s="257">
        <f>(Table6[[#This Row],[Paired WTG Generation for loss calculation]]/24)*Table6[[#This Row],[Breakdown Time]]</f>
        <v>190.1562500000027</v>
      </c>
      <c r="AB1155" s="102"/>
      <c r="AC1155" s="35"/>
      <c r="AD1155" s="35"/>
    </row>
    <row r="1156" spans="1:30">
      <c r="A1156" s="102">
        <f t="shared" si="18"/>
        <v>1155</v>
      </c>
      <c r="B1156" s="257">
        <f>YEAR(Table6[[#This Row],[Date]])+IF(MONTH(Table6[[#This Row],[Date]])&gt;=4,1,0)</f>
        <v>2026</v>
      </c>
      <c r="C1156" s="102">
        <f>YEAR(Table6[[#This Row],[Date]])</f>
        <v>2025</v>
      </c>
      <c r="D1156" s="102" t="s">
        <v>265</v>
      </c>
      <c r="E1156" s="258">
        <f>Table6[[#This Row],[Date]]-DAY(Table6[[#This Row],[Date]])+1</f>
        <v>45809</v>
      </c>
      <c r="F1156" s="259">
        <v>45819</v>
      </c>
      <c r="G1156" s="35" t="s">
        <v>131</v>
      </c>
      <c r="H1156" s="35" t="str">
        <f>IFERROR(_xlfn.XLOOKUP(Table6[[#This Row],[Affected WTG]],'Basic Data'!$A:$A,'Basic Data'!$B:$B),"")</f>
        <v>TQGXIIPL</v>
      </c>
      <c r="I1156" s="35" t="str">
        <f>IFERROR(_xlfn.XLOOKUP(Table6[[#This Row],[Affected WTG]],'Basic Data'!$A:$A,'Basic Data'!$C:$C),"")</f>
        <v>GEDA</v>
      </c>
      <c r="J1156" s="260">
        <f>IFERROR(_xlfn.XLOOKUP(Table6[[#This Row],[Affected WTG]],'Basic Data'!$A:$A,'Basic Data'!$E:$E),"")</f>
        <v>3.846153846153845E-2</v>
      </c>
      <c r="K1156" s="102">
        <v>55</v>
      </c>
      <c r="L1156" s="35" t="str">
        <f>IFERROR(_xlfn.XLOOKUP(Table6[[#This Row],[Error Code]],'Basic Data'!$AA:$AA,'Basic Data'!$AB:$AB),"Incorrect Error Code")</f>
        <v>WTG shut down</v>
      </c>
      <c r="M1156" s="35" t="s">
        <v>266</v>
      </c>
      <c r="N1156" s="264"/>
      <c r="O1156" s="265">
        <v>0.65277777777777779</v>
      </c>
      <c r="P1156" s="265">
        <v>0.65277777777777779</v>
      </c>
      <c r="Q1156" s="266">
        <v>0.65694444444444444</v>
      </c>
      <c r="R1156" s="261">
        <f>IF(Table6[[#This Row],[Work Start TimeStamp]]="","",(Table6[[#This Row],[Work Start TimeStamp]]-Table6[[#This Row],[Fault Start TimeStamp]])*24)</f>
        <v>0</v>
      </c>
      <c r="S1156" s="261">
        <f>(Table6[[#This Row],[Fault Clearance time]]-Table6[[#This Row],[Work Start TimeStamp]])*24</f>
        <v>9.9999999999999645E-2</v>
      </c>
      <c r="T1156" s="261">
        <f>(Table6[[#This Row],[Fault Clearance time]]-Table6[[#This Row],[Fault Start TimeStamp]])*24</f>
        <v>9.9999999999999645E-2</v>
      </c>
      <c r="U1156" s="35" t="s">
        <v>514</v>
      </c>
      <c r="V1156" s="102" t="s">
        <v>268</v>
      </c>
      <c r="W1156" s="267">
        <f>IFERROR(Table6[[#This Row],[Breakdown Time]]*Table6[[#This Row],[Plant Equivalent Weightage]],"")</f>
        <v>3.8461538461538312E-3</v>
      </c>
      <c r="X1156" s="262" t="s">
        <v>296</v>
      </c>
      <c r="Y1156" s="263" t="s">
        <v>136</v>
      </c>
      <c r="Z1156" s="102">
        <v>42577</v>
      </c>
      <c r="AA1156" s="257">
        <f>(Table6[[#This Row],[Paired WTG Generation for loss calculation]]/24)*Table6[[#This Row],[Breakdown Time]]</f>
        <v>177.40416666666604</v>
      </c>
      <c r="AB1156" s="102"/>
      <c r="AC1156" s="35"/>
      <c r="AD1156" s="35"/>
    </row>
    <row r="1157" spans="1:30">
      <c r="A1157" s="102">
        <f t="shared" si="18"/>
        <v>1156</v>
      </c>
      <c r="B1157" s="257">
        <f>YEAR(Table6[[#This Row],[Date]])+IF(MONTH(Table6[[#This Row],[Date]])&gt;=4,1,0)</f>
        <v>2026</v>
      </c>
      <c r="C1157" s="102">
        <f>YEAR(Table6[[#This Row],[Date]])</f>
        <v>2025</v>
      </c>
      <c r="D1157" s="102" t="s">
        <v>265</v>
      </c>
      <c r="E1157" s="258">
        <f>Table6[[#This Row],[Date]]-DAY(Table6[[#This Row],[Date]])+1</f>
        <v>45809</v>
      </c>
      <c r="F1157" s="259">
        <v>45819</v>
      </c>
      <c r="G1157" s="35" t="s">
        <v>138</v>
      </c>
      <c r="H1157" s="35" t="str">
        <f>IFERROR(_xlfn.XLOOKUP(Table6[[#This Row],[Affected WTG]],'Basic Data'!$A:$A,'Basic Data'!$B:$B),"")</f>
        <v>TQGXIIPL</v>
      </c>
      <c r="I1157" s="35" t="str">
        <f>IFERROR(_xlfn.XLOOKUP(Table6[[#This Row],[Affected WTG]],'Basic Data'!$A:$A,'Basic Data'!$C:$C),"")</f>
        <v>GEDA</v>
      </c>
      <c r="J1157" s="260">
        <f>IFERROR(_xlfn.XLOOKUP(Table6[[#This Row],[Affected WTG]],'Basic Data'!$A:$A,'Basic Data'!$E:$E),"")</f>
        <v>3.846153846153845E-2</v>
      </c>
      <c r="K1157" s="102">
        <v>6130</v>
      </c>
      <c r="L1157" s="35" t="str">
        <f>IFERROR(_xlfn.XLOOKUP(Table6[[#This Row],[Error Code]],'Basic Data'!$AA:$AA,'Basic Data'!$AB:$AB),"Incorrect Error Code")</f>
        <v>Yaw speed high</v>
      </c>
      <c r="M1157" s="35" t="s">
        <v>266</v>
      </c>
      <c r="N1157" s="264"/>
      <c r="O1157" s="265">
        <v>0.36875000000000002</v>
      </c>
      <c r="P1157" s="265">
        <v>0.36875000000000002</v>
      </c>
      <c r="Q1157" s="266">
        <v>0.37152777777777779</v>
      </c>
      <c r="R1157" s="261">
        <f>IF(Table6[[#This Row],[Work Start TimeStamp]]="","",(Table6[[#This Row],[Work Start TimeStamp]]-Table6[[#This Row],[Fault Start TimeStamp]])*24)</f>
        <v>0</v>
      </c>
      <c r="S1157" s="261">
        <f>(Table6[[#This Row],[Fault Clearance time]]-Table6[[#This Row],[Work Start TimeStamp]])*24</f>
        <v>6.666666666666643E-2</v>
      </c>
      <c r="T1157" s="261">
        <f>(Table6[[#This Row],[Fault Clearance time]]-Table6[[#This Row],[Fault Start TimeStamp]])*24</f>
        <v>6.666666666666643E-2</v>
      </c>
      <c r="U1157" s="35" t="s">
        <v>483</v>
      </c>
      <c r="V1157" s="102" t="s">
        <v>268</v>
      </c>
      <c r="W1157" s="267">
        <f>IFERROR(Table6[[#This Row],[Breakdown Time]]*Table6[[#This Row],[Plant Equivalent Weightage]],"")</f>
        <v>2.5641025641025541E-3</v>
      </c>
      <c r="X1157" s="262" t="s">
        <v>269</v>
      </c>
      <c r="Y1157" s="263" t="s">
        <v>134</v>
      </c>
      <c r="Z1157" s="102">
        <v>36328</v>
      </c>
      <c r="AA1157" s="257">
        <f>(Table6[[#This Row],[Paired WTG Generation for loss calculation]]/24)*Table6[[#This Row],[Breakdown Time]]</f>
        <v>100.91111111111076</v>
      </c>
      <c r="AB1157" s="102"/>
      <c r="AC1157" s="35"/>
      <c r="AD1157" s="35"/>
    </row>
    <row r="1158" spans="1:30">
      <c r="A1158" s="102">
        <f t="shared" si="18"/>
        <v>1157</v>
      </c>
      <c r="B1158" s="257">
        <f>YEAR(Table6[[#This Row],[Date]])+IF(MONTH(Table6[[#This Row],[Date]])&gt;=4,1,0)</f>
        <v>2026</v>
      </c>
      <c r="C1158" s="102">
        <f>YEAR(Table6[[#This Row],[Date]])</f>
        <v>2025</v>
      </c>
      <c r="D1158" s="102" t="s">
        <v>265</v>
      </c>
      <c r="E1158" s="258">
        <f>Table6[[#This Row],[Date]]-DAY(Table6[[#This Row],[Date]])+1</f>
        <v>45809</v>
      </c>
      <c r="F1158" s="259">
        <v>45819</v>
      </c>
      <c r="G1158" s="35" t="s">
        <v>139</v>
      </c>
      <c r="H1158" s="35" t="str">
        <f>IFERROR(_xlfn.XLOOKUP(Table6[[#This Row],[Affected WTG]],'Basic Data'!$A:$A,'Basic Data'!$B:$B),"")</f>
        <v>TQGXIIPL</v>
      </c>
      <c r="I1158" s="35" t="str">
        <f>IFERROR(_xlfn.XLOOKUP(Table6[[#This Row],[Affected WTG]],'Basic Data'!$A:$A,'Basic Data'!$C:$C),"")</f>
        <v>GEDA</v>
      </c>
      <c r="J1158" s="260">
        <f>IFERROR(_xlfn.XLOOKUP(Table6[[#This Row],[Affected WTG]],'Basic Data'!$A:$A,'Basic Data'!$E:$E),"")</f>
        <v>3.846153846153845E-2</v>
      </c>
      <c r="K1158" s="102">
        <v>550</v>
      </c>
      <c r="L1158" s="35" t="str">
        <f>IFERROR(_xlfn.XLOOKUP(Table6[[#This Row],[Error Code]],'Basic Data'!$AA:$AA,'Basic Data'!$AB:$AB),"Incorrect Error Code")</f>
        <v>Pitch current asymmetry</v>
      </c>
      <c r="M1158" s="35" t="s">
        <v>266</v>
      </c>
      <c r="N1158" s="264"/>
      <c r="O1158" s="265">
        <v>0.2638888888888889</v>
      </c>
      <c r="P1158" s="265">
        <v>0.2638888888888889</v>
      </c>
      <c r="Q1158" s="266">
        <v>0.2722222222222222</v>
      </c>
      <c r="R1158" s="261">
        <f>IF(Table6[[#This Row],[Work Start TimeStamp]]="","",(Table6[[#This Row],[Work Start TimeStamp]]-Table6[[#This Row],[Fault Start TimeStamp]])*24)</f>
        <v>0</v>
      </c>
      <c r="S1158" s="261">
        <f>(Table6[[#This Row],[Fault Clearance time]]-Table6[[#This Row],[Work Start TimeStamp]])*24</f>
        <v>0.19999999999999929</v>
      </c>
      <c r="T1158" s="261">
        <f>(Table6[[#This Row],[Fault Clearance time]]-Table6[[#This Row],[Fault Start TimeStamp]])*24</f>
        <v>0.19999999999999929</v>
      </c>
      <c r="U1158" s="35" t="s">
        <v>483</v>
      </c>
      <c r="V1158" s="102" t="s">
        <v>268</v>
      </c>
      <c r="W1158" s="267">
        <f>IFERROR(Table6[[#This Row],[Breakdown Time]]*Table6[[#This Row],[Plant Equivalent Weightage]],"")</f>
        <v>7.6923076923076624E-3</v>
      </c>
      <c r="X1158" s="262" t="s">
        <v>269</v>
      </c>
      <c r="Y1158" s="263" t="s">
        <v>115</v>
      </c>
      <c r="Z1158" s="102">
        <v>9734</v>
      </c>
      <c r="AA1158" s="257">
        <f>(Table6[[#This Row],[Paired WTG Generation for loss calculation]]/24)*Table6[[#This Row],[Breakdown Time]]</f>
        <v>81.116666666666376</v>
      </c>
      <c r="AB1158" s="102"/>
      <c r="AC1158" s="35"/>
      <c r="AD1158" s="35"/>
    </row>
    <row r="1159" spans="1:30">
      <c r="A1159" s="102">
        <f t="shared" si="18"/>
        <v>1158</v>
      </c>
      <c r="B1159" s="257">
        <f>YEAR(Table6[[#This Row],[Date]])+IF(MONTH(Table6[[#This Row],[Date]])&gt;=4,1,0)</f>
        <v>2026</v>
      </c>
      <c r="C1159" s="102">
        <f>YEAR(Table6[[#This Row],[Date]])</f>
        <v>2025</v>
      </c>
      <c r="D1159" s="102" t="s">
        <v>265</v>
      </c>
      <c r="E1159" s="258">
        <f>Table6[[#This Row],[Date]]-DAY(Table6[[#This Row],[Date]])+1</f>
        <v>45809</v>
      </c>
      <c r="F1159" s="259">
        <v>45819</v>
      </c>
      <c r="G1159" s="35" t="s">
        <v>140</v>
      </c>
      <c r="H1159" s="35" t="str">
        <f>IFERROR(_xlfn.XLOOKUP(Table6[[#This Row],[Affected WTG]],'Basic Data'!$A:$A,'Basic Data'!$B:$B),"")</f>
        <v>TQGXIIPL</v>
      </c>
      <c r="I1159" s="35" t="str">
        <f>IFERROR(_xlfn.XLOOKUP(Table6[[#This Row],[Affected WTG]],'Basic Data'!$A:$A,'Basic Data'!$C:$C),"")</f>
        <v>GEDA</v>
      </c>
      <c r="J1159" s="260">
        <f>IFERROR(_xlfn.XLOOKUP(Table6[[#This Row],[Affected WTG]],'Basic Data'!$A:$A,'Basic Data'!$E:$E),"")</f>
        <v>3.846153846153845E-2</v>
      </c>
      <c r="K1159" s="102">
        <v>55</v>
      </c>
      <c r="L1159" s="35" t="str">
        <f>IFERROR(_xlfn.XLOOKUP(Table6[[#This Row],[Error Code]],'Basic Data'!$AA:$AA,'Basic Data'!$AB:$AB),"Incorrect Error Code")</f>
        <v>WTG shut down</v>
      </c>
      <c r="M1159" s="35" t="s">
        <v>266</v>
      </c>
      <c r="N1159" s="264"/>
      <c r="O1159" s="265">
        <v>0.42986111111111114</v>
      </c>
      <c r="P1159" s="265">
        <v>0.42986111111111114</v>
      </c>
      <c r="Q1159" s="266">
        <v>0.43611111111111112</v>
      </c>
      <c r="R1159" s="261">
        <f>IF(Table6[[#This Row],[Work Start TimeStamp]]="","",(Table6[[#This Row],[Work Start TimeStamp]]-Table6[[#This Row],[Fault Start TimeStamp]])*24)</f>
        <v>0</v>
      </c>
      <c r="S1159" s="261">
        <f>(Table6[[#This Row],[Fault Clearance time]]-Table6[[#This Row],[Work Start TimeStamp]])*24</f>
        <v>0.14999999999999947</v>
      </c>
      <c r="T1159" s="261">
        <f>(Table6[[#This Row],[Fault Clearance time]]-Table6[[#This Row],[Fault Start TimeStamp]])*24</f>
        <v>0.14999999999999947</v>
      </c>
      <c r="U1159" s="35" t="s">
        <v>514</v>
      </c>
      <c r="V1159" s="102" t="s">
        <v>268</v>
      </c>
      <c r="W1159" s="267">
        <f>IFERROR(Table6[[#This Row],[Breakdown Time]]*Table6[[#This Row],[Plant Equivalent Weightage]],"")</f>
        <v>5.769230769230747E-3</v>
      </c>
      <c r="X1159" s="262" t="s">
        <v>296</v>
      </c>
      <c r="Y1159" s="263" t="s">
        <v>115</v>
      </c>
      <c r="Z1159" s="102">
        <v>9734</v>
      </c>
      <c r="AA1159" s="257">
        <f>(Table6[[#This Row],[Paired WTG Generation for loss calculation]]/24)*Table6[[#This Row],[Breakdown Time]]</f>
        <v>60.837499999999778</v>
      </c>
      <c r="AB1159" s="102"/>
      <c r="AC1159" s="35"/>
      <c r="AD1159" s="35"/>
    </row>
    <row r="1160" spans="1:30">
      <c r="A1160" s="102">
        <f t="shared" si="18"/>
        <v>1159</v>
      </c>
      <c r="B1160" s="257">
        <f>YEAR(Table6[[#This Row],[Date]])+IF(MONTH(Table6[[#This Row],[Date]])&gt;=4,1,0)</f>
        <v>2026</v>
      </c>
      <c r="C1160" s="102">
        <f>YEAR(Table6[[#This Row],[Date]])</f>
        <v>2025</v>
      </c>
      <c r="D1160" s="102" t="s">
        <v>265</v>
      </c>
      <c r="E1160" s="258">
        <f>Table6[[#This Row],[Date]]-DAY(Table6[[#This Row],[Date]])+1</f>
        <v>45809</v>
      </c>
      <c r="F1160" s="259">
        <v>45820</v>
      </c>
      <c r="G1160" s="35" t="s">
        <v>130</v>
      </c>
      <c r="H1160" s="35" t="str">
        <f>IFERROR(_xlfn.XLOOKUP(Table6[[#This Row],[Affected WTG]],'Basic Data'!$A:$A,'Basic Data'!$B:$B),"")</f>
        <v>TQGXIIPL</v>
      </c>
      <c r="I1160" s="35" t="str">
        <f>IFERROR(_xlfn.XLOOKUP(Table6[[#This Row],[Affected WTG]],'Basic Data'!$A:$A,'Basic Data'!$C:$C),"")</f>
        <v>GEDA</v>
      </c>
      <c r="J1160" s="260">
        <f>IFERROR(_xlfn.XLOOKUP(Table6[[#This Row],[Affected WTG]],'Basic Data'!$A:$A,'Basic Data'!$E:$E),"")</f>
        <v>3.846153846153845E-2</v>
      </c>
      <c r="K1160" s="102">
        <v>55</v>
      </c>
      <c r="L1160" s="35" t="str">
        <f>IFERROR(_xlfn.XLOOKUP(Table6[[#This Row],[Error Code]],'Basic Data'!$AA:$AA,'Basic Data'!$AB:$AB),"Incorrect Error Code")</f>
        <v>WTG shut down</v>
      </c>
      <c r="M1160" s="35" t="s">
        <v>266</v>
      </c>
      <c r="N1160" s="264"/>
      <c r="O1160" s="265">
        <v>0.57361111111111107</v>
      </c>
      <c r="P1160" s="265">
        <v>0.57361111111111107</v>
      </c>
      <c r="Q1160" s="266">
        <v>0.61527777777777781</v>
      </c>
      <c r="R1160" s="261">
        <f>IF(Table6[[#This Row],[Work Start TimeStamp]]="","",(Table6[[#This Row],[Work Start TimeStamp]]-Table6[[#This Row],[Fault Start TimeStamp]])*24)</f>
        <v>0</v>
      </c>
      <c r="S1160" s="261">
        <f>(Table6[[#This Row],[Fault Clearance time]]-Table6[[#This Row],[Work Start TimeStamp]])*24</f>
        <v>1.0000000000000018</v>
      </c>
      <c r="T1160" s="261">
        <f>(Table6[[#This Row],[Fault Clearance time]]-Table6[[#This Row],[Fault Start TimeStamp]])*24</f>
        <v>1.0000000000000018</v>
      </c>
      <c r="U1160" s="35" t="s">
        <v>516</v>
      </c>
      <c r="V1160" s="102" t="s">
        <v>268</v>
      </c>
      <c r="W1160" s="267">
        <f>IFERROR(Table6[[#This Row],[Breakdown Time]]*Table6[[#This Row],[Plant Equivalent Weightage]],"")</f>
        <v>3.8461538461538519E-2</v>
      </c>
      <c r="X1160" s="262" t="s">
        <v>296</v>
      </c>
      <c r="Y1160" s="263" t="s">
        <v>135</v>
      </c>
      <c r="Z1160" s="102">
        <v>36826</v>
      </c>
      <c r="AA1160" s="257">
        <f>(Table6[[#This Row],[Paired WTG Generation for loss calculation]]/24)*Table6[[#This Row],[Breakdown Time]]</f>
        <v>1534.4166666666695</v>
      </c>
      <c r="AB1160" s="102"/>
      <c r="AC1160" s="35"/>
      <c r="AD1160" s="35"/>
    </row>
    <row r="1161" spans="1:30">
      <c r="A1161" s="102">
        <f t="shared" si="18"/>
        <v>1160</v>
      </c>
      <c r="B1161" s="257">
        <f>YEAR(Table6[[#This Row],[Date]])+IF(MONTH(Table6[[#This Row],[Date]])&gt;=4,1,0)</f>
        <v>2026</v>
      </c>
      <c r="C1161" s="102">
        <f>YEAR(Table6[[#This Row],[Date]])</f>
        <v>2025</v>
      </c>
      <c r="D1161" s="102" t="s">
        <v>265</v>
      </c>
      <c r="E1161" s="258">
        <f>Table6[[#This Row],[Date]]-DAY(Table6[[#This Row],[Date]])+1</f>
        <v>45809</v>
      </c>
      <c r="F1161" s="259">
        <v>45820</v>
      </c>
      <c r="G1161" s="35" t="s">
        <v>131</v>
      </c>
      <c r="H1161" s="35" t="str">
        <f>IFERROR(_xlfn.XLOOKUP(Table6[[#This Row],[Affected WTG]],'Basic Data'!$A:$A,'Basic Data'!$B:$B),"")</f>
        <v>TQGXIIPL</v>
      </c>
      <c r="I1161" s="35" t="str">
        <f>IFERROR(_xlfn.XLOOKUP(Table6[[#This Row],[Affected WTG]],'Basic Data'!$A:$A,'Basic Data'!$C:$C),"")</f>
        <v>GEDA</v>
      </c>
      <c r="J1161" s="260">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266</v>
      </c>
      <c r="N1161" s="264"/>
      <c r="O1161" s="265">
        <v>9.375E-2</v>
      </c>
      <c r="P1161" s="265">
        <v>9.375E-2</v>
      </c>
      <c r="Q1161" s="266">
        <v>0.10347222222222222</v>
      </c>
      <c r="R1161" s="261">
        <f>IF(Table6[[#This Row],[Work Start TimeStamp]]="","",(Table6[[#This Row],[Work Start TimeStamp]]-Table6[[#This Row],[Fault Start TimeStamp]])*24)</f>
        <v>0</v>
      </c>
      <c r="S1161" s="261">
        <f>(Table6[[#This Row],[Fault Clearance time]]-Table6[[#This Row],[Work Start TimeStamp]])*24</f>
        <v>0.23333333333333317</v>
      </c>
      <c r="T1161" s="261">
        <f>(Table6[[#This Row],[Fault Clearance time]]-Table6[[#This Row],[Fault Start TimeStamp]])*24</f>
        <v>0.23333333333333317</v>
      </c>
      <c r="U1161" s="35" t="s">
        <v>517</v>
      </c>
      <c r="V1161" s="102" t="s">
        <v>268</v>
      </c>
      <c r="W1161" s="267">
        <f>IFERROR(Table6[[#This Row],[Breakdown Time]]*Table6[[#This Row],[Plant Equivalent Weightage]],"")</f>
        <v>8.974358974358965E-3</v>
      </c>
      <c r="X1161" s="262" t="s">
        <v>269</v>
      </c>
      <c r="Y1161" s="263" t="s">
        <v>136</v>
      </c>
      <c r="Z1161" s="102">
        <v>38525</v>
      </c>
      <c r="AA1161" s="257">
        <f>(Table6[[#This Row],[Paired WTG Generation for loss calculation]]/24)*Table6[[#This Row],[Breakdown Time]]</f>
        <v>374.54861111111086</v>
      </c>
      <c r="AB1161" s="102"/>
      <c r="AC1161" s="35"/>
      <c r="AD1161" s="35"/>
    </row>
    <row r="1162" spans="1:30">
      <c r="A1162" s="102">
        <f t="shared" si="18"/>
        <v>1161</v>
      </c>
      <c r="B1162" s="257">
        <f>YEAR(Table6[[#This Row],[Date]])+IF(MONTH(Table6[[#This Row],[Date]])&gt;=4,1,0)</f>
        <v>2026</v>
      </c>
      <c r="C1162" s="102">
        <f>YEAR(Table6[[#This Row],[Date]])</f>
        <v>2025</v>
      </c>
      <c r="D1162" s="102" t="s">
        <v>265</v>
      </c>
      <c r="E1162" s="258">
        <f>Table6[[#This Row],[Date]]-DAY(Table6[[#This Row],[Date]])+1</f>
        <v>45809</v>
      </c>
      <c r="F1162" s="259">
        <v>45820</v>
      </c>
      <c r="G1162" s="35" t="s">
        <v>137</v>
      </c>
      <c r="H1162" s="35" t="str">
        <f>IFERROR(_xlfn.XLOOKUP(Table6[[#This Row],[Affected WTG]],'Basic Data'!$A:$A,'Basic Data'!$B:$B),"")</f>
        <v>TQGXIIPL</v>
      </c>
      <c r="I1162" s="35" t="str">
        <f>IFERROR(_xlfn.XLOOKUP(Table6[[#This Row],[Affected WTG]],'Basic Data'!$A:$A,'Basic Data'!$C:$C),"")</f>
        <v>GEDA</v>
      </c>
      <c r="J1162" s="260">
        <f>IFERROR(_xlfn.XLOOKUP(Table6[[#This Row],[Affected WTG]],'Basic Data'!$A:$A,'Basic Data'!$E:$E),"")</f>
        <v>3.846153846153845E-2</v>
      </c>
      <c r="K1162" s="102">
        <v>72</v>
      </c>
      <c r="L1162" s="35" t="str">
        <f>IFERROR(_xlfn.XLOOKUP(Table6[[#This Row],[Error Code]],'Basic Data'!$AA:$AA,'Basic Data'!$AB:$AB),"Incorrect Error Code")</f>
        <v>Outdoor temperature high</v>
      </c>
      <c r="M1162" s="35" t="s">
        <v>266</v>
      </c>
      <c r="N1162" s="264"/>
      <c r="O1162" s="265">
        <v>0.6791666666666667</v>
      </c>
      <c r="P1162" s="265">
        <v>0.6791666666666667</v>
      </c>
      <c r="Q1162" s="266">
        <v>0.6875</v>
      </c>
      <c r="R1162" s="261">
        <f>IF(Table6[[#This Row],[Work Start TimeStamp]]="","",(Table6[[#This Row],[Work Start TimeStamp]]-Table6[[#This Row],[Fault Start TimeStamp]])*24)</f>
        <v>0</v>
      </c>
      <c r="S1162" s="261">
        <f>(Table6[[#This Row],[Fault Clearance time]]-Table6[[#This Row],[Work Start TimeStamp]])*24</f>
        <v>0.19999999999999929</v>
      </c>
      <c r="T1162" s="261">
        <f>(Table6[[#This Row],[Fault Clearance time]]-Table6[[#This Row],[Fault Start TimeStamp]])*24</f>
        <v>0.19999999999999929</v>
      </c>
      <c r="U1162" s="35" t="s">
        <v>483</v>
      </c>
      <c r="V1162" s="102" t="s">
        <v>268</v>
      </c>
      <c r="W1162" s="267">
        <f>IFERROR(Table6[[#This Row],[Breakdown Time]]*Table6[[#This Row],[Plant Equivalent Weightage]],"")</f>
        <v>7.6923076923076624E-3</v>
      </c>
      <c r="X1162" s="262" t="s">
        <v>269</v>
      </c>
      <c r="Y1162" s="263" t="s">
        <v>125</v>
      </c>
      <c r="Z1162" s="102">
        <v>35464</v>
      </c>
      <c r="AA1162" s="257">
        <f>(Table6[[#This Row],[Paired WTG Generation for loss calculation]]/24)*Table6[[#This Row],[Breakdown Time]]</f>
        <v>295.53333333333228</v>
      </c>
      <c r="AB1162" s="102"/>
      <c r="AC1162" s="35"/>
      <c r="AD1162" s="35"/>
    </row>
    <row r="1163" spans="1:30">
      <c r="A1163" s="102">
        <f t="shared" si="18"/>
        <v>1162</v>
      </c>
      <c r="B1163" s="257">
        <f>YEAR(Table6[[#This Row],[Date]])+IF(MONTH(Table6[[#This Row],[Date]])&gt;=4,1,0)</f>
        <v>2026</v>
      </c>
      <c r="C1163" s="102">
        <f>YEAR(Table6[[#This Row],[Date]])</f>
        <v>2025</v>
      </c>
      <c r="D1163" s="102" t="s">
        <v>265</v>
      </c>
      <c r="E1163" s="258">
        <f>Table6[[#This Row],[Date]]-DAY(Table6[[#This Row],[Date]])+1</f>
        <v>45809</v>
      </c>
      <c r="F1163" s="259">
        <v>45820</v>
      </c>
      <c r="G1163" s="35" t="s">
        <v>133</v>
      </c>
      <c r="H1163" s="35" t="str">
        <f>IFERROR(_xlfn.XLOOKUP(Table6[[#This Row],[Affected WTG]],'Basic Data'!$A:$A,'Basic Data'!$B:$B),"")</f>
        <v>TQGXIIPL</v>
      </c>
      <c r="I1163" s="35" t="str">
        <f>IFERROR(_xlfn.XLOOKUP(Table6[[#This Row],[Affected WTG]],'Basic Data'!$A:$A,'Basic Data'!$C:$C),"")</f>
        <v>GEDA</v>
      </c>
      <c r="J1163" s="260">
        <f>IFERROR(_xlfn.XLOOKUP(Table6[[#This Row],[Affected WTG]],'Basic Data'!$A:$A,'Basic Data'!$E:$E),"")</f>
        <v>3.846153846153845E-2</v>
      </c>
      <c r="K1163" s="102">
        <v>6601</v>
      </c>
      <c r="L1163" s="35" t="str">
        <f>IFERROR(_xlfn.XLOOKUP(Table6[[#This Row],[Error Code]],'Basic Data'!$AA:$AA,'Basic Data'!$AB:$AB),"Incorrect Error Code")</f>
        <v>Wind.dir. diff. level 1</v>
      </c>
      <c r="M1163" s="35" t="s">
        <v>266</v>
      </c>
      <c r="N1163" s="264"/>
      <c r="O1163" s="265">
        <v>0.75069444444444444</v>
      </c>
      <c r="P1163" s="265">
        <v>0.75069444444444444</v>
      </c>
      <c r="Q1163" s="266">
        <v>0.75277777777777777</v>
      </c>
      <c r="R1163" s="261">
        <f>IF(Table6[[#This Row],[Work Start TimeStamp]]="","",(Table6[[#This Row],[Work Start TimeStamp]]-Table6[[#This Row],[Fault Start TimeStamp]])*24)</f>
        <v>0</v>
      </c>
      <c r="S1163" s="261">
        <f>(Table6[[#This Row],[Fault Clearance time]]-Table6[[#This Row],[Work Start TimeStamp]])*24</f>
        <v>4.9999999999999822E-2</v>
      </c>
      <c r="T1163" s="261">
        <f>(Table6[[#This Row],[Fault Clearance time]]-Table6[[#This Row],[Fault Start TimeStamp]])*24</f>
        <v>4.9999999999999822E-2</v>
      </c>
      <c r="U1163" s="35" t="s">
        <v>483</v>
      </c>
      <c r="V1163" s="102" t="s">
        <v>268</v>
      </c>
      <c r="W1163" s="267">
        <f>IFERROR(Table6[[#This Row],[Breakdown Time]]*Table6[[#This Row],[Plant Equivalent Weightage]],"")</f>
        <v>1.9230769230769156E-3</v>
      </c>
      <c r="X1163" s="262" t="s">
        <v>269</v>
      </c>
      <c r="Y1163" s="263" t="s">
        <v>120</v>
      </c>
      <c r="Z1163" s="102">
        <v>38942</v>
      </c>
      <c r="AA1163" s="257">
        <f>(Table6[[#This Row],[Paired WTG Generation for loss calculation]]/24)*Table6[[#This Row],[Breakdown Time]]</f>
        <v>81.129166666666379</v>
      </c>
      <c r="AB1163" s="102"/>
      <c r="AC1163" s="35"/>
      <c r="AD1163" s="35"/>
    </row>
    <row r="1164" spans="1:30">
      <c r="A1164" s="102">
        <f t="shared" si="18"/>
        <v>1163</v>
      </c>
      <c r="B1164" s="257">
        <f>YEAR(Table6[[#This Row],[Date]])+IF(MONTH(Table6[[#This Row],[Date]])&gt;=4,1,0)</f>
        <v>2026</v>
      </c>
      <c r="C1164" s="102">
        <f>YEAR(Table6[[#This Row],[Date]])</f>
        <v>2025</v>
      </c>
      <c r="D1164" s="102" t="s">
        <v>265</v>
      </c>
      <c r="E1164" s="258">
        <f>Table6[[#This Row],[Date]]-DAY(Table6[[#This Row],[Date]])+1</f>
        <v>45809</v>
      </c>
      <c r="F1164" s="259">
        <v>45821</v>
      </c>
      <c r="G1164" s="35" t="s">
        <v>115</v>
      </c>
      <c r="H1164" s="35" t="str">
        <f>IFERROR(_xlfn.XLOOKUP(Table6[[#This Row],[Affected WTG]],'Basic Data'!$A:$A,'Basic Data'!$B:$B),"")</f>
        <v>TQGXIIPL</v>
      </c>
      <c r="I1164" s="35" t="str">
        <f>IFERROR(_xlfn.XLOOKUP(Table6[[#This Row],[Affected WTG]],'Basic Data'!$A:$A,'Basic Data'!$C:$C),"")</f>
        <v>GEDA</v>
      </c>
      <c r="J1164" s="260">
        <f>IFERROR(_xlfn.XLOOKUP(Table6[[#This Row],[Affected WTG]],'Basic Data'!$A:$A,'Basic Data'!$E:$E),"")</f>
        <v>3.846153846153845E-2</v>
      </c>
      <c r="K1164" s="102">
        <v>6130</v>
      </c>
      <c r="L1164" s="35" t="str">
        <f>IFERROR(_xlfn.XLOOKUP(Table6[[#This Row],[Error Code]],'Basic Data'!$AA:$AA,'Basic Data'!$AB:$AB),"Incorrect Error Code")</f>
        <v>Yaw speed high</v>
      </c>
      <c r="M1164" s="35" t="s">
        <v>278</v>
      </c>
      <c r="N1164" s="264"/>
      <c r="O1164" s="265">
        <v>0.52708333333333335</v>
      </c>
      <c r="P1164" s="265">
        <v>0.52708333333333335</v>
      </c>
      <c r="Q1164" s="266">
        <v>0.53125</v>
      </c>
      <c r="R1164" s="261">
        <f>IF(Table6[[#This Row],[Work Start TimeStamp]]="","",(Table6[[#This Row],[Work Start TimeStamp]]-Table6[[#This Row],[Fault Start TimeStamp]])*24)</f>
        <v>0</v>
      </c>
      <c r="S1164" s="261">
        <f>(Table6[[#This Row],[Fault Clearance time]]-Table6[[#This Row],[Work Start TimeStamp]])*24</f>
        <v>9.9999999999999645E-2</v>
      </c>
      <c r="T1164" s="261">
        <f>(Table6[[#This Row],[Fault Clearance time]]-Table6[[#This Row],[Fault Start TimeStamp]])*24</f>
        <v>9.9999999999999645E-2</v>
      </c>
      <c r="U1164" s="35" t="s">
        <v>277</v>
      </c>
      <c r="V1164" s="102" t="s">
        <v>268</v>
      </c>
      <c r="W1164" s="267">
        <f>IFERROR(Table6[[#This Row],[Breakdown Time]]*Table6[[#This Row],[Plant Equivalent Weightage]],"")</f>
        <v>3.8461538461538312E-3</v>
      </c>
      <c r="X1164" s="262" t="s">
        <v>269</v>
      </c>
      <c r="Y1164" s="263" t="s">
        <v>140</v>
      </c>
      <c r="Z1164" s="102">
        <v>35207</v>
      </c>
      <c r="AA1164" s="257">
        <f>(Table6[[#This Row],[Paired WTG Generation for loss calculation]]/24)*Table6[[#This Row],[Breakdown Time]]</f>
        <v>146.69583333333281</v>
      </c>
      <c r="AB1164" s="102"/>
      <c r="AC1164" s="35"/>
      <c r="AD1164" s="35"/>
    </row>
    <row r="1165" spans="1:30">
      <c r="A1165" s="102">
        <f t="shared" si="18"/>
        <v>1164</v>
      </c>
      <c r="B1165" s="257">
        <f>YEAR(Table6[[#This Row],[Date]])+IF(MONTH(Table6[[#This Row],[Date]])&gt;=4,1,0)</f>
        <v>2026</v>
      </c>
      <c r="C1165" s="102">
        <f>YEAR(Table6[[#This Row],[Date]])</f>
        <v>2025</v>
      </c>
      <c r="D1165" s="102" t="s">
        <v>265</v>
      </c>
      <c r="E1165" s="258">
        <f>Table6[[#This Row],[Date]]-DAY(Table6[[#This Row],[Date]])+1</f>
        <v>45809</v>
      </c>
      <c r="F1165" s="259">
        <v>45821</v>
      </c>
      <c r="G1165" s="35" t="s">
        <v>115</v>
      </c>
      <c r="H1165" s="35" t="str">
        <f>IFERROR(_xlfn.XLOOKUP(Table6[[#This Row],[Affected WTG]],'Basic Data'!$A:$A,'Basic Data'!$B:$B),"")</f>
        <v>TQGXIIPL</v>
      </c>
      <c r="I1165" s="35" t="str">
        <f>IFERROR(_xlfn.XLOOKUP(Table6[[#This Row],[Affected WTG]],'Basic Data'!$A:$A,'Basic Data'!$C:$C),"")</f>
        <v>GEDA</v>
      </c>
      <c r="J1165" s="260">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266</v>
      </c>
      <c r="N1165" s="264"/>
      <c r="O1165" s="265">
        <v>0.53194444444444444</v>
      </c>
      <c r="P1165" s="265">
        <v>0.53194444444444444</v>
      </c>
      <c r="Q1165" s="266">
        <v>0.53402777777777777</v>
      </c>
      <c r="R1165" s="261">
        <f>IF(Table6[[#This Row],[Work Start TimeStamp]]="","",(Table6[[#This Row],[Work Start TimeStamp]]-Table6[[#This Row],[Fault Start TimeStamp]])*24)</f>
        <v>0</v>
      </c>
      <c r="S1165" s="261">
        <f>(Table6[[#This Row],[Fault Clearance time]]-Table6[[#This Row],[Work Start TimeStamp]])*24</f>
        <v>4.9999999999999822E-2</v>
      </c>
      <c r="T1165" s="261">
        <f>(Table6[[#This Row],[Fault Clearance time]]-Table6[[#This Row],[Fault Start TimeStamp]])*24</f>
        <v>4.9999999999999822E-2</v>
      </c>
      <c r="U1165" s="35" t="s">
        <v>483</v>
      </c>
      <c r="V1165" s="102" t="s">
        <v>268</v>
      </c>
      <c r="W1165" s="267">
        <f>IFERROR(Table6[[#This Row],[Breakdown Time]]*Table6[[#This Row],[Plant Equivalent Weightage]],"")</f>
        <v>1.9230769230769156E-3</v>
      </c>
      <c r="X1165" s="262" t="s">
        <v>269</v>
      </c>
      <c r="Y1165" s="263" t="s">
        <v>140</v>
      </c>
      <c r="Z1165" s="102">
        <v>35207</v>
      </c>
      <c r="AA1165" s="257">
        <f>(Table6[[#This Row],[Paired WTG Generation for loss calculation]]/24)*Table6[[#This Row],[Breakdown Time]]</f>
        <v>73.347916666666407</v>
      </c>
      <c r="AB1165" s="102"/>
      <c r="AC1165" s="35"/>
      <c r="AD1165" s="35"/>
    </row>
    <row r="1166" spans="1:30">
      <c r="A1166" s="102">
        <f t="shared" ref="A1166:A1230" si="19">A1165+1</f>
        <v>1165</v>
      </c>
      <c r="B1166" s="257">
        <f>YEAR(Table6[[#This Row],[Date]])+IF(MONTH(Table6[[#This Row],[Date]])&gt;=4,1,0)</f>
        <v>2026</v>
      </c>
      <c r="C1166" s="102">
        <f>YEAR(Table6[[#This Row],[Date]])</f>
        <v>2025</v>
      </c>
      <c r="D1166" s="102" t="s">
        <v>265</v>
      </c>
      <c r="E1166" s="258">
        <f>Table6[[#This Row],[Date]]-DAY(Table6[[#This Row],[Date]])+1</f>
        <v>45809</v>
      </c>
      <c r="F1166" s="259">
        <v>45821</v>
      </c>
      <c r="G1166" s="35" t="s">
        <v>117</v>
      </c>
      <c r="H1166" s="35" t="str">
        <f>IFERROR(_xlfn.XLOOKUP(Table6[[#This Row],[Affected WTG]],'Basic Data'!$A:$A,'Basic Data'!$B:$B),"")</f>
        <v>TQGXIIPL</v>
      </c>
      <c r="I1166" s="35" t="str">
        <f>IFERROR(_xlfn.XLOOKUP(Table6[[#This Row],[Affected WTG]],'Basic Data'!$A:$A,'Basic Data'!$C:$C),"")</f>
        <v>GEDA</v>
      </c>
      <c r="J1166" s="260">
        <f>IFERROR(_xlfn.XLOOKUP(Table6[[#This Row],[Affected WTG]],'Basic Data'!$A:$A,'Basic Data'!$E:$E),"")</f>
        <v>3.846153846153845E-2</v>
      </c>
      <c r="K1166" s="102">
        <v>4970</v>
      </c>
      <c r="L1166" s="35" t="str">
        <f>IFERROR(_xlfn.XLOOKUP(Table6[[#This Row],[Error Code]],'Basic Data'!$AA:$AA,'Basic Data'!$AB:$AB),"Incorrect Error Code")</f>
        <v>Tower oscillation XF</v>
      </c>
      <c r="M1166" s="35" t="s">
        <v>266</v>
      </c>
      <c r="N1166" s="264"/>
      <c r="O1166" s="265">
        <v>0.52569444444444446</v>
      </c>
      <c r="P1166" s="265">
        <v>0.52569444444444446</v>
      </c>
      <c r="Q1166" s="266">
        <v>0.53263888888888888</v>
      </c>
      <c r="R1166" s="261">
        <f>IF(Table6[[#This Row],[Work Start TimeStamp]]="","",(Table6[[#This Row],[Work Start TimeStamp]]-Table6[[#This Row],[Fault Start TimeStamp]])*24)</f>
        <v>0</v>
      </c>
      <c r="S1166" s="261">
        <f>(Table6[[#This Row],[Fault Clearance time]]-Table6[[#This Row],[Work Start TimeStamp]])*24</f>
        <v>0.16666666666666607</v>
      </c>
      <c r="T1166" s="261">
        <f>(Table6[[#This Row],[Fault Clearance time]]-Table6[[#This Row],[Fault Start TimeStamp]])*24</f>
        <v>0.16666666666666607</v>
      </c>
      <c r="U1166" s="35" t="s">
        <v>483</v>
      </c>
      <c r="V1166" s="102" t="s">
        <v>268</v>
      </c>
      <c r="W1166" s="267">
        <f>IFERROR(Table6[[#This Row],[Breakdown Time]]*Table6[[#This Row],[Plant Equivalent Weightage]],"")</f>
        <v>6.4102564102563857E-3</v>
      </c>
      <c r="X1166" s="262" t="s">
        <v>269</v>
      </c>
      <c r="Y1166" s="263" t="s">
        <v>123</v>
      </c>
      <c r="Z1166" s="102">
        <v>33994</v>
      </c>
      <c r="AA1166" s="257">
        <f>(Table6[[#This Row],[Paired WTG Generation for loss calculation]]/24)*Table6[[#This Row],[Breakdown Time]]</f>
        <v>236.0694444444436</v>
      </c>
      <c r="AB1166" s="102"/>
      <c r="AC1166" s="35"/>
      <c r="AD1166" s="35"/>
    </row>
    <row r="1167" spans="1:30">
      <c r="A1167" s="102">
        <f t="shared" si="19"/>
        <v>1166</v>
      </c>
      <c r="B1167" s="257">
        <f>YEAR(Table6[[#This Row],[Date]])+IF(MONTH(Table6[[#This Row],[Date]])&gt;=4,1,0)</f>
        <v>2026</v>
      </c>
      <c r="C1167" s="102">
        <f>YEAR(Table6[[#This Row],[Date]])</f>
        <v>2025</v>
      </c>
      <c r="D1167" s="102" t="s">
        <v>265</v>
      </c>
      <c r="E1167" s="258">
        <f>Table6[[#This Row],[Date]]-DAY(Table6[[#This Row],[Date]])+1</f>
        <v>45809</v>
      </c>
      <c r="F1167" s="259">
        <v>45821</v>
      </c>
      <c r="G1167" s="35" t="s">
        <v>117</v>
      </c>
      <c r="H1167" s="35" t="str">
        <f>IFERROR(_xlfn.XLOOKUP(Table6[[#This Row],[Affected WTG]],'Basic Data'!$A:$A,'Basic Data'!$B:$B),"")</f>
        <v>TQGXIIPL</v>
      </c>
      <c r="I1167" s="35" t="str">
        <f>IFERROR(_xlfn.XLOOKUP(Table6[[#This Row],[Affected WTG]],'Basic Data'!$A:$A,'Basic Data'!$C:$C),"")</f>
        <v>GEDA</v>
      </c>
      <c r="J1167" s="260">
        <f>IFERROR(_xlfn.XLOOKUP(Table6[[#This Row],[Affected WTG]],'Basic Data'!$A:$A,'Basic Data'!$E:$E),"")</f>
        <v>3.846153846153845E-2</v>
      </c>
      <c r="K1167" s="102">
        <v>55</v>
      </c>
      <c r="L1167" s="35" t="str">
        <f>IFERROR(_xlfn.XLOOKUP(Table6[[#This Row],[Error Code]],'Basic Data'!$AA:$AA,'Basic Data'!$AB:$AB),"Incorrect Error Code")</f>
        <v>WTG shut down</v>
      </c>
      <c r="M1167" s="35" t="s">
        <v>266</v>
      </c>
      <c r="N1167" s="264"/>
      <c r="O1167" s="265">
        <v>0.64583333333333337</v>
      </c>
      <c r="P1167" s="265">
        <v>0.64583333333333337</v>
      </c>
      <c r="Q1167" s="266">
        <v>0.80833333333333335</v>
      </c>
      <c r="R1167" s="261">
        <f>IF(Table6[[#This Row],[Work Start TimeStamp]]="","",(Table6[[#This Row],[Work Start TimeStamp]]-Table6[[#This Row],[Fault Start TimeStamp]])*24)</f>
        <v>0</v>
      </c>
      <c r="S1167" s="261">
        <f>(Table6[[#This Row],[Fault Clearance time]]-Table6[[#This Row],[Work Start TimeStamp]])*24</f>
        <v>3.8999999999999995</v>
      </c>
      <c r="T1167" s="261">
        <f>(Table6[[#This Row],[Fault Clearance time]]-Table6[[#This Row],[Fault Start TimeStamp]])*24</f>
        <v>3.8999999999999995</v>
      </c>
      <c r="U1167" s="35" t="s">
        <v>518</v>
      </c>
      <c r="V1167" s="102" t="s">
        <v>268</v>
      </c>
      <c r="W1167" s="267">
        <f>IFERROR(Table6[[#This Row],[Breakdown Time]]*Table6[[#This Row],[Plant Equivalent Weightage]],"")</f>
        <v>0.14999999999999994</v>
      </c>
      <c r="X1167" s="262" t="s">
        <v>296</v>
      </c>
      <c r="Y1167" s="263" t="s">
        <v>123</v>
      </c>
      <c r="Z1167" s="102">
        <v>33994</v>
      </c>
      <c r="AA1167" s="257">
        <f>(Table6[[#This Row],[Paired WTG Generation for loss calculation]]/24)*Table6[[#This Row],[Breakdown Time]]</f>
        <v>5524.0249999999996</v>
      </c>
      <c r="AB1167" s="102"/>
      <c r="AC1167" s="35"/>
      <c r="AD1167" s="35"/>
    </row>
    <row r="1168" spans="1:30">
      <c r="A1168" s="102">
        <f t="shared" si="19"/>
        <v>1167</v>
      </c>
      <c r="B1168" s="257">
        <f>YEAR(Table6[[#This Row],[Date]])+IF(MONTH(Table6[[#This Row],[Date]])&gt;=4,1,0)</f>
        <v>2026</v>
      </c>
      <c r="C1168" s="102">
        <f>YEAR(Table6[[#This Row],[Date]])</f>
        <v>2025</v>
      </c>
      <c r="D1168" s="102" t="s">
        <v>265</v>
      </c>
      <c r="E1168" s="258">
        <f>Table6[[#This Row],[Date]]-DAY(Table6[[#This Row],[Date]])+1</f>
        <v>45809</v>
      </c>
      <c r="F1168" s="259">
        <v>45821</v>
      </c>
      <c r="G1168" s="35" t="s">
        <v>118</v>
      </c>
      <c r="H1168" s="35" t="str">
        <f>IFERROR(_xlfn.XLOOKUP(Table6[[#This Row],[Affected WTG]],'Basic Data'!$A:$A,'Basic Data'!$B:$B),"")</f>
        <v>TQGXIIPL</v>
      </c>
      <c r="I1168" s="35" t="str">
        <f>IFERROR(_xlfn.XLOOKUP(Table6[[#This Row],[Affected WTG]],'Basic Data'!$A:$A,'Basic Data'!$C:$C),"")</f>
        <v>GEDA</v>
      </c>
      <c r="J1168" s="260">
        <f>IFERROR(_xlfn.XLOOKUP(Table6[[#This Row],[Affected WTG]],'Basic Data'!$A:$A,'Basic Data'!$E:$E),"")</f>
        <v>3.846153846153845E-2</v>
      </c>
      <c r="K1168" s="102">
        <v>6130</v>
      </c>
      <c r="L1168" s="35" t="str">
        <f>IFERROR(_xlfn.XLOOKUP(Table6[[#This Row],[Error Code]],'Basic Data'!$AA:$AA,'Basic Data'!$AB:$AB),"Incorrect Error Code")</f>
        <v>Yaw speed high</v>
      </c>
      <c r="M1168" s="35" t="s">
        <v>278</v>
      </c>
      <c r="N1168" s="264"/>
      <c r="O1168" s="265">
        <v>0.49027777777777776</v>
      </c>
      <c r="P1168" s="265">
        <v>0.49027777777777776</v>
      </c>
      <c r="Q1168" s="266">
        <v>0.49444444444444446</v>
      </c>
      <c r="R1168" s="261">
        <f>IF(Table6[[#This Row],[Work Start TimeStamp]]="","",(Table6[[#This Row],[Work Start TimeStamp]]-Table6[[#This Row],[Fault Start TimeStamp]])*24)</f>
        <v>0</v>
      </c>
      <c r="S1168" s="261">
        <f>(Table6[[#This Row],[Fault Clearance time]]-Table6[[#This Row],[Work Start TimeStamp]])*24</f>
        <v>0.10000000000000098</v>
      </c>
      <c r="T1168" s="261">
        <f>(Table6[[#This Row],[Fault Clearance time]]-Table6[[#This Row],[Fault Start TimeStamp]])*24</f>
        <v>0.10000000000000098</v>
      </c>
      <c r="U1168" s="35" t="s">
        <v>277</v>
      </c>
      <c r="V1168" s="102" t="s">
        <v>268</v>
      </c>
      <c r="W1168" s="267">
        <f>IFERROR(Table6[[#This Row],[Breakdown Time]]*Table6[[#This Row],[Plant Equivalent Weightage]],"")</f>
        <v>3.8461538461538824E-3</v>
      </c>
      <c r="X1168" s="262" t="s">
        <v>269</v>
      </c>
      <c r="Y1168" s="263" t="s">
        <v>121</v>
      </c>
      <c r="Z1168" s="102">
        <v>36104</v>
      </c>
      <c r="AA1168" s="257">
        <f>(Table6[[#This Row],[Paired WTG Generation for loss calculation]]/24)*Table6[[#This Row],[Breakdown Time]]</f>
        <v>150.43333333333479</v>
      </c>
      <c r="AB1168" s="102"/>
      <c r="AC1168" s="35"/>
      <c r="AD1168" s="35"/>
    </row>
    <row r="1169" spans="1:30">
      <c r="A1169" s="102">
        <f t="shared" si="19"/>
        <v>1168</v>
      </c>
      <c r="B1169" s="257">
        <f>YEAR(Table6[[#This Row],[Date]])+IF(MONTH(Table6[[#This Row],[Date]])&gt;=4,1,0)</f>
        <v>2026</v>
      </c>
      <c r="C1169" s="102">
        <f>YEAR(Table6[[#This Row],[Date]])</f>
        <v>2025</v>
      </c>
      <c r="D1169" s="102" t="s">
        <v>265</v>
      </c>
      <c r="E1169" s="258">
        <f>Table6[[#This Row],[Date]]-DAY(Table6[[#This Row],[Date]])+1</f>
        <v>45809</v>
      </c>
      <c r="F1169" s="259">
        <v>45821</v>
      </c>
      <c r="G1169" s="35" t="s">
        <v>122</v>
      </c>
      <c r="H1169" s="35" t="str">
        <f>IFERROR(_xlfn.XLOOKUP(Table6[[#This Row],[Affected WTG]],'Basic Data'!$A:$A,'Basic Data'!$B:$B),"")</f>
        <v>TQGXIIPL</v>
      </c>
      <c r="I1169" s="35" t="str">
        <f>IFERROR(_xlfn.XLOOKUP(Table6[[#This Row],[Affected WTG]],'Basic Data'!$A:$A,'Basic Data'!$C:$C),"")</f>
        <v>GEDA</v>
      </c>
      <c r="J1169" s="260">
        <f>IFERROR(_xlfn.XLOOKUP(Table6[[#This Row],[Affected WTG]],'Basic Data'!$A:$A,'Basic Data'!$E:$E),"")</f>
        <v>3.846153846153845E-2</v>
      </c>
      <c r="K1169" s="102">
        <v>6605</v>
      </c>
      <c r="L1169" s="35" t="str">
        <f>IFERROR(_xlfn.XLOOKUP(Table6[[#This Row],[Error Code]],'Basic Data'!$AA:$AA,'Basic Data'!$AB:$AB),"Incorrect Error Code")</f>
        <v>Wind.dir. diff. level 2</v>
      </c>
      <c r="M1169" s="35" t="s">
        <v>266</v>
      </c>
      <c r="N1169" s="264"/>
      <c r="O1169" s="265">
        <v>0.50624999999999998</v>
      </c>
      <c r="P1169" s="265">
        <v>0.50624999999999998</v>
      </c>
      <c r="Q1169" s="266">
        <v>0.50763888888888886</v>
      </c>
      <c r="R1169" s="261">
        <f>IF(Table6[[#This Row],[Work Start TimeStamp]]="","",(Table6[[#This Row],[Work Start TimeStamp]]-Table6[[#This Row],[Fault Start TimeStamp]])*24)</f>
        <v>0</v>
      </c>
      <c r="S1169" s="261">
        <f>(Table6[[#This Row],[Fault Clearance time]]-Table6[[#This Row],[Work Start TimeStamp]])*24</f>
        <v>3.3333333333333215E-2</v>
      </c>
      <c r="T1169" s="261">
        <f>(Table6[[#This Row],[Fault Clearance time]]-Table6[[#This Row],[Fault Start TimeStamp]])*24</f>
        <v>3.3333333333333215E-2</v>
      </c>
      <c r="U1169" s="35" t="s">
        <v>483</v>
      </c>
      <c r="V1169" s="102" t="s">
        <v>268</v>
      </c>
      <c r="W1169" s="267">
        <f>IFERROR(Table6[[#This Row],[Breakdown Time]]*Table6[[#This Row],[Plant Equivalent Weightage]],"")</f>
        <v>1.2820512820512771E-3</v>
      </c>
      <c r="X1169" s="262" t="s">
        <v>269</v>
      </c>
      <c r="Y1169" s="263" t="s">
        <v>140</v>
      </c>
      <c r="Z1169" s="102">
        <v>35207</v>
      </c>
      <c r="AA1169" s="257">
        <f>(Table6[[#This Row],[Paired WTG Generation for loss calculation]]/24)*Table6[[#This Row],[Breakdown Time]]</f>
        <v>48.898611111110938</v>
      </c>
      <c r="AB1169" s="102"/>
      <c r="AC1169" s="35"/>
      <c r="AD1169" s="35"/>
    </row>
    <row r="1170" spans="1:30">
      <c r="A1170" s="102">
        <f t="shared" si="19"/>
        <v>1169</v>
      </c>
      <c r="B1170" s="257">
        <f>YEAR(Table6[[#This Row],[Date]])+IF(MONTH(Table6[[#This Row],[Date]])&gt;=4,1,0)</f>
        <v>2026</v>
      </c>
      <c r="C1170" s="102">
        <f>YEAR(Table6[[#This Row],[Date]])</f>
        <v>2025</v>
      </c>
      <c r="D1170" s="102" t="s">
        <v>265</v>
      </c>
      <c r="E1170" s="258">
        <f>Table6[[#This Row],[Date]]-DAY(Table6[[#This Row],[Date]])+1</f>
        <v>45809</v>
      </c>
      <c r="F1170" s="259">
        <v>45821</v>
      </c>
      <c r="G1170" s="35" t="s">
        <v>125</v>
      </c>
      <c r="H1170" s="35" t="str">
        <f>IFERROR(_xlfn.XLOOKUP(Table6[[#This Row],[Affected WTG]],'Basic Data'!$A:$A,'Basic Data'!$B:$B),"")</f>
        <v>TQGXIIPL</v>
      </c>
      <c r="I1170" s="35" t="str">
        <f>IFERROR(_xlfn.XLOOKUP(Table6[[#This Row],[Affected WTG]],'Basic Data'!$A:$A,'Basic Data'!$C:$C),"")</f>
        <v>GEDA</v>
      </c>
      <c r="J1170" s="260">
        <f>IFERROR(_xlfn.XLOOKUP(Table6[[#This Row],[Affected WTG]],'Basic Data'!$A:$A,'Basic Data'!$E:$E),"")</f>
        <v>3.846153846153845E-2</v>
      </c>
      <c r="K1170" s="102">
        <v>6130</v>
      </c>
      <c r="L1170" s="35" t="str">
        <f>IFERROR(_xlfn.XLOOKUP(Table6[[#This Row],[Error Code]],'Basic Data'!$AA:$AA,'Basic Data'!$AB:$AB),"Incorrect Error Code")</f>
        <v>Yaw speed high</v>
      </c>
      <c r="M1170" s="35" t="s">
        <v>266</v>
      </c>
      <c r="N1170" s="264"/>
      <c r="O1170" s="265">
        <v>0.63541666666666663</v>
      </c>
      <c r="P1170" s="265">
        <v>0.63541666666666663</v>
      </c>
      <c r="Q1170" s="266">
        <v>0.64027777777777772</v>
      </c>
      <c r="R1170" s="261">
        <f>IF(Table6[[#This Row],[Work Start TimeStamp]]="","",(Table6[[#This Row],[Work Start TimeStamp]]-Table6[[#This Row],[Fault Start TimeStamp]])*24)</f>
        <v>0</v>
      </c>
      <c r="S1170" s="261">
        <f>(Table6[[#This Row],[Fault Clearance time]]-Table6[[#This Row],[Work Start TimeStamp]])*24</f>
        <v>0.11666666666666625</v>
      </c>
      <c r="T1170" s="261">
        <f>(Table6[[#This Row],[Fault Clearance time]]-Table6[[#This Row],[Fault Start TimeStamp]])*24</f>
        <v>0.11666666666666625</v>
      </c>
      <c r="U1170" s="35" t="s">
        <v>494</v>
      </c>
      <c r="V1170" s="102" t="s">
        <v>268</v>
      </c>
      <c r="W1170" s="267">
        <f>IFERROR(Table6[[#This Row],[Breakdown Time]]*Table6[[#This Row],[Plant Equivalent Weightage]],"")</f>
        <v>4.4871794871794695E-3</v>
      </c>
      <c r="X1170" s="262" t="s">
        <v>269</v>
      </c>
      <c r="Y1170" s="263" t="s">
        <v>126</v>
      </c>
      <c r="Z1170" s="102">
        <v>34595</v>
      </c>
      <c r="AA1170" s="257">
        <f>(Table6[[#This Row],[Paired WTG Generation for loss calculation]]/24)*Table6[[#This Row],[Breakdown Time]]</f>
        <v>168.17013888888829</v>
      </c>
      <c r="AB1170" s="102"/>
      <c r="AC1170" s="35"/>
      <c r="AD1170" s="35"/>
    </row>
    <row r="1171" spans="1:30">
      <c r="A1171" s="102">
        <f t="shared" si="19"/>
        <v>1170</v>
      </c>
      <c r="B1171" s="257">
        <f>YEAR(Table6[[#This Row],[Date]])+IF(MONTH(Table6[[#This Row],[Date]])&gt;=4,1,0)</f>
        <v>2026</v>
      </c>
      <c r="C1171" s="102">
        <f>YEAR(Table6[[#This Row],[Date]])</f>
        <v>2025</v>
      </c>
      <c r="D1171" s="102" t="s">
        <v>265</v>
      </c>
      <c r="E1171" s="258">
        <f>Table6[[#This Row],[Date]]-DAY(Table6[[#This Row],[Date]])+1</f>
        <v>45809</v>
      </c>
      <c r="F1171" s="259">
        <v>45821</v>
      </c>
      <c r="G1171" s="35" t="s">
        <v>131</v>
      </c>
      <c r="H1171" s="35" t="str">
        <f>IFERROR(_xlfn.XLOOKUP(Table6[[#This Row],[Affected WTG]],'Basic Data'!$A:$A,'Basic Data'!$B:$B),"")</f>
        <v>TQGXIIPL</v>
      </c>
      <c r="I1171" s="35" t="str">
        <f>IFERROR(_xlfn.XLOOKUP(Table6[[#This Row],[Affected WTG]],'Basic Data'!$A:$A,'Basic Data'!$C:$C),"")</f>
        <v>GEDA</v>
      </c>
      <c r="J1171" s="260">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266</v>
      </c>
      <c r="N1171" s="264"/>
      <c r="O1171" s="265">
        <v>9.166666666666666E-2</v>
      </c>
      <c r="P1171" s="265">
        <v>9.166666666666666E-2</v>
      </c>
      <c r="Q1171" s="266">
        <v>0.10208333333333333</v>
      </c>
      <c r="R1171" s="261">
        <f>IF(Table6[[#This Row],[Work Start TimeStamp]]="","",(Table6[[#This Row],[Work Start TimeStamp]]-Table6[[#This Row],[Fault Start TimeStamp]])*24)</f>
        <v>0</v>
      </c>
      <c r="S1171" s="261">
        <f>(Table6[[#This Row],[Fault Clearance time]]-Table6[[#This Row],[Work Start TimeStamp]])*24</f>
        <v>0.25000000000000011</v>
      </c>
      <c r="T1171" s="261">
        <f>(Table6[[#This Row],[Fault Clearance time]]-Table6[[#This Row],[Fault Start TimeStamp]])*24</f>
        <v>0.25000000000000011</v>
      </c>
      <c r="U1171" s="35" t="s">
        <v>494</v>
      </c>
      <c r="V1171" s="102" t="s">
        <v>268</v>
      </c>
      <c r="W1171" s="267">
        <f>IFERROR(Table6[[#This Row],[Breakdown Time]]*Table6[[#This Row],[Plant Equivalent Weightage]],"")</f>
        <v>9.6153846153846159E-3</v>
      </c>
      <c r="X1171" s="262" t="s">
        <v>269</v>
      </c>
      <c r="Y1171" s="263" t="s">
        <v>136</v>
      </c>
      <c r="Z1171" s="102">
        <v>38130</v>
      </c>
      <c r="AA1171" s="257">
        <f>(Table6[[#This Row],[Paired WTG Generation for loss calculation]]/24)*Table6[[#This Row],[Breakdown Time]]</f>
        <v>397.18750000000017</v>
      </c>
      <c r="AB1171" s="102"/>
      <c r="AC1171" s="35"/>
      <c r="AD1171" s="35"/>
    </row>
    <row r="1172" spans="1:30">
      <c r="A1172" s="102">
        <f t="shared" si="19"/>
        <v>1171</v>
      </c>
      <c r="B1172" s="257">
        <f>YEAR(Table6[[#This Row],[Date]])+IF(MONTH(Table6[[#This Row],[Date]])&gt;=4,1,0)</f>
        <v>2026</v>
      </c>
      <c r="C1172" s="102">
        <f>YEAR(Table6[[#This Row],[Date]])</f>
        <v>2025</v>
      </c>
      <c r="D1172" s="102" t="s">
        <v>265</v>
      </c>
      <c r="E1172" s="258">
        <f>Table6[[#This Row],[Date]]-DAY(Table6[[#This Row],[Date]])+1</f>
        <v>45809</v>
      </c>
      <c r="F1172" s="259">
        <v>45822</v>
      </c>
      <c r="G1172" s="35" t="s">
        <v>116</v>
      </c>
      <c r="H1172" s="35" t="str">
        <f>IFERROR(_xlfn.XLOOKUP(Table6[[#This Row],[Affected WTG]],'Basic Data'!$A:$A,'Basic Data'!$B:$B),"")</f>
        <v>TQGXIIPL</v>
      </c>
      <c r="I1172" s="35" t="str">
        <f>IFERROR(_xlfn.XLOOKUP(Table6[[#This Row],[Affected WTG]],'Basic Data'!$A:$A,'Basic Data'!$C:$C),"")</f>
        <v>GEDA</v>
      </c>
      <c r="J1172" s="260">
        <f>IFERROR(_xlfn.XLOOKUP(Table6[[#This Row],[Affected WTG]],'Basic Data'!$A:$A,'Basic Data'!$E:$E),"")</f>
        <v>3.846153846153845E-2</v>
      </c>
      <c r="K1172" s="102">
        <v>6130</v>
      </c>
      <c r="L1172" s="35" t="str">
        <f>IFERROR(_xlfn.XLOOKUP(Table6[[#This Row],[Error Code]],'Basic Data'!$AA:$AA,'Basic Data'!$AB:$AB),"Incorrect Error Code")</f>
        <v>Yaw speed high</v>
      </c>
      <c r="M1172" s="35" t="s">
        <v>266</v>
      </c>
      <c r="N1172" s="264"/>
      <c r="O1172" s="265">
        <v>0.72291666666666665</v>
      </c>
      <c r="P1172" s="265">
        <v>0.72291666666666665</v>
      </c>
      <c r="Q1172" s="266">
        <v>0.72499999999999998</v>
      </c>
      <c r="R1172" s="261">
        <f>IF(Table6[[#This Row],[Work Start TimeStamp]]="","",(Table6[[#This Row],[Work Start TimeStamp]]-Table6[[#This Row],[Fault Start TimeStamp]])*24)</f>
        <v>0</v>
      </c>
      <c r="S1172" s="261">
        <f>(Table6[[#This Row],[Fault Clearance time]]-Table6[[#This Row],[Work Start TimeStamp]])*24</f>
        <v>4.9999999999999822E-2</v>
      </c>
      <c r="T1172" s="261">
        <f>(Table6[[#This Row],[Fault Clearance time]]-Table6[[#This Row],[Fault Start TimeStamp]])*24</f>
        <v>4.9999999999999822E-2</v>
      </c>
      <c r="U1172" s="35" t="s">
        <v>483</v>
      </c>
      <c r="V1172" s="102" t="s">
        <v>268</v>
      </c>
      <c r="W1172" s="267">
        <f>IFERROR(Table6[[#This Row],[Breakdown Time]]*Table6[[#This Row],[Plant Equivalent Weightage]],"")</f>
        <v>1.9230769230769156E-3</v>
      </c>
      <c r="X1172" s="262" t="s">
        <v>269</v>
      </c>
      <c r="Y1172" s="263" t="s">
        <v>119</v>
      </c>
      <c r="Z1172" s="102">
        <v>21920</v>
      </c>
      <c r="AA1172" s="257">
        <f>(Table6[[#This Row],[Paired WTG Generation for loss calculation]]/24)*Table6[[#This Row],[Breakdown Time]]</f>
        <v>45.666666666666508</v>
      </c>
      <c r="AB1172" s="102"/>
      <c r="AC1172" s="35"/>
      <c r="AD1172" s="35"/>
    </row>
    <row r="1173" spans="1:30">
      <c r="A1173" s="102">
        <f t="shared" si="19"/>
        <v>1172</v>
      </c>
      <c r="B1173" s="257">
        <f>YEAR(Table6[[#This Row],[Date]])+IF(MONTH(Table6[[#This Row],[Date]])&gt;=4,1,0)</f>
        <v>2026</v>
      </c>
      <c r="C1173" s="102">
        <f>YEAR(Table6[[#This Row],[Date]])</f>
        <v>2025</v>
      </c>
      <c r="D1173" s="102" t="s">
        <v>265</v>
      </c>
      <c r="E1173" s="258">
        <f>Table6[[#This Row],[Date]]-DAY(Table6[[#This Row],[Date]])+1</f>
        <v>45809</v>
      </c>
      <c r="F1173" s="259">
        <v>45822</v>
      </c>
      <c r="G1173" s="35" t="s">
        <v>117</v>
      </c>
      <c r="H1173" s="35" t="str">
        <f>IFERROR(_xlfn.XLOOKUP(Table6[[#This Row],[Affected WTG]],'Basic Data'!$A:$A,'Basic Data'!$B:$B),"")</f>
        <v>TQGXIIPL</v>
      </c>
      <c r="I1173" s="35" t="str">
        <f>IFERROR(_xlfn.XLOOKUP(Table6[[#This Row],[Affected WTG]],'Basic Data'!$A:$A,'Basic Data'!$C:$C),"")</f>
        <v>GEDA</v>
      </c>
      <c r="J1173" s="260">
        <f>IFERROR(_xlfn.XLOOKUP(Table6[[#This Row],[Affected WTG]],'Basic Data'!$A:$A,'Basic Data'!$E:$E),"")</f>
        <v>3.846153846153845E-2</v>
      </c>
      <c r="K1173" s="102">
        <v>55</v>
      </c>
      <c r="L1173" s="35" t="str">
        <f>IFERROR(_xlfn.XLOOKUP(Table6[[#This Row],[Error Code]],'Basic Data'!$AA:$AA,'Basic Data'!$AB:$AB),"Incorrect Error Code")</f>
        <v>WTG shut down</v>
      </c>
      <c r="M1173" s="35" t="s">
        <v>266</v>
      </c>
      <c r="N1173" s="264"/>
      <c r="O1173" s="265">
        <v>0.69374999999999998</v>
      </c>
      <c r="P1173" s="265">
        <v>0.69374999999999998</v>
      </c>
      <c r="Q1173" s="266">
        <v>0.81944444444444442</v>
      </c>
      <c r="R1173" s="261">
        <f>IF(Table6[[#This Row],[Work Start TimeStamp]]="","",(Table6[[#This Row],[Work Start TimeStamp]]-Table6[[#This Row],[Fault Start TimeStamp]])*24)</f>
        <v>0</v>
      </c>
      <c r="S1173" s="261">
        <f>(Table6[[#This Row],[Fault Clearance time]]-Table6[[#This Row],[Work Start TimeStamp]])*24</f>
        <v>3.0166666666666666</v>
      </c>
      <c r="T1173" s="261">
        <f>(Table6[[#This Row],[Fault Clearance time]]-Table6[[#This Row],[Fault Start TimeStamp]])*24</f>
        <v>3.0166666666666666</v>
      </c>
      <c r="U1173" s="35" t="s">
        <v>519</v>
      </c>
      <c r="V1173" s="102" t="s">
        <v>268</v>
      </c>
      <c r="W1173" s="267">
        <f>IFERROR(Table6[[#This Row],[Breakdown Time]]*Table6[[#This Row],[Plant Equivalent Weightage]],"")</f>
        <v>0.11602564102564099</v>
      </c>
      <c r="X1173" s="262" t="s">
        <v>296</v>
      </c>
      <c r="Y1173" s="263" t="s">
        <v>123</v>
      </c>
      <c r="Z1173" s="102">
        <v>17985</v>
      </c>
      <c r="AA1173" s="257">
        <f>(Table6[[#This Row],[Paired WTG Generation for loss calculation]]/24)*Table6[[#This Row],[Breakdown Time]]</f>
        <v>2260.6145833333335</v>
      </c>
      <c r="AB1173" s="102"/>
      <c r="AC1173" s="35"/>
      <c r="AD1173" s="35"/>
    </row>
    <row r="1174" spans="1:30">
      <c r="A1174" s="102">
        <f t="shared" si="19"/>
        <v>1173</v>
      </c>
      <c r="B1174" s="257">
        <f>YEAR(Table6[[#This Row],[Date]])+IF(MONTH(Table6[[#This Row],[Date]])&gt;=4,1,0)</f>
        <v>2026</v>
      </c>
      <c r="C1174" s="102">
        <f>YEAR(Table6[[#This Row],[Date]])</f>
        <v>2025</v>
      </c>
      <c r="D1174" s="102" t="s">
        <v>265</v>
      </c>
      <c r="E1174" s="258">
        <f>Table6[[#This Row],[Date]]-DAY(Table6[[#This Row],[Date]])+1</f>
        <v>45809</v>
      </c>
      <c r="F1174" s="259">
        <v>45822</v>
      </c>
      <c r="G1174" s="35" t="s">
        <v>122</v>
      </c>
      <c r="H1174" s="35" t="str">
        <f>IFERROR(_xlfn.XLOOKUP(Table6[[#This Row],[Affected WTG]],'Basic Data'!$A:$A,'Basic Data'!$B:$B),"")</f>
        <v>TQGXIIPL</v>
      </c>
      <c r="I1174" s="35" t="str">
        <f>IFERROR(_xlfn.XLOOKUP(Table6[[#This Row],[Affected WTG]],'Basic Data'!$A:$A,'Basic Data'!$C:$C),"")</f>
        <v>GEDA</v>
      </c>
      <c r="J1174" s="260">
        <f>IFERROR(_xlfn.XLOOKUP(Table6[[#This Row],[Affected WTG]],'Basic Data'!$A:$A,'Basic Data'!$E:$E),"")</f>
        <v>3.846153846153845E-2</v>
      </c>
      <c r="K1174" s="102">
        <v>6130</v>
      </c>
      <c r="L1174" s="35" t="str">
        <f>IFERROR(_xlfn.XLOOKUP(Table6[[#This Row],[Error Code]],'Basic Data'!$AA:$AA,'Basic Data'!$AB:$AB),"Incorrect Error Code")</f>
        <v>Yaw speed high</v>
      </c>
      <c r="M1174" s="35" t="s">
        <v>278</v>
      </c>
      <c r="N1174" s="264"/>
      <c r="O1174" s="265">
        <v>0.97777777777777775</v>
      </c>
      <c r="P1174" s="265">
        <v>0.97777777777777775</v>
      </c>
      <c r="Q1174" s="266">
        <v>0.9819444444444444</v>
      </c>
      <c r="R1174" s="261">
        <f>IF(Table6[[#This Row],[Work Start TimeStamp]]="","",(Table6[[#This Row],[Work Start TimeStamp]]-Table6[[#This Row],[Fault Start TimeStamp]])*24)</f>
        <v>0</v>
      </c>
      <c r="S1174" s="261">
        <f>(Table6[[#This Row],[Fault Clearance time]]-Table6[[#This Row],[Work Start TimeStamp]])*24</f>
        <v>9.9999999999999645E-2</v>
      </c>
      <c r="T1174" s="261">
        <f>(Table6[[#This Row],[Fault Clearance time]]-Table6[[#This Row],[Fault Start TimeStamp]])*24</f>
        <v>9.9999999999999645E-2</v>
      </c>
      <c r="U1174" s="35" t="s">
        <v>277</v>
      </c>
      <c r="V1174" s="102" t="s">
        <v>268</v>
      </c>
      <c r="W1174" s="267">
        <f>IFERROR(Table6[[#This Row],[Breakdown Time]]*Table6[[#This Row],[Plant Equivalent Weightage]],"")</f>
        <v>3.8461538461538312E-3</v>
      </c>
      <c r="X1174" s="262" t="s">
        <v>269</v>
      </c>
      <c r="Y1174" s="263" t="s">
        <v>140</v>
      </c>
      <c r="Z1174" s="102">
        <v>14946</v>
      </c>
      <c r="AA1174" s="257">
        <f>(Table6[[#This Row],[Paired WTG Generation for loss calculation]]/24)*Table6[[#This Row],[Breakdown Time]]</f>
        <v>62.274999999999778</v>
      </c>
      <c r="AB1174" s="102"/>
      <c r="AC1174" s="35"/>
      <c r="AD1174" s="35"/>
    </row>
    <row r="1175" spans="1:30">
      <c r="A1175" s="102">
        <f t="shared" si="19"/>
        <v>1174</v>
      </c>
      <c r="B1175" s="257">
        <f>YEAR(Table6[[#This Row],[Date]])+IF(MONTH(Table6[[#This Row],[Date]])&gt;=4,1,0)</f>
        <v>2026</v>
      </c>
      <c r="C1175" s="102">
        <f>YEAR(Table6[[#This Row],[Date]])</f>
        <v>2025</v>
      </c>
      <c r="D1175" s="102" t="s">
        <v>265</v>
      </c>
      <c r="E1175" s="258">
        <f>Table6[[#This Row],[Date]]-DAY(Table6[[#This Row],[Date]])+1</f>
        <v>45809</v>
      </c>
      <c r="F1175" s="259">
        <v>45822</v>
      </c>
      <c r="G1175" s="35" t="s">
        <v>129</v>
      </c>
      <c r="H1175" s="35" t="str">
        <f>IFERROR(_xlfn.XLOOKUP(Table6[[#This Row],[Affected WTG]],'Basic Data'!$A:$A,'Basic Data'!$B:$B),"")</f>
        <v>TQGXIIPL</v>
      </c>
      <c r="I1175" s="35" t="str">
        <f>IFERROR(_xlfn.XLOOKUP(Table6[[#This Row],[Affected WTG]],'Basic Data'!$A:$A,'Basic Data'!$C:$C),"")</f>
        <v>GEDA</v>
      </c>
      <c r="J1175" s="260">
        <f>IFERROR(_xlfn.XLOOKUP(Table6[[#This Row],[Affected WTG]],'Basic Data'!$A:$A,'Basic Data'!$E:$E),"")</f>
        <v>3.846153846153845E-2</v>
      </c>
      <c r="K1175" s="102">
        <v>55</v>
      </c>
      <c r="L1175" s="35" t="str">
        <f>IFERROR(_xlfn.XLOOKUP(Table6[[#This Row],[Error Code]],'Basic Data'!$AA:$AA,'Basic Data'!$AB:$AB),"Incorrect Error Code")</f>
        <v>WTG shut down</v>
      </c>
      <c r="M1175" s="35" t="s">
        <v>266</v>
      </c>
      <c r="N1175" s="264"/>
      <c r="O1175" s="265">
        <v>0.44374999999999998</v>
      </c>
      <c r="P1175" s="265">
        <v>0.44374999999999998</v>
      </c>
      <c r="Q1175" s="266">
        <v>0.76249999999999996</v>
      </c>
      <c r="R1175" s="261">
        <f>IF(Table6[[#This Row],[Work Start TimeStamp]]="","",(Table6[[#This Row],[Work Start TimeStamp]]-Table6[[#This Row],[Fault Start TimeStamp]])*24)</f>
        <v>0</v>
      </c>
      <c r="S1175" s="261">
        <f>(Table6[[#This Row],[Fault Clearance time]]-Table6[[#This Row],[Work Start TimeStamp]])*24</f>
        <v>7.6499999999999995</v>
      </c>
      <c r="T1175" s="261">
        <f>(Table6[[#This Row],[Fault Clearance time]]-Table6[[#This Row],[Fault Start TimeStamp]])*24</f>
        <v>7.6499999999999995</v>
      </c>
      <c r="U1175" s="35" t="s">
        <v>520</v>
      </c>
      <c r="V1175" s="102" t="s">
        <v>268</v>
      </c>
      <c r="W1175" s="267">
        <f>IFERROR(Table6[[#This Row],[Breakdown Time]]*Table6[[#This Row],[Plant Equivalent Weightage]],"")</f>
        <v>0.29423076923076913</v>
      </c>
      <c r="X1175" s="262" t="s">
        <v>296</v>
      </c>
      <c r="Y1175" s="263" t="s">
        <v>124</v>
      </c>
      <c r="Z1175" s="102">
        <v>16628</v>
      </c>
      <c r="AA1175" s="257">
        <f>(Table6[[#This Row],[Paired WTG Generation for loss calculation]]/24)*Table6[[#This Row],[Breakdown Time]]</f>
        <v>5300.1750000000002</v>
      </c>
      <c r="AB1175" s="102"/>
      <c r="AC1175" s="35"/>
      <c r="AD1175" s="35"/>
    </row>
    <row r="1176" spans="1:30">
      <c r="A1176" s="102">
        <f t="shared" si="19"/>
        <v>1175</v>
      </c>
      <c r="B1176" s="257">
        <f>YEAR(Table6[[#This Row],[Date]])+IF(MONTH(Table6[[#This Row],[Date]])&gt;=4,1,0)</f>
        <v>2026</v>
      </c>
      <c r="C1176" s="102">
        <f>YEAR(Table6[[#This Row],[Date]])</f>
        <v>2025</v>
      </c>
      <c r="D1176" s="102" t="s">
        <v>265</v>
      </c>
      <c r="E1176" s="258">
        <f>Table6[[#This Row],[Date]]-DAY(Table6[[#This Row],[Date]])+1</f>
        <v>45809</v>
      </c>
      <c r="F1176" s="259">
        <v>45822</v>
      </c>
      <c r="G1176" s="35" t="s">
        <v>131</v>
      </c>
      <c r="H1176" s="35" t="str">
        <f>IFERROR(_xlfn.XLOOKUP(Table6[[#This Row],[Affected WTG]],'Basic Data'!$A:$A,'Basic Data'!$B:$B),"")</f>
        <v>TQGXIIPL</v>
      </c>
      <c r="I1176" s="35" t="str">
        <f>IFERROR(_xlfn.XLOOKUP(Table6[[#This Row],[Affected WTG]],'Basic Data'!$A:$A,'Basic Data'!$C:$C),"")</f>
        <v>GEDA</v>
      </c>
      <c r="J1176" s="260">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266</v>
      </c>
      <c r="N1176" s="264"/>
      <c r="O1176" s="265">
        <v>0.46111111111111114</v>
      </c>
      <c r="P1176" s="265">
        <v>0.46111111111111114</v>
      </c>
      <c r="Q1176" s="266">
        <v>0.46319444444444446</v>
      </c>
      <c r="R1176" s="261">
        <f>IF(Table6[[#This Row],[Work Start TimeStamp]]="","",(Table6[[#This Row],[Work Start TimeStamp]]-Table6[[#This Row],[Fault Start TimeStamp]])*24)</f>
        <v>0</v>
      </c>
      <c r="S1176" s="261">
        <f>(Table6[[#This Row],[Fault Clearance time]]-Table6[[#This Row],[Work Start TimeStamp]])*24</f>
        <v>4.9999999999999822E-2</v>
      </c>
      <c r="T1176" s="261">
        <f>(Table6[[#This Row],[Fault Clearance time]]-Table6[[#This Row],[Fault Start TimeStamp]])*24</f>
        <v>4.9999999999999822E-2</v>
      </c>
      <c r="U1176" s="35" t="s">
        <v>483</v>
      </c>
      <c r="V1176" s="102" t="s">
        <v>268</v>
      </c>
      <c r="W1176" s="267">
        <f>IFERROR(Table6[[#This Row],[Breakdown Time]]*Table6[[#This Row],[Plant Equivalent Weightage]],"")</f>
        <v>1.9230769230769156E-3</v>
      </c>
      <c r="X1176" s="262" t="s">
        <v>269</v>
      </c>
      <c r="Y1176" s="263" t="s">
        <v>136</v>
      </c>
      <c r="Z1176" s="102">
        <v>18674</v>
      </c>
      <c r="AA1176" s="257">
        <f>(Table6[[#This Row],[Paired WTG Generation for loss calculation]]/24)*Table6[[#This Row],[Breakdown Time]]</f>
        <v>38.904166666666534</v>
      </c>
      <c r="AB1176" s="102"/>
      <c r="AC1176" s="35"/>
      <c r="AD1176" s="35"/>
    </row>
    <row r="1177" spans="1:30">
      <c r="A1177" s="102">
        <f t="shared" si="19"/>
        <v>1176</v>
      </c>
      <c r="B1177" s="257">
        <f>YEAR(Table6[[#This Row],[Date]])+IF(MONTH(Table6[[#This Row],[Date]])&gt;=4,1,0)</f>
        <v>2026</v>
      </c>
      <c r="C1177" s="102">
        <f>YEAR(Table6[[#This Row],[Date]])</f>
        <v>2025</v>
      </c>
      <c r="D1177" s="102" t="s">
        <v>265</v>
      </c>
      <c r="E1177" s="258">
        <f>Table6[[#This Row],[Date]]-DAY(Table6[[#This Row],[Date]])+1</f>
        <v>45809</v>
      </c>
      <c r="F1177" s="259">
        <v>45822</v>
      </c>
      <c r="G1177" s="35" t="s">
        <v>134</v>
      </c>
      <c r="H1177" s="35" t="str">
        <f>IFERROR(_xlfn.XLOOKUP(Table6[[#This Row],[Affected WTG]],'Basic Data'!$A:$A,'Basic Data'!$B:$B),"")</f>
        <v>TQGXIIPL</v>
      </c>
      <c r="I1177" s="35" t="str">
        <f>IFERROR(_xlfn.XLOOKUP(Table6[[#This Row],[Affected WTG]],'Basic Data'!$A:$A,'Basic Data'!$C:$C),"")</f>
        <v>GEDA</v>
      </c>
      <c r="J1177" s="260">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266</v>
      </c>
      <c r="N1177" s="264"/>
      <c r="O1177" s="265">
        <v>0.48194444444444445</v>
      </c>
      <c r="P1177" s="265">
        <v>0.48194444444444445</v>
      </c>
      <c r="Q1177" s="266">
        <v>0.48333333333333334</v>
      </c>
      <c r="R1177" s="261">
        <f>IF(Table6[[#This Row],[Work Start TimeStamp]]="","",(Table6[[#This Row],[Work Start TimeStamp]]-Table6[[#This Row],[Fault Start TimeStamp]])*24)</f>
        <v>0</v>
      </c>
      <c r="S1177" s="261">
        <f>(Table6[[#This Row],[Fault Clearance time]]-Table6[[#This Row],[Work Start TimeStamp]])*24</f>
        <v>3.3333333333333215E-2</v>
      </c>
      <c r="T1177" s="261">
        <f>(Table6[[#This Row],[Fault Clearance time]]-Table6[[#This Row],[Fault Start TimeStamp]])*24</f>
        <v>3.3333333333333215E-2</v>
      </c>
      <c r="U1177" s="35" t="s">
        <v>483</v>
      </c>
      <c r="V1177" s="102" t="s">
        <v>268</v>
      </c>
      <c r="W1177" s="267">
        <f>IFERROR(Table6[[#This Row],[Breakdown Time]]*Table6[[#This Row],[Plant Equivalent Weightage]],"")</f>
        <v>1.2820512820512771E-3</v>
      </c>
      <c r="X1177" s="262" t="s">
        <v>269</v>
      </c>
      <c r="Y1177" s="263" t="s">
        <v>138</v>
      </c>
      <c r="Z1177" s="102">
        <v>16943</v>
      </c>
      <c r="AA1177" s="257">
        <f>(Table6[[#This Row],[Paired WTG Generation for loss calculation]]/24)*Table6[[#This Row],[Breakdown Time]]</f>
        <v>23.531944444444363</v>
      </c>
      <c r="AB1177" s="102"/>
      <c r="AC1177" s="35"/>
      <c r="AD1177" s="35"/>
    </row>
    <row r="1178" spans="1:30">
      <c r="A1178" s="102">
        <f t="shared" si="19"/>
        <v>1177</v>
      </c>
      <c r="B1178" s="257">
        <f>YEAR(Table6[[#This Row],[Date]])+IF(MONTH(Table6[[#This Row],[Date]])&gt;=4,1,0)</f>
        <v>2026</v>
      </c>
      <c r="C1178" s="102">
        <f>YEAR(Table6[[#This Row],[Date]])</f>
        <v>2025</v>
      </c>
      <c r="D1178" s="102" t="s">
        <v>265</v>
      </c>
      <c r="E1178" s="258">
        <f>Table6[[#This Row],[Date]]-DAY(Table6[[#This Row],[Date]])+1</f>
        <v>45809</v>
      </c>
      <c r="F1178" s="259">
        <v>45822</v>
      </c>
      <c r="G1178" s="35" t="s">
        <v>134</v>
      </c>
      <c r="H1178" s="35" t="str">
        <f>IFERROR(_xlfn.XLOOKUP(Table6[[#This Row],[Affected WTG]],'Basic Data'!$A:$A,'Basic Data'!$B:$B),"")</f>
        <v>TQGXIIPL</v>
      </c>
      <c r="I1178" s="35" t="str">
        <f>IFERROR(_xlfn.XLOOKUP(Table6[[#This Row],[Affected WTG]],'Basic Data'!$A:$A,'Basic Data'!$C:$C),"")</f>
        <v>GEDA</v>
      </c>
      <c r="J1178" s="260">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266</v>
      </c>
      <c r="N1178" s="264"/>
      <c r="O1178" s="265">
        <v>0.84027777777777779</v>
      </c>
      <c r="P1178" s="265">
        <v>0.84027777777777779</v>
      </c>
      <c r="Q1178" s="266">
        <v>0.85277777777777775</v>
      </c>
      <c r="R1178" s="261">
        <f>IF(Table6[[#This Row],[Work Start TimeStamp]]="","",(Table6[[#This Row],[Work Start TimeStamp]]-Table6[[#This Row],[Fault Start TimeStamp]])*24)</f>
        <v>0</v>
      </c>
      <c r="S1178" s="261">
        <f>(Table6[[#This Row],[Fault Clearance time]]-Table6[[#This Row],[Work Start TimeStamp]])*24</f>
        <v>0.29999999999999893</v>
      </c>
      <c r="T1178" s="261">
        <f>(Table6[[#This Row],[Fault Clearance time]]-Table6[[#This Row],[Fault Start TimeStamp]])*24</f>
        <v>0.29999999999999893</v>
      </c>
      <c r="U1178" s="35" t="s">
        <v>494</v>
      </c>
      <c r="V1178" s="102" t="s">
        <v>268</v>
      </c>
      <c r="W1178" s="267">
        <f>IFERROR(Table6[[#This Row],[Breakdown Time]]*Table6[[#This Row],[Plant Equivalent Weightage]],"")</f>
        <v>1.1538461538461494E-2</v>
      </c>
      <c r="X1178" s="262" t="s">
        <v>269</v>
      </c>
      <c r="Y1178" s="263" t="s">
        <v>138</v>
      </c>
      <c r="Z1178" s="102">
        <v>16943</v>
      </c>
      <c r="AA1178" s="257">
        <f>(Table6[[#This Row],[Paired WTG Generation for loss calculation]]/24)*Table6[[#This Row],[Breakdown Time]]</f>
        <v>211.78749999999926</v>
      </c>
      <c r="AB1178" s="102"/>
      <c r="AC1178" s="35"/>
      <c r="AD1178" s="35"/>
    </row>
    <row r="1179" spans="1:30">
      <c r="A1179" s="102">
        <f t="shared" si="19"/>
        <v>1178</v>
      </c>
      <c r="B1179" s="257">
        <f>YEAR(Table6[[#This Row],[Date]])+IF(MONTH(Table6[[#This Row],[Date]])&gt;=4,1,0)</f>
        <v>2026</v>
      </c>
      <c r="C1179" s="102">
        <f>YEAR(Table6[[#This Row],[Date]])</f>
        <v>2025</v>
      </c>
      <c r="D1179" s="102" t="s">
        <v>265</v>
      </c>
      <c r="E1179" s="258">
        <f>Table6[[#This Row],[Date]]-DAY(Table6[[#This Row],[Date]])+1</f>
        <v>45809</v>
      </c>
      <c r="F1179" s="259">
        <v>45822</v>
      </c>
      <c r="G1179" s="35" t="s">
        <v>136</v>
      </c>
      <c r="H1179" s="35" t="str">
        <f>IFERROR(_xlfn.XLOOKUP(Table6[[#This Row],[Affected WTG]],'Basic Data'!$A:$A,'Basic Data'!$B:$B),"")</f>
        <v>TQGXIIPL</v>
      </c>
      <c r="I1179" s="35" t="str">
        <f>IFERROR(_xlfn.XLOOKUP(Table6[[#This Row],[Affected WTG]],'Basic Data'!$A:$A,'Basic Data'!$C:$C),"")</f>
        <v>GEDA</v>
      </c>
      <c r="J1179" s="260">
        <f>IFERROR(_xlfn.XLOOKUP(Table6[[#This Row],[Affected WTG]],'Basic Data'!$A:$A,'Basic Data'!$E:$E),"")</f>
        <v>3.846153846153845E-2</v>
      </c>
      <c r="K1179" s="102">
        <v>3500</v>
      </c>
      <c r="L1179" s="35" t="str">
        <f>IFERROR(_xlfn.XLOOKUP(Table6[[#This Row],[Error Code]],'Basic Data'!$AA:$AA,'Basic Data'!$AB:$AB),"Incorrect Error Code")</f>
        <v>Grid loss</v>
      </c>
      <c r="M1179" s="35" t="s">
        <v>324</v>
      </c>
      <c r="N1179" s="264"/>
      <c r="O1179" s="265">
        <v>0.80069444444444449</v>
      </c>
      <c r="P1179" s="265">
        <v>0.80069444444444449</v>
      </c>
      <c r="Q1179" s="266">
        <v>0.83263888888888893</v>
      </c>
      <c r="R1179" s="261">
        <f>IF(Table6[[#This Row],[Work Start TimeStamp]]="","",(Table6[[#This Row],[Work Start TimeStamp]]-Table6[[#This Row],[Fault Start TimeStamp]])*24)</f>
        <v>0</v>
      </c>
      <c r="S1179" s="261">
        <f>(Table6[[#This Row],[Fault Clearance time]]-Table6[[#This Row],[Work Start TimeStamp]])*24</f>
        <v>0.76666666666666661</v>
      </c>
      <c r="T1179" s="261">
        <f>(Table6[[#This Row],[Fault Clearance time]]-Table6[[#This Row],[Fault Start TimeStamp]])*24</f>
        <v>0.76666666666666661</v>
      </c>
      <c r="U1179" s="35" t="s">
        <v>521</v>
      </c>
      <c r="V1179" s="102" t="s">
        <v>268</v>
      </c>
      <c r="W1179" s="267">
        <f>IFERROR(Table6[[#This Row],[Breakdown Time]]*Table6[[#This Row],[Plant Equivalent Weightage]],"")</f>
        <v>2.9487179487179476E-2</v>
      </c>
      <c r="X1179" s="262" t="s">
        <v>269</v>
      </c>
      <c r="Y1179" s="263" t="s">
        <v>120</v>
      </c>
      <c r="Z1179" s="102">
        <v>17769</v>
      </c>
      <c r="AA1179" s="257">
        <f>(Table6[[#This Row],[Paired WTG Generation for loss calculation]]/24)*Table6[[#This Row],[Breakdown Time]]</f>
        <v>567.62083333333328</v>
      </c>
      <c r="AB1179" s="102"/>
      <c r="AC1179" s="35"/>
      <c r="AD1179" s="35"/>
    </row>
    <row r="1180" spans="1:30">
      <c r="A1180" s="102">
        <f t="shared" si="19"/>
        <v>1179</v>
      </c>
      <c r="B1180" s="257">
        <f>YEAR(Table6[[#This Row],[Date]])+IF(MONTH(Table6[[#This Row],[Date]])&gt;=4,1,0)</f>
        <v>2026</v>
      </c>
      <c r="C1180" s="102">
        <f>YEAR(Table6[[#This Row],[Date]])</f>
        <v>2025</v>
      </c>
      <c r="D1180" s="102" t="s">
        <v>265</v>
      </c>
      <c r="E1180" s="258">
        <f>Table6[[#This Row],[Date]]-DAY(Table6[[#This Row],[Date]])+1</f>
        <v>45809</v>
      </c>
      <c r="F1180" s="259">
        <v>45822</v>
      </c>
      <c r="G1180" s="35" t="s">
        <v>136</v>
      </c>
      <c r="H1180" s="35" t="str">
        <f>IFERROR(_xlfn.XLOOKUP(Table6[[#This Row],[Affected WTG]],'Basic Data'!$A:$A,'Basic Data'!$B:$B),"")</f>
        <v>TQGXIIPL</v>
      </c>
      <c r="I1180" s="35" t="str">
        <f>IFERROR(_xlfn.XLOOKUP(Table6[[#This Row],[Affected WTG]],'Basic Data'!$A:$A,'Basic Data'!$C:$C),"")</f>
        <v>GEDA</v>
      </c>
      <c r="J1180" s="260">
        <f>IFERROR(_xlfn.XLOOKUP(Table6[[#This Row],[Affected WTG]],'Basic Data'!$A:$A,'Basic Data'!$E:$E),"")</f>
        <v>3.846153846153845E-2</v>
      </c>
      <c r="K1180" s="102">
        <v>3500</v>
      </c>
      <c r="L1180" s="35" t="str">
        <f>IFERROR(_xlfn.XLOOKUP(Table6[[#This Row],[Error Code]],'Basic Data'!$AA:$AA,'Basic Data'!$AB:$AB),"Incorrect Error Code")</f>
        <v>Grid loss</v>
      </c>
      <c r="M1180" s="35" t="s">
        <v>324</v>
      </c>
      <c r="N1180" s="264"/>
      <c r="O1180" s="265">
        <v>0.84027777777777779</v>
      </c>
      <c r="P1180" s="265">
        <v>0.84027777777777779</v>
      </c>
      <c r="Q1180" s="266">
        <v>0.85763888888888884</v>
      </c>
      <c r="R1180" s="261">
        <f>IF(Table6[[#This Row],[Work Start TimeStamp]]="","",(Table6[[#This Row],[Work Start TimeStamp]]-Table6[[#This Row],[Fault Start TimeStamp]])*24)</f>
        <v>0</v>
      </c>
      <c r="S1180" s="261">
        <f>(Table6[[#This Row],[Fault Clearance time]]-Table6[[#This Row],[Work Start TimeStamp]])*24</f>
        <v>0.41666666666666519</v>
      </c>
      <c r="T1180" s="261">
        <f>(Table6[[#This Row],[Fault Clearance time]]-Table6[[#This Row],[Fault Start TimeStamp]])*24</f>
        <v>0.41666666666666519</v>
      </c>
      <c r="U1180" s="35" t="s">
        <v>522</v>
      </c>
      <c r="V1180" s="102" t="s">
        <v>268</v>
      </c>
      <c r="W1180" s="267">
        <f>IFERROR(Table6[[#This Row],[Breakdown Time]]*Table6[[#This Row],[Plant Equivalent Weightage]],"")</f>
        <v>1.6025641025640965E-2</v>
      </c>
      <c r="X1180" s="262" t="s">
        <v>269</v>
      </c>
      <c r="Y1180" s="263" t="s">
        <v>120</v>
      </c>
      <c r="Z1180" s="102">
        <v>17769</v>
      </c>
      <c r="AA1180" s="257">
        <f>(Table6[[#This Row],[Paired WTG Generation for loss calculation]]/24)*Table6[[#This Row],[Breakdown Time]]</f>
        <v>308.48958333333223</v>
      </c>
      <c r="AB1180" s="102"/>
      <c r="AC1180" s="35"/>
      <c r="AD1180" s="35"/>
    </row>
    <row r="1181" spans="1:30">
      <c r="A1181" s="102">
        <f t="shared" si="19"/>
        <v>1180</v>
      </c>
      <c r="B1181" s="257">
        <f>YEAR(Table6[[#This Row],[Date]])+IF(MONTH(Table6[[#This Row],[Date]])&gt;=4,1,0)</f>
        <v>2026</v>
      </c>
      <c r="C1181" s="102">
        <f>YEAR(Table6[[#This Row],[Date]])</f>
        <v>2025</v>
      </c>
      <c r="D1181" s="102" t="s">
        <v>265</v>
      </c>
      <c r="E1181" s="258">
        <f>Table6[[#This Row],[Date]]-DAY(Table6[[#This Row],[Date]])+1</f>
        <v>45809</v>
      </c>
      <c r="F1181" s="259">
        <v>45822</v>
      </c>
      <c r="G1181" s="35" t="s">
        <v>121</v>
      </c>
      <c r="H1181" s="35" t="str">
        <f>IFERROR(_xlfn.XLOOKUP(Table6[[#This Row],[Affected WTG]],'Basic Data'!$A:$A,'Basic Data'!$B:$B),"")</f>
        <v>TQGXIIPL</v>
      </c>
      <c r="I1181" s="35" t="str">
        <f>IFERROR(_xlfn.XLOOKUP(Table6[[#This Row],[Affected WTG]],'Basic Data'!$A:$A,'Basic Data'!$C:$C),"")</f>
        <v>GEDA</v>
      </c>
      <c r="J1181" s="260">
        <f>IFERROR(_xlfn.XLOOKUP(Table6[[#This Row],[Affected WTG]],'Basic Data'!$A:$A,'Basic Data'!$E:$E),"")</f>
        <v>3.846153846153845E-2</v>
      </c>
      <c r="K1181" s="102">
        <v>175</v>
      </c>
      <c r="L1181" s="35" t="str">
        <f>IFERROR(_xlfn.XLOOKUP(Table6[[#This Row],[Error Code]],'Basic Data'!$AA:$AA,'Basic Data'!$AB:$AB),"Incorrect Error Code")</f>
        <v>SLC error</v>
      </c>
      <c r="M1181" s="35" t="s">
        <v>266</v>
      </c>
      <c r="N1181" s="264"/>
      <c r="O1181" s="265">
        <v>0.91874999999999996</v>
      </c>
      <c r="P1181" s="265">
        <v>0.91874999999999996</v>
      </c>
      <c r="Q1181" s="266">
        <v>0.92222222222222228</v>
      </c>
      <c r="R1181" s="261">
        <f>IF(Table6[[#This Row],[Work Start TimeStamp]]="","",(Table6[[#This Row],[Work Start TimeStamp]]-Table6[[#This Row],[Fault Start TimeStamp]])*24)</f>
        <v>0</v>
      </c>
      <c r="S1181" s="261">
        <f>(Table6[[#This Row],[Fault Clearance time]]-Table6[[#This Row],[Work Start TimeStamp]])*24</f>
        <v>8.3333333333335702E-2</v>
      </c>
      <c r="T1181" s="261">
        <f>(Table6[[#This Row],[Fault Clearance time]]-Table6[[#This Row],[Fault Start TimeStamp]])*24</f>
        <v>8.3333333333335702E-2</v>
      </c>
      <c r="U1181" s="35" t="s">
        <v>483</v>
      </c>
      <c r="V1181" s="102" t="s">
        <v>268</v>
      </c>
      <c r="W1181" s="267">
        <f>IFERROR(Table6[[#This Row],[Breakdown Time]]*Table6[[#This Row],[Plant Equivalent Weightage]],"")</f>
        <v>3.2051282051282952E-3</v>
      </c>
      <c r="X1181" s="262" t="s">
        <v>269</v>
      </c>
      <c r="Y1181" s="263" t="s">
        <v>118</v>
      </c>
      <c r="Z1181" s="102">
        <v>19604</v>
      </c>
      <c r="AA1181" s="257">
        <f>(Table6[[#This Row],[Paired WTG Generation for loss calculation]]/24)*Table6[[#This Row],[Breakdown Time]]</f>
        <v>68.069444444446376</v>
      </c>
      <c r="AB1181" s="102"/>
      <c r="AC1181" s="35"/>
      <c r="AD1181" s="35"/>
    </row>
    <row r="1182" spans="1:30">
      <c r="A1182" s="102">
        <f t="shared" si="19"/>
        <v>1181</v>
      </c>
      <c r="B1182" s="257">
        <f>YEAR(Table6[[#This Row],[Date]])+IF(MONTH(Table6[[#This Row],[Date]])&gt;=4,1,0)</f>
        <v>2026</v>
      </c>
      <c r="C1182" s="102">
        <f>YEAR(Table6[[#This Row],[Date]])</f>
        <v>2025</v>
      </c>
      <c r="D1182" s="102" t="s">
        <v>265</v>
      </c>
      <c r="E1182" s="258">
        <f>Table6[[#This Row],[Date]]-DAY(Table6[[#This Row],[Date]])+1</f>
        <v>45809</v>
      </c>
      <c r="F1182" s="259">
        <v>45822</v>
      </c>
      <c r="G1182" s="35" t="s">
        <v>140</v>
      </c>
      <c r="H1182" s="35" t="str">
        <f>IFERROR(_xlfn.XLOOKUP(Table6[[#This Row],[Affected WTG]],'Basic Data'!$A:$A,'Basic Data'!$B:$B),"")</f>
        <v>TQGXIIPL</v>
      </c>
      <c r="I1182" s="35" t="str">
        <f>IFERROR(_xlfn.XLOOKUP(Table6[[#This Row],[Affected WTG]],'Basic Data'!$A:$A,'Basic Data'!$C:$C),"")</f>
        <v>GEDA</v>
      </c>
      <c r="J1182" s="260">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266</v>
      </c>
      <c r="N1182" s="264"/>
      <c r="O1182" s="265">
        <v>0.84027777777777779</v>
      </c>
      <c r="P1182" s="265">
        <v>0.84027777777777779</v>
      </c>
      <c r="Q1182" s="266">
        <v>0.85416666666666663</v>
      </c>
      <c r="R1182" s="261">
        <f>IF(Table6[[#This Row],[Work Start TimeStamp]]="","",(Table6[[#This Row],[Work Start TimeStamp]]-Table6[[#This Row],[Fault Start TimeStamp]])*24)</f>
        <v>0</v>
      </c>
      <c r="S1182" s="261">
        <f>(Table6[[#This Row],[Fault Clearance time]]-Table6[[#This Row],[Work Start TimeStamp]])*24</f>
        <v>0.33333333333333215</v>
      </c>
      <c r="T1182" s="261">
        <f>(Table6[[#This Row],[Fault Clearance time]]-Table6[[#This Row],[Fault Start TimeStamp]])*24</f>
        <v>0.33333333333333215</v>
      </c>
      <c r="U1182" s="35" t="s">
        <v>494</v>
      </c>
      <c r="V1182" s="102" t="s">
        <v>268</v>
      </c>
      <c r="W1182" s="267">
        <f>IFERROR(Table6[[#This Row],[Breakdown Time]]*Table6[[#This Row],[Plant Equivalent Weightage]],"")</f>
        <v>1.2820512820512771E-2</v>
      </c>
      <c r="X1182" s="262" t="s">
        <v>269</v>
      </c>
      <c r="Y1182" s="263" t="s">
        <v>115</v>
      </c>
      <c r="Z1182" s="102">
        <v>19047</v>
      </c>
      <c r="AA1182" s="257">
        <f>(Table6[[#This Row],[Paired WTG Generation for loss calculation]]/24)*Table6[[#This Row],[Breakdown Time]]</f>
        <v>264.54166666666572</v>
      </c>
      <c r="AB1182" s="102"/>
      <c r="AC1182" s="35"/>
      <c r="AD1182" s="35"/>
    </row>
    <row r="1183" spans="1:30">
      <c r="A1183" s="102">
        <f t="shared" si="19"/>
        <v>1182</v>
      </c>
      <c r="B1183" s="257">
        <f>YEAR(Table6[[#This Row],[Date]])+IF(MONTH(Table6[[#This Row],[Date]])&gt;=4,1,0)</f>
        <v>2026</v>
      </c>
      <c r="C1183" s="102">
        <f>YEAR(Table6[[#This Row],[Date]])</f>
        <v>2025</v>
      </c>
      <c r="D1183" s="102" t="s">
        <v>265</v>
      </c>
      <c r="E1183" s="258">
        <f>Table6[[#This Row],[Date]]-DAY(Table6[[#This Row],[Date]])+1</f>
        <v>45809</v>
      </c>
      <c r="F1183" s="259">
        <v>45822</v>
      </c>
      <c r="G1183" s="35" t="s">
        <v>140</v>
      </c>
      <c r="H1183" s="35" t="str">
        <f>IFERROR(_xlfn.XLOOKUP(Table6[[#This Row],[Affected WTG]],'Basic Data'!$A:$A,'Basic Data'!$B:$B),"")</f>
        <v>TQGXIIPL</v>
      </c>
      <c r="I1183" s="35" t="str">
        <f>IFERROR(_xlfn.XLOOKUP(Table6[[#This Row],[Affected WTG]],'Basic Data'!$A:$A,'Basic Data'!$C:$C),"")</f>
        <v>GEDA</v>
      </c>
      <c r="J1183" s="260">
        <f>IFERROR(_xlfn.XLOOKUP(Table6[[#This Row],[Affected WTG]],'Basic Data'!$A:$A,'Basic Data'!$E:$E),"")</f>
        <v>3.846153846153845E-2</v>
      </c>
      <c r="K1183" s="102">
        <v>5510</v>
      </c>
      <c r="L1183" s="35" t="str">
        <f>IFERROR(_xlfn.XLOOKUP(Table6[[#This Row],[Error Code]],'Basic Data'!$AA:$AA,'Basic Data'!$AB:$AB),"Incorrect Error Code")</f>
        <v>Low hydraulic pressure</v>
      </c>
      <c r="M1183" s="35" t="s">
        <v>266</v>
      </c>
      <c r="N1183" s="264"/>
      <c r="O1183" s="265">
        <v>0.85416666666666663</v>
      </c>
      <c r="P1183" s="265">
        <v>0.85416666666666663</v>
      </c>
      <c r="Q1183" s="266">
        <v>0.8618055555555556</v>
      </c>
      <c r="R1183" s="261">
        <f>IF(Table6[[#This Row],[Work Start TimeStamp]]="","",(Table6[[#This Row],[Work Start TimeStamp]]-Table6[[#This Row],[Fault Start TimeStamp]])*24)</f>
        <v>0</v>
      </c>
      <c r="S1183" s="261">
        <f>(Table6[[#This Row],[Fault Clearance time]]-Table6[[#This Row],[Work Start TimeStamp]])*24</f>
        <v>0.18333333333333535</v>
      </c>
      <c r="T1183" s="261">
        <f>(Table6[[#This Row],[Fault Clearance time]]-Table6[[#This Row],[Fault Start TimeStamp]])*24</f>
        <v>0.18333333333333535</v>
      </c>
      <c r="U1183" s="35" t="s">
        <v>483</v>
      </c>
      <c r="V1183" s="102" t="s">
        <v>268</v>
      </c>
      <c r="W1183" s="267">
        <f>IFERROR(Table6[[#This Row],[Breakdown Time]]*Table6[[#This Row],[Plant Equivalent Weightage]],"")</f>
        <v>7.0512820512821268E-3</v>
      </c>
      <c r="X1183" s="262" t="s">
        <v>269</v>
      </c>
      <c r="Y1183" s="263" t="s">
        <v>115</v>
      </c>
      <c r="Z1183" s="102">
        <v>19047</v>
      </c>
      <c r="AA1183" s="257">
        <f>(Table6[[#This Row],[Paired WTG Generation for loss calculation]]/24)*Table6[[#This Row],[Breakdown Time]]</f>
        <v>145.49791666666826</v>
      </c>
      <c r="AB1183" s="102"/>
      <c r="AC1183" s="35"/>
      <c r="AD1183" s="35"/>
    </row>
    <row r="1184" spans="1:30">
      <c r="A1184" s="102">
        <f t="shared" si="19"/>
        <v>1183</v>
      </c>
      <c r="B1184" s="257">
        <f>YEAR(Table6[[#This Row],[Date]])+IF(MONTH(Table6[[#This Row],[Date]])&gt;=4,1,0)</f>
        <v>2026</v>
      </c>
      <c r="C1184" s="102">
        <f>YEAR(Table6[[#This Row],[Date]])</f>
        <v>2025</v>
      </c>
      <c r="D1184" s="102" t="s">
        <v>265</v>
      </c>
      <c r="E1184" s="258">
        <f>Table6[[#This Row],[Date]]-DAY(Table6[[#This Row],[Date]])+1</f>
        <v>45809</v>
      </c>
      <c r="F1184" s="259">
        <v>45823</v>
      </c>
      <c r="G1184" s="35" t="s">
        <v>118</v>
      </c>
      <c r="H1184" s="35" t="str">
        <f>IFERROR(_xlfn.XLOOKUP(Table6[[#This Row],[Affected WTG]],'Basic Data'!$A:$A,'Basic Data'!$B:$B),"")</f>
        <v>TQGXIIPL</v>
      </c>
      <c r="I1184" s="35" t="str">
        <f>IFERROR(_xlfn.XLOOKUP(Table6[[#This Row],[Affected WTG]],'Basic Data'!$A:$A,'Basic Data'!$C:$C),"")</f>
        <v>GEDA</v>
      </c>
      <c r="J1184" s="260">
        <f>IFERROR(_xlfn.XLOOKUP(Table6[[#This Row],[Affected WTG]],'Basic Data'!$A:$A,'Basic Data'!$E:$E),"")</f>
        <v>3.846153846153845E-2</v>
      </c>
      <c r="K1184" s="102">
        <v>3110</v>
      </c>
      <c r="L1184" s="35" t="str">
        <f>IFERROR(_xlfn.XLOOKUP(Table6[[#This Row],[Error Code]],'Basic Data'!$AA:$AA,'Basic Data'!$AB:$AB),"Incorrect Error Code")</f>
        <v>Frequency converter error</v>
      </c>
      <c r="M1184" s="35" t="s">
        <v>266</v>
      </c>
      <c r="N1184" s="264"/>
      <c r="O1184" s="265">
        <v>0.47361111111111109</v>
      </c>
      <c r="P1184" s="265">
        <v>0.47361111111111109</v>
      </c>
      <c r="Q1184" s="266">
        <v>0.47499999999999998</v>
      </c>
      <c r="R1184" s="261">
        <f>IF(Table6[[#This Row],[Work Start TimeStamp]]="","",(Table6[[#This Row],[Work Start TimeStamp]]-Table6[[#This Row],[Fault Start TimeStamp]])*24)</f>
        <v>0</v>
      </c>
      <c r="S1184" s="261">
        <f>(Table6[[#This Row],[Fault Clearance time]]-Table6[[#This Row],[Work Start TimeStamp]])*24</f>
        <v>3.3333333333333215E-2</v>
      </c>
      <c r="T1184" s="261">
        <f>(Table6[[#This Row],[Fault Clearance time]]-Table6[[#This Row],[Fault Start TimeStamp]])*24</f>
        <v>3.3333333333333215E-2</v>
      </c>
      <c r="U1184" s="35" t="s">
        <v>483</v>
      </c>
      <c r="V1184" s="102" t="s">
        <v>268</v>
      </c>
      <c r="W1184" s="267">
        <f>IFERROR(Table6[[#This Row],[Breakdown Time]]*Table6[[#This Row],[Plant Equivalent Weightage]],"")</f>
        <v>1.2820512820512771E-3</v>
      </c>
      <c r="X1184" s="262" t="s">
        <v>269</v>
      </c>
      <c r="Y1184" s="263" t="s">
        <v>121</v>
      </c>
      <c r="Z1184" s="102">
        <v>6199</v>
      </c>
      <c r="AA1184" s="257">
        <f>(Table6[[#This Row],[Paired WTG Generation for loss calculation]]/24)*Table6[[#This Row],[Breakdown Time]]</f>
        <v>8.6097222222221923</v>
      </c>
      <c r="AB1184" s="102"/>
      <c r="AC1184" s="35"/>
      <c r="AD1184" s="35"/>
    </row>
    <row r="1185" spans="1:30">
      <c r="A1185" s="102">
        <f t="shared" si="19"/>
        <v>1184</v>
      </c>
      <c r="B1185" s="257">
        <f>YEAR(Table6[[#This Row],[Date]])+IF(MONTH(Table6[[#This Row],[Date]])&gt;=4,1,0)</f>
        <v>2026</v>
      </c>
      <c r="C1185" s="102">
        <f>YEAR(Table6[[#This Row],[Date]])</f>
        <v>2025</v>
      </c>
      <c r="D1185" s="102" t="s">
        <v>265</v>
      </c>
      <c r="E1185" s="258">
        <f>Table6[[#This Row],[Date]]-DAY(Table6[[#This Row],[Date]])+1</f>
        <v>45809</v>
      </c>
      <c r="F1185" s="259">
        <v>45823</v>
      </c>
      <c r="G1185" s="35" t="s">
        <v>118</v>
      </c>
      <c r="H1185" s="35" t="str">
        <f>IFERROR(_xlfn.XLOOKUP(Table6[[#This Row],[Affected WTG]],'Basic Data'!$A:$A,'Basic Data'!$B:$B),"")</f>
        <v>TQGXIIPL</v>
      </c>
      <c r="I1185" s="35" t="str">
        <f>IFERROR(_xlfn.XLOOKUP(Table6[[#This Row],[Affected WTG]],'Basic Data'!$A:$A,'Basic Data'!$C:$C),"")</f>
        <v>GEDA</v>
      </c>
      <c r="J1185" s="260">
        <f>IFERROR(_xlfn.XLOOKUP(Table6[[#This Row],[Affected WTG]],'Basic Data'!$A:$A,'Basic Data'!$E:$E),"")</f>
        <v>3.846153846153845E-2</v>
      </c>
      <c r="K1185" s="102">
        <v>3110</v>
      </c>
      <c r="L1185" s="35" t="str">
        <f>IFERROR(_xlfn.XLOOKUP(Table6[[#This Row],[Error Code]],'Basic Data'!$AA:$AA,'Basic Data'!$AB:$AB),"Incorrect Error Code")</f>
        <v>Frequency converter error</v>
      </c>
      <c r="M1185" s="35" t="s">
        <v>266</v>
      </c>
      <c r="N1185" s="264"/>
      <c r="O1185" s="265">
        <v>0.54513888888888884</v>
      </c>
      <c r="P1185" s="265">
        <v>0.54513888888888884</v>
      </c>
      <c r="Q1185" s="266">
        <v>0.54652777777777772</v>
      </c>
      <c r="R1185" s="261">
        <f>IF(Table6[[#This Row],[Work Start TimeStamp]]="","",(Table6[[#This Row],[Work Start TimeStamp]]-Table6[[#This Row],[Fault Start TimeStamp]])*24)</f>
        <v>0</v>
      </c>
      <c r="S1185" s="261">
        <f>(Table6[[#This Row],[Fault Clearance time]]-Table6[[#This Row],[Work Start TimeStamp]])*24</f>
        <v>3.3333333333333215E-2</v>
      </c>
      <c r="T1185" s="261">
        <f>(Table6[[#This Row],[Fault Clearance time]]-Table6[[#This Row],[Fault Start TimeStamp]])*24</f>
        <v>3.3333333333333215E-2</v>
      </c>
      <c r="U1185" s="35" t="s">
        <v>483</v>
      </c>
      <c r="V1185" s="102" t="s">
        <v>268</v>
      </c>
      <c r="W1185" s="267">
        <f>IFERROR(Table6[[#This Row],[Breakdown Time]]*Table6[[#This Row],[Plant Equivalent Weightage]],"")</f>
        <v>1.2820512820512771E-3</v>
      </c>
      <c r="X1185" s="262" t="s">
        <v>269</v>
      </c>
      <c r="Y1185" s="263" t="s">
        <v>121</v>
      </c>
      <c r="Z1185" s="102">
        <v>6199</v>
      </c>
      <c r="AA1185" s="257">
        <f>(Table6[[#This Row],[Paired WTG Generation for loss calculation]]/24)*Table6[[#This Row],[Breakdown Time]]</f>
        <v>8.6097222222221923</v>
      </c>
      <c r="AB1185" s="102"/>
      <c r="AC1185" s="35"/>
      <c r="AD1185" s="35"/>
    </row>
    <row r="1186" spans="1:30">
      <c r="A1186" s="102">
        <f t="shared" si="19"/>
        <v>1185</v>
      </c>
      <c r="B1186" s="257">
        <f>YEAR(Table6[[#This Row],[Date]])+IF(MONTH(Table6[[#This Row],[Date]])&gt;=4,1,0)</f>
        <v>2026</v>
      </c>
      <c r="C1186" s="102">
        <f>YEAR(Table6[[#This Row],[Date]])</f>
        <v>2025</v>
      </c>
      <c r="D1186" s="102" t="s">
        <v>265</v>
      </c>
      <c r="E1186" s="258">
        <f>Table6[[#This Row],[Date]]-DAY(Table6[[#This Row],[Date]])+1</f>
        <v>45809</v>
      </c>
      <c r="F1186" s="259">
        <v>45823</v>
      </c>
      <c r="G1186" s="35" t="s">
        <v>128</v>
      </c>
      <c r="H1186" s="35" t="str">
        <f>IFERROR(_xlfn.XLOOKUP(Table6[[#This Row],[Affected WTG]],'Basic Data'!$A:$A,'Basic Data'!$B:$B),"")</f>
        <v>TQGXIIPL</v>
      </c>
      <c r="I1186" s="35" t="str">
        <f>IFERROR(_xlfn.XLOOKUP(Table6[[#This Row],[Affected WTG]],'Basic Data'!$A:$A,'Basic Data'!$C:$C),"")</f>
        <v>GEDA</v>
      </c>
      <c r="J1186" s="260">
        <f>IFERROR(_xlfn.XLOOKUP(Table6[[#This Row],[Affected WTG]],'Basic Data'!$A:$A,'Basic Data'!$E:$E),"")</f>
        <v>3.846153846153845E-2</v>
      </c>
      <c r="K1186" s="102">
        <v>6130</v>
      </c>
      <c r="L1186" s="35" t="str">
        <f>IFERROR(_xlfn.XLOOKUP(Table6[[#This Row],[Error Code]],'Basic Data'!$AA:$AA,'Basic Data'!$AB:$AB),"Incorrect Error Code")</f>
        <v>Yaw speed high</v>
      </c>
      <c r="M1186" s="35" t="s">
        <v>278</v>
      </c>
      <c r="N1186" s="264"/>
      <c r="O1186" s="265">
        <v>0.78819444444444442</v>
      </c>
      <c r="P1186" s="265">
        <v>0.78819444444444442</v>
      </c>
      <c r="Q1186" s="266">
        <v>0.79236111111111107</v>
      </c>
      <c r="R1186" s="261">
        <f>IF(Table6[[#This Row],[Work Start TimeStamp]]="","",(Table6[[#This Row],[Work Start TimeStamp]]-Table6[[#This Row],[Fault Start TimeStamp]])*24)</f>
        <v>0</v>
      </c>
      <c r="S1186" s="261">
        <f>(Table6[[#This Row],[Fault Clearance time]]-Table6[[#This Row],[Work Start TimeStamp]])*24</f>
        <v>9.9999999999999645E-2</v>
      </c>
      <c r="T1186" s="261">
        <f>(Table6[[#This Row],[Fault Clearance time]]-Table6[[#This Row],[Fault Start TimeStamp]])*24</f>
        <v>9.9999999999999645E-2</v>
      </c>
      <c r="U1186" s="35" t="s">
        <v>277</v>
      </c>
      <c r="V1186" s="102" t="s">
        <v>268</v>
      </c>
      <c r="W1186" s="267">
        <f>IFERROR(Table6[[#This Row],[Breakdown Time]]*Table6[[#This Row],[Plant Equivalent Weightage]],"")</f>
        <v>3.8461538461538312E-3</v>
      </c>
      <c r="X1186" s="262" t="s">
        <v>269</v>
      </c>
      <c r="Y1186" s="263" t="s">
        <v>126</v>
      </c>
      <c r="Z1186" s="102">
        <v>6246</v>
      </c>
      <c r="AA1186" s="257">
        <f>(Table6[[#This Row],[Paired WTG Generation for loss calculation]]/24)*Table6[[#This Row],[Breakdown Time]]</f>
        <v>26.024999999999906</v>
      </c>
      <c r="AB1186" s="102"/>
      <c r="AC1186" s="35"/>
      <c r="AD1186" s="35"/>
    </row>
    <row r="1187" spans="1:30">
      <c r="A1187" s="102">
        <f t="shared" si="19"/>
        <v>1186</v>
      </c>
      <c r="B1187" s="257">
        <f>YEAR(Table6[[#This Row],[Date]])+IF(MONTH(Table6[[#This Row],[Date]])&gt;=4,1,0)</f>
        <v>2026</v>
      </c>
      <c r="C1187" s="102">
        <f>YEAR(Table6[[#This Row],[Date]])</f>
        <v>2025</v>
      </c>
      <c r="D1187" s="102" t="s">
        <v>265</v>
      </c>
      <c r="E1187" s="258">
        <f>Table6[[#This Row],[Date]]-DAY(Table6[[#This Row],[Date]])+1</f>
        <v>45809</v>
      </c>
      <c r="F1187" s="259">
        <v>45823</v>
      </c>
      <c r="G1187" s="35" t="s">
        <v>135</v>
      </c>
      <c r="H1187" s="35" t="str">
        <f>IFERROR(_xlfn.XLOOKUP(Table6[[#This Row],[Affected WTG]],'Basic Data'!$A:$A,'Basic Data'!$B:$B),"")</f>
        <v>TQGXIIPL</v>
      </c>
      <c r="I1187" s="35" t="str">
        <f>IFERROR(_xlfn.XLOOKUP(Table6[[#This Row],[Affected WTG]],'Basic Data'!$A:$A,'Basic Data'!$C:$C),"")</f>
        <v>GEDA</v>
      </c>
      <c r="J1187" s="260">
        <f>IFERROR(_xlfn.XLOOKUP(Table6[[#This Row],[Affected WTG]],'Basic Data'!$A:$A,'Basic Data'!$E:$E),"")</f>
        <v>3.846153846153845E-2</v>
      </c>
      <c r="K1187" s="102">
        <v>3110</v>
      </c>
      <c r="L1187" s="35" t="str">
        <f>IFERROR(_xlfn.XLOOKUP(Table6[[#This Row],[Error Code]],'Basic Data'!$AA:$AA,'Basic Data'!$AB:$AB),"Incorrect Error Code")</f>
        <v>Frequency converter error</v>
      </c>
      <c r="M1187" s="35" t="s">
        <v>266</v>
      </c>
      <c r="N1187" s="264"/>
      <c r="O1187" s="265">
        <v>0.48819444444444443</v>
      </c>
      <c r="P1187" s="265">
        <v>0.48819444444444443</v>
      </c>
      <c r="Q1187" s="266">
        <v>0.48888888888888887</v>
      </c>
      <c r="R1187" s="261">
        <f>IF(Table6[[#This Row],[Work Start TimeStamp]]="","",(Table6[[#This Row],[Work Start TimeStamp]]-Table6[[#This Row],[Fault Start TimeStamp]])*24)</f>
        <v>0</v>
      </c>
      <c r="S1187" s="261">
        <f>(Table6[[#This Row],[Fault Clearance time]]-Table6[[#This Row],[Work Start TimeStamp]])*24</f>
        <v>1.6666666666666607E-2</v>
      </c>
      <c r="T1187" s="261">
        <f>(Table6[[#This Row],[Fault Clearance time]]-Table6[[#This Row],[Fault Start TimeStamp]])*24</f>
        <v>1.6666666666666607E-2</v>
      </c>
      <c r="U1187" s="35" t="s">
        <v>483</v>
      </c>
      <c r="V1187" s="102" t="s">
        <v>268</v>
      </c>
      <c r="W1187" s="267">
        <f>IFERROR(Table6[[#This Row],[Breakdown Time]]*Table6[[#This Row],[Plant Equivalent Weightage]],"")</f>
        <v>6.4102564102563853E-4</v>
      </c>
      <c r="X1187" s="262" t="s">
        <v>269</v>
      </c>
      <c r="Y1187" s="263" t="s">
        <v>120</v>
      </c>
      <c r="Z1187" s="102">
        <v>6453</v>
      </c>
      <c r="AA1187" s="257">
        <f>(Table6[[#This Row],[Paired WTG Generation for loss calculation]]/24)*Table6[[#This Row],[Breakdown Time]]</f>
        <v>4.4812499999999842</v>
      </c>
      <c r="AB1187" s="102"/>
      <c r="AC1187" s="35"/>
      <c r="AD1187" s="35"/>
    </row>
    <row r="1188" spans="1:30">
      <c r="A1188" s="102">
        <f t="shared" si="19"/>
        <v>1187</v>
      </c>
      <c r="B1188" s="257">
        <f>YEAR(Table6[[#This Row],[Date]])+IF(MONTH(Table6[[#This Row],[Date]])&gt;=4,1,0)</f>
        <v>2026</v>
      </c>
      <c r="C1188" s="102">
        <f>YEAR(Table6[[#This Row],[Date]])</f>
        <v>2025</v>
      </c>
      <c r="D1188" s="102" t="s">
        <v>265</v>
      </c>
      <c r="E1188" s="258">
        <f>Table6[[#This Row],[Date]]-DAY(Table6[[#This Row],[Date]])+1</f>
        <v>45809</v>
      </c>
      <c r="F1188" s="259">
        <v>45823</v>
      </c>
      <c r="G1188" s="35" t="s">
        <v>135</v>
      </c>
      <c r="H1188" s="35" t="str">
        <f>IFERROR(_xlfn.XLOOKUP(Table6[[#This Row],[Affected WTG]],'Basic Data'!$A:$A,'Basic Data'!$B:$B),"")</f>
        <v>TQGXIIPL</v>
      </c>
      <c r="I1188" s="35" t="str">
        <f>IFERROR(_xlfn.XLOOKUP(Table6[[#This Row],[Affected WTG]],'Basic Data'!$A:$A,'Basic Data'!$C:$C),"")</f>
        <v>GEDA</v>
      </c>
      <c r="J1188" s="260">
        <f>IFERROR(_xlfn.XLOOKUP(Table6[[#This Row],[Affected WTG]],'Basic Data'!$A:$A,'Basic Data'!$E:$E),"")</f>
        <v>3.846153846153845E-2</v>
      </c>
      <c r="K1188" s="102">
        <v>3110</v>
      </c>
      <c r="L1188" s="35" t="str">
        <f>IFERROR(_xlfn.XLOOKUP(Table6[[#This Row],[Error Code]],'Basic Data'!$AA:$AA,'Basic Data'!$AB:$AB),"Incorrect Error Code")</f>
        <v>Frequency converter error</v>
      </c>
      <c r="M1188" s="35" t="s">
        <v>266</v>
      </c>
      <c r="N1188" s="264"/>
      <c r="O1188" s="265">
        <v>0.55972222222222223</v>
      </c>
      <c r="P1188" s="265">
        <v>0.55972222222222223</v>
      </c>
      <c r="Q1188" s="266">
        <v>0.5625</v>
      </c>
      <c r="R1188" s="261">
        <f>IF(Table6[[#This Row],[Work Start TimeStamp]]="","",(Table6[[#This Row],[Work Start TimeStamp]]-Table6[[#This Row],[Fault Start TimeStamp]])*24)</f>
        <v>0</v>
      </c>
      <c r="S1188" s="261">
        <f>(Table6[[#This Row],[Fault Clearance time]]-Table6[[#This Row],[Work Start TimeStamp]])*24</f>
        <v>6.666666666666643E-2</v>
      </c>
      <c r="T1188" s="261">
        <f>(Table6[[#This Row],[Fault Clearance time]]-Table6[[#This Row],[Fault Start TimeStamp]])*24</f>
        <v>6.666666666666643E-2</v>
      </c>
      <c r="U1188" s="35" t="s">
        <v>483</v>
      </c>
      <c r="V1188" s="102" t="s">
        <v>268</v>
      </c>
      <c r="W1188" s="267">
        <f>IFERROR(Table6[[#This Row],[Breakdown Time]]*Table6[[#This Row],[Plant Equivalent Weightage]],"")</f>
        <v>2.5641025641025541E-3</v>
      </c>
      <c r="X1188" s="262" t="s">
        <v>269</v>
      </c>
      <c r="Y1188" s="263" t="s">
        <v>120</v>
      </c>
      <c r="Z1188" s="102">
        <v>6453</v>
      </c>
      <c r="AA1188" s="257">
        <f>(Table6[[#This Row],[Paired WTG Generation for loss calculation]]/24)*Table6[[#This Row],[Breakdown Time]]</f>
        <v>17.924999999999937</v>
      </c>
      <c r="AB1188" s="102"/>
      <c r="AC1188" s="35"/>
      <c r="AD1188" s="35"/>
    </row>
    <row r="1189" spans="1:30">
      <c r="A1189" s="102">
        <f t="shared" si="19"/>
        <v>1188</v>
      </c>
      <c r="B1189" s="257">
        <f>YEAR(Table6[[#This Row],[Date]])+IF(MONTH(Table6[[#This Row],[Date]])&gt;=4,1,0)</f>
        <v>2026</v>
      </c>
      <c r="C1189" s="102">
        <f>YEAR(Table6[[#This Row],[Date]])</f>
        <v>2025</v>
      </c>
      <c r="D1189" s="102" t="s">
        <v>265</v>
      </c>
      <c r="E1189" s="258">
        <f>Table6[[#This Row],[Date]]-DAY(Table6[[#This Row],[Date]])+1</f>
        <v>45809</v>
      </c>
      <c r="F1189" s="259">
        <v>45823</v>
      </c>
      <c r="G1189" s="35" t="s">
        <v>136</v>
      </c>
      <c r="H1189" s="35" t="str">
        <f>IFERROR(_xlfn.XLOOKUP(Table6[[#This Row],[Affected WTG]],'Basic Data'!$A:$A,'Basic Data'!$B:$B),"")</f>
        <v>TQGXIIPL</v>
      </c>
      <c r="I1189" s="35" t="str">
        <f>IFERROR(_xlfn.XLOOKUP(Table6[[#This Row],[Affected WTG]],'Basic Data'!$A:$A,'Basic Data'!$C:$C),"")</f>
        <v>GEDA</v>
      </c>
      <c r="J1189" s="260">
        <f>IFERROR(_xlfn.XLOOKUP(Table6[[#This Row],[Affected WTG]],'Basic Data'!$A:$A,'Basic Data'!$E:$E),"")</f>
        <v>3.846153846153845E-2</v>
      </c>
      <c r="K1189" s="102">
        <v>3110</v>
      </c>
      <c r="L1189" s="35" t="str">
        <f>IFERROR(_xlfn.XLOOKUP(Table6[[#This Row],[Error Code]],'Basic Data'!$AA:$AA,'Basic Data'!$AB:$AB),"Incorrect Error Code")</f>
        <v>Frequency converter error</v>
      </c>
      <c r="M1189" s="35" t="s">
        <v>266</v>
      </c>
      <c r="N1189" s="264"/>
      <c r="O1189" s="265">
        <v>0.49236111111111114</v>
      </c>
      <c r="P1189" s="265">
        <v>0.49236111111111114</v>
      </c>
      <c r="Q1189" s="266">
        <v>0.49305555555555558</v>
      </c>
      <c r="R1189" s="261">
        <f>IF(Table6[[#This Row],[Work Start TimeStamp]]="","",(Table6[[#This Row],[Work Start TimeStamp]]-Table6[[#This Row],[Fault Start TimeStamp]])*24)</f>
        <v>0</v>
      </c>
      <c r="S1189" s="261">
        <f>(Table6[[#This Row],[Fault Clearance time]]-Table6[[#This Row],[Work Start TimeStamp]])*24</f>
        <v>1.6666666666666607E-2</v>
      </c>
      <c r="T1189" s="261">
        <f>(Table6[[#This Row],[Fault Clearance time]]-Table6[[#This Row],[Fault Start TimeStamp]])*24</f>
        <v>1.6666666666666607E-2</v>
      </c>
      <c r="U1189" s="35" t="s">
        <v>483</v>
      </c>
      <c r="V1189" s="102" t="s">
        <v>268</v>
      </c>
      <c r="W1189" s="267">
        <f>IFERROR(Table6[[#This Row],[Breakdown Time]]*Table6[[#This Row],[Plant Equivalent Weightage]],"")</f>
        <v>6.4102564102563853E-4</v>
      </c>
      <c r="X1189" s="262" t="s">
        <v>269</v>
      </c>
      <c r="Y1189" s="263" t="s">
        <v>120</v>
      </c>
      <c r="Z1189" s="102">
        <v>6453</v>
      </c>
      <c r="AA1189" s="257">
        <f>(Table6[[#This Row],[Paired WTG Generation for loss calculation]]/24)*Table6[[#This Row],[Breakdown Time]]</f>
        <v>4.4812499999999842</v>
      </c>
      <c r="AB1189" s="102"/>
      <c r="AC1189" s="35"/>
      <c r="AD1189" s="35"/>
    </row>
    <row r="1190" spans="1:30">
      <c r="A1190" s="102">
        <f t="shared" si="19"/>
        <v>1189</v>
      </c>
      <c r="B1190" s="257">
        <f>YEAR(Table6[[#This Row],[Date]])+IF(MONTH(Table6[[#This Row],[Date]])&gt;=4,1,0)</f>
        <v>2026</v>
      </c>
      <c r="C1190" s="102">
        <f>YEAR(Table6[[#This Row],[Date]])</f>
        <v>2025</v>
      </c>
      <c r="D1190" s="102" t="s">
        <v>265</v>
      </c>
      <c r="E1190" s="258">
        <f>Table6[[#This Row],[Date]]-DAY(Table6[[#This Row],[Date]])+1</f>
        <v>45809</v>
      </c>
      <c r="F1190" s="259">
        <v>45823</v>
      </c>
      <c r="G1190" s="35" t="s">
        <v>136</v>
      </c>
      <c r="H1190" s="35" t="str">
        <f>IFERROR(_xlfn.XLOOKUP(Table6[[#This Row],[Affected WTG]],'Basic Data'!$A:$A,'Basic Data'!$B:$B),"")</f>
        <v>TQGXIIPL</v>
      </c>
      <c r="I1190" s="35" t="str">
        <f>IFERROR(_xlfn.XLOOKUP(Table6[[#This Row],[Affected WTG]],'Basic Data'!$A:$A,'Basic Data'!$C:$C),"")</f>
        <v>GEDA</v>
      </c>
      <c r="J1190" s="260">
        <f>IFERROR(_xlfn.XLOOKUP(Table6[[#This Row],[Affected WTG]],'Basic Data'!$A:$A,'Basic Data'!$E:$E),"")</f>
        <v>3.846153846153845E-2</v>
      </c>
      <c r="K1190" s="102">
        <v>3110</v>
      </c>
      <c r="L1190" s="35" t="str">
        <f>IFERROR(_xlfn.XLOOKUP(Table6[[#This Row],[Error Code]],'Basic Data'!$AA:$AA,'Basic Data'!$AB:$AB),"Incorrect Error Code")</f>
        <v>Frequency converter error</v>
      </c>
      <c r="M1190" s="35" t="s">
        <v>266</v>
      </c>
      <c r="N1190" s="264"/>
      <c r="O1190" s="265">
        <v>0.56388888888888888</v>
      </c>
      <c r="P1190" s="265">
        <v>0.56388888888888888</v>
      </c>
      <c r="Q1190" s="266">
        <v>0.56736111111111109</v>
      </c>
      <c r="R1190" s="261">
        <f>IF(Table6[[#This Row],[Work Start TimeStamp]]="","",(Table6[[#This Row],[Work Start TimeStamp]]-Table6[[#This Row],[Fault Start TimeStamp]])*24)</f>
        <v>0</v>
      </c>
      <c r="S1190" s="261">
        <f>(Table6[[#This Row],[Fault Clearance time]]-Table6[[#This Row],[Work Start TimeStamp]])*24</f>
        <v>8.3333333333333037E-2</v>
      </c>
      <c r="T1190" s="261">
        <f>(Table6[[#This Row],[Fault Clearance time]]-Table6[[#This Row],[Fault Start TimeStamp]])*24</f>
        <v>8.3333333333333037E-2</v>
      </c>
      <c r="U1190" s="35" t="s">
        <v>483</v>
      </c>
      <c r="V1190" s="102" t="s">
        <v>268</v>
      </c>
      <c r="W1190" s="267">
        <f>IFERROR(Table6[[#This Row],[Breakdown Time]]*Table6[[#This Row],[Plant Equivalent Weightage]],"")</f>
        <v>3.2051282051281929E-3</v>
      </c>
      <c r="X1190" s="262" t="s">
        <v>269</v>
      </c>
      <c r="Y1190" s="263" t="s">
        <v>120</v>
      </c>
      <c r="Z1190" s="102">
        <v>6453</v>
      </c>
      <c r="AA1190" s="257">
        <f>(Table6[[#This Row],[Paired WTG Generation for loss calculation]]/24)*Table6[[#This Row],[Breakdown Time]]</f>
        <v>22.406249999999922</v>
      </c>
      <c r="AB1190" s="102"/>
      <c r="AC1190" s="35"/>
      <c r="AD1190" s="35"/>
    </row>
    <row r="1191" spans="1:30">
      <c r="A1191" s="102">
        <f t="shared" si="19"/>
        <v>1190</v>
      </c>
      <c r="B1191" s="257">
        <f>YEAR(Table6[[#This Row],[Date]])+IF(MONTH(Table6[[#This Row],[Date]])&gt;=4,1,0)</f>
        <v>2026</v>
      </c>
      <c r="C1191" s="102">
        <f>YEAR(Table6[[#This Row],[Date]])</f>
        <v>2025</v>
      </c>
      <c r="D1191" s="102" t="s">
        <v>265</v>
      </c>
      <c r="E1191" s="258">
        <f>Table6[[#This Row],[Date]]-DAY(Table6[[#This Row],[Date]])+1</f>
        <v>45809</v>
      </c>
      <c r="F1191" s="259">
        <v>45823</v>
      </c>
      <c r="G1191" s="35" t="s">
        <v>136</v>
      </c>
      <c r="H1191" s="35" t="str">
        <f>IFERROR(_xlfn.XLOOKUP(Table6[[#This Row],[Affected WTG]],'Basic Data'!$A:$A,'Basic Data'!$B:$B),"")</f>
        <v>TQGXIIPL</v>
      </c>
      <c r="I1191" s="35" t="str">
        <f>IFERROR(_xlfn.XLOOKUP(Table6[[#This Row],[Affected WTG]],'Basic Data'!$A:$A,'Basic Data'!$C:$C),"")</f>
        <v>GEDA</v>
      </c>
      <c r="J1191" s="260">
        <f>IFERROR(_xlfn.XLOOKUP(Table6[[#This Row],[Affected WTG]],'Basic Data'!$A:$A,'Basic Data'!$E:$E),"")</f>
        <v>3.846153846153845E-2</v>
      </c>
      <c r="K1191" s="102">
        <v>58</v>
      </c>
      <c r="L1191" s="35" t="str">
        <f>IFERROR(_xlfn.XLOOKUP(Table6[[#This Row],[Error Code]],'Basic Data'!$AA:$AA,'Basic Data'!$AB:$AB),"Incorrect Error Code")</f>
        <v>Wind dir.dev. level 2</v>
      </c>
      <c r="M1191" s="35" t="s">
        <v>266</v>
      </c>
      <c r="N1191" s="264"/>
      <c r="O1191" s="265">
        <v>0.79583333333333328</v>
      </c>
      <c r="P1191" s="265">
        <v>0.79583333333333328</v>
      </c>
      <c r="Q1191" s="266">
        <v>0.79861111111111116</v>
      </c>
      <c r="R1191" s="261">
        <f>IF(Table6[[#This Row],[Work Start TimeStamp]]="","",(Table6[[#This Row],[Work Start TimeStamp]]-Table6[[#This Row],[Fault Start TimeStamp]])*24)</f>
        <v>0</v>
      </c>
      <c r="S1191" s="261">
        <f>(Table6[[#This Row],[Fault Clearance time]]-Table6[[#This Row],[Work Start TimeStamp]])*24</f>
        <v>6.6666666666669094E-2</v>
      </c>
      <c r="T1191" s="261">
        <f>(Table6[[#This Row],[Fault Clearance time]]-Table6[[#This Row],[Fault Start TimeStamp]])*24</f>
        <v>6.6666666666669094E-2</v>
      </c>
      <c r="U1191" s="35" t="s">
        <v>483</v>
      </c>
      <c r="V1191" s="102" t="s">
        <v>268</v>
      </c>
      <c r="W1191" s="267">
        <f>IFERROR(Table6[[#This Row],[Breakdown Time]]*Table6[[#This Row],[Plant Equivalent Weightage]],"")</f>
        <v>2.5641025641026569E-3</v>
      </c>
      <c r="X1191" s="262" t="s">
        <v>269</v>
      </c>
      <c r="Y1191" s="263" t="s">
        <v>120</v>
      </c>
      <c r="Z1191" s="102">
        <v>6453</v>
      </c>
      <c r="AA1191" s="257">
        <f>(Table6[[#This Row],[Paired WTG Generation for loss calculation]]/24)*Table6[[#This Row],[Breakdown Time]]</f>
        <v>17.925000000000654</v>
      </c>
      <c r="AB1191" s="102"/>
      <c r="AC1191" s="35"/>
      <c r="AD1191" s="35"/>
    </row>
    <row r="1192" spans="1:30">
      <c r="A1192" s="102">
        <f t="shared" si="19"/>
        <v>1191</v>
      </c>
      <c r="B1192" s="257">
        <f>YEAR(Table6[[#This Row],[Date]])+IF(MONTH(Table6[[#This Row],[Date]])&gt;=4,1,0)</f>
        <v>2026</v>
      </c>
      <c r="C1192" s="102">
        <f>YEAR(Table6[[#This Row],[Date]])</f>
        <v>2025</v>
      </c>
      <c r="D1192" s="102" t="s">
        <v>265</v>
      </c>
      <c r="E1192" s="258">
        <f>Table6[[#This Row],[Date]]-DAY(Table6[[#This Row],[Date]])+1</f>
        <v>45809</v>
      </c>
      <c r="F1192" s="259">
        <v>45824</v>
      </c>
      <c r="G1192" s="35" t="s">
        <v>118</v>
      </c>
      <c r="H1192" s="35" t="str">
        <f>IFERROR(_xlfn.XLOOKUP(Table6[[#This Row],[Affected WTG]],'Basic Data'!$A:$A,'Basic Data'!$B:$B),"")</f>
        <v>TQGXIIPL</v>
      </c>
      <c r="I1192" s="35" t="str">
        <f>IFERROR(_xlfn.XLOOKUP(Table6[[#This Row],[Affected WTG]],'Basic Data'!$A:$A,'Basic Data'!$C:$C),"")</f>
        <v>GEDA</v>
      </c>
      <c r="J1192" s="260">
        <f>IFERROR(_xlfn.XLOOKUP(Table6[[#This Row],[Affected WTG]],'Basic Data'!$A:$A,'Basic Data'!$E:$E),"")</f>
        <v>3.846153846153845E-2</v>
      </c>
      <c r="K1192" s="102">
        <v>152</v>
      </c>
      <c r="L1192" s="35" t="str">
        <f>IFERROR(_xlfn.XLOOKUP(Table6[[#This Row],[Error Code]],'Basic Data'!$AA:$AA,'Basic Data'!$AB:$AB),"Incorrect Error Code")</f>
        <v>SLC app. not in SAFE mode</v>
      </c>
      <c r="M1192" s="35" t="s">
        <v>504</v>
      </c>
      <c r="N1192" s="264"/>
      <c r="O1192" s="265">
        <v>0.6</v>
      </c>
      <c r="P1192" s="265">
        <v>0.6</v>
      </c>
      <c r="Q1192" s="266">
        <v>0.62638888888888888</v>
      </c>
      <c r="R1192" s="261">
        <f>IF(Table6[[#This Row],[Work Start TimeStamp]]="","",(Table6[[#This Row],[Work Start TimeStamp]]-Table6[[#This Row],[Fault Start TimeStamp]])*24)</f>
        <v>0</v>
      </c>
      <c r="S1192" s="261">
        <f>(Table6[[#This Row],[Fault Clearance time]]-Table6[[#This Row],[Work Start TimeStamp]])*24</f>
        <v>0.63333333333333375</v>
      </c>
      <c r="T1192" s="261">
        <f>(Table6[[#This Row],[Fault Clearance time]]-Table6[[#This Row],[Fault Start TimeStamp]])*24</f>
        <v>0.63333333333333375</v>
      </c>
      <c r="U1192" s="35" t="s">
        <v>523</v>
      </c>
      <c r="V1192" s="102" t="s">
        <v>268</v>
      </c>
      <c r="W1192" s="267">
        <f>IFERROR(Table6[[#This Row],[Breakdown Time]]*Table6[[#This Row],[Plant Equivalent Weightage]],"")</f>
        <v>2.4358974358974366E-2</v>
      </c>
      <c r="X1192" s="262" t="s">
        <v>269</v>
      </c>
      <c r="Y1192" s="263" t="s">
        <v>121</v>
      </c>
      <c r="Z1192" s="102">
        <v>35642</v>
      </c>
      <c r="AA1192" s="257">
        <f>(Table6[[#This Row],[Paired WTG Generation for loss calculation]]/24)*Table6[[#This Row],[Breakdown Time]]</f>
        <v>940.55277777777837</v>
      </c>
      <c r="AB1192" s="102"/>
      <c r="AC1192" s="35"/>
      <c r="AD1192" s="35"/>
    </row>
    <row r="1193" spans="1:30">
      <c r="A1193" s="102">
        <f t="shared" si="19"/>
        <v>1192</v>
      </c>
      <c r="B1193" s="257">
        <f>YEAR(Table6[[#This Row],[Date]])+IF(MONTH(Table6[[#This Row],[Date]])&gt;=4,1,0)</f>
        <v>2026</v>
      </c>
      <c r="C1193" s="102">
        <f>YEAR(Table6[[#This Row],[Date]])</f>
        <v>2025</v>
      </c>
      <c r="D1193" s="102" t="s">
        <v>265</v>
      </c>
      <c r="E1193" s="258">
        <f>Table6[[#This Row],[Date]]-DAY(Table6[[#This Row],[Date]])+1</f>
        <v>45809</v>
      </c>
      <c r="F1193" s="259">
        <v>45824</v>
      </c>
      <c r="G1193" s="35" t="s">
        <v>119</v>
      </c>
      <c r="H1193" s="35" t="str">
        <f>IFERROR(_xlfn.XLOOKUP(Table6[[#This Row],[Affected WTG]],'Basic Data'!$A:$A,'Basic Data'!$B:$B),"")</f>
        <v>TQGXIIPL</v>
      </c>
      <c r="I1193" s="35" t="str">
        <f>IFERROR(_xlfn.XLOOKUP(Table6[[#This Row],[Affected WTG]],'Basic Data'!$A:$A,'Basic Data'!$C:$C),"")</f>
        <v>GEDA</v>
      </c>
      <c r="J1193" s="260">
        <f>IFERROR(_xlfn.XLOOKUP(Table6[[#This Row],[Affected WTG]],'Basic Data'!$A:$A,'Basic Data'!$E:$E),"")</f>
        <v>3.846153846153845E-2</v>
      </c>
      <c r="K1193" s="102">
        <v>3110</v>
      </c>
      <c r="L1193" s="35" t="str">
        <f>IFERROR(_xlfn.XLOOKUP(Table6[[#This Row],[Error Code]],'Basic Data'!$AA:$AA,'Basic Data'!$AB:$AB),"Incorrect Error Code")</f>
        <v>Frequency converter error</v>
      </c>
      <c r="M1193" s="35" t="s">
        <v>266</v>
      </c>
      <c r="N1193" s="264"/>
      <c r="O1193" s="265">
        <v>0.98611111111111116</v>
      </c>
      <c r="P1193" s="265">
        <v>0.98611111111111116</v>
      </c>
      <c r="Q1193" s="266">
        <v>0.9916666666666667</v>
      </c>
      <c r="R1193" s="261">
        <f>IF(Table6[[#This Row],[Work Start TimeStamp]]="","",(Table6[[#This Row],[Work Start TimeStamp]]-Table6[[#This Row],[Fault Start TimeStamp]])*24)</f>
        <v>0</v>
      </c>
      <c r="S1193" s="261">
        <f>(Table6[[#This Row],[Fault Clearance time]]-Table6[[#This Row],[Work Start TimeStamp]])*24</f>
        <v>0.13333333333333286</v>
      </c>
      <c r="T1193" s="261">
        <f>(Table6[[#This Row],[Fault Clearance time]]-Table6[[#This Row],[Fault Start TimeStamp]])*24</f>
        <v>0.13333333333333286</v>
      </c>
      <c r="U1193" s="35" t="s">
        <v>483</v>
      </c>
      <c r="V1193" s="102" t="s">
        <v>268</v>
      </c>
      <c r="W1193" s="267">
        <f>IFERROR(Table6[[#This Row],[Breakdown Time]]*Table6[[#This Row],[Plant Equivalent Weightage]],"")</f>
        <v>5.1282051282051083E-3</v>
      </c>
      <c r="X1193" s="262" t="s">
        <v>269</v>
      </c>
      <c r="Y1193" s="263" t="s">
        <v>116</v>
      </c>
      <c r="Z1193" s="102">
        <v>42568</v>
      </c>
      <c r="AA1193" s="257">
        <f>(Table6[[#This Row],[Paired WTG Generation for loss calculation]]/24)*Table6[[#This Row],[Breakdown Time]]</f>
        <v>236.48888888888806</v>
      </c>
      <c r="AB1193" s="102"/>
      <c r="AC1193" s="35"/>
      <c r="AD1193" s="35"/>
    </row>
    <row r="1194" spans="1:30">
      <c r="A1194" s="102">
        <f t="shared" si="19"/>
        <v>1193</v>
      </c>
      <c r="B1194" s="257">
        <f>YEAR(Table6[[#This Row],[Date]])+IF(MONTH(Table6[[#This Row],[Date]])&gt;=4,1,0)</f>
        <v>2026</v>
      </c>
      <c r="C1194" s="102">
        <f>YEAR(Table6[[#This Row],[Date]])</f>
        <v>2025</v>
      </c>
      <c r="D1194" s="102" t="s">
        <v>265</v>
      </c>
      <c r="E1194" s="258">
        <f>Table6[[#This Row],[Date]]-DAY(Table6[[#This Row],[Date]])+1</f>
        <v>45809</v>
      </c>
      <c r="F1194" s="259">
        <v>45824</v>
      </c>
      <c r="G1194" s="35" t="s">
        <v>120</v>
      </c>
      <c r="H1194" s="35" t="str">
        <f>IFERROR(_xlfn.XLOOKUP(Table6[[#This Row],[Affected WTG]],'Basic Data'!$A:$A,'Basic Data'!$B:$B),"")</f>
        <v>TQGXIIPL</v>
      </c>
      <c r="I1194" s="35" t="str">
        <f>IFERROR(_xlfn.XLOOKUP(Table6[[#This Row],[Affected WTG]],'Basic Data'!$A:$A,'Basic Data'!$C:$C),"")</f>
        <v>GEDA</v>
      </c>
      <c r="J1194" s="260">
        <f>IFERROR(_xlfn.XLOOKUP(Table6[[#This Row],[Affected WTG]],'Basic Data'!$A:$A,'Basic Data'!$E:$E),"")</f>
        <v>3.846153846153845E-2</v>
      </c>
      <c r="K1194" s="102">
        <v>58</v>
      </c>
      <c r="L1194" s="35" t="str">
        <f>IFERROR(_xlfn.XLOOKUP(Table6[[#This Row],[Error Code]],'Basic Data'!$AA:$AA,'Basic Data'!$AB:$AB),"Incorrect Error Code")</f>
        <v>Wind dir.dev. level 2</v>
      </c>
      <c r="M1194" s="35" t="s">
        <v>278</v>
      </c>
      <c r="N1194" s="264"/>
      <c r="O1194" s="265">
        <v>0.82291666666666663</v>
      </c>
      <c r="P1194" s="265">
        <v>0.82291666666666663</v>
      </c>
      <c r="Q1194" s="266">
        <v>0.82499999999999996</v>
      </c>
      <c r="R1194" s="261">
        <f>IF(Table6[[#This Row],[Work Start TimeStamp]]="","",(Table6[[#This Row],[Work Start TimeStamp]]-Table6[[#This Row],[Fault Start TimeStamp]])*24)</f>
        <v>0</v>
      </c>
      <c r="S1194" s="261">
        <f>(Table6[[#This Row],[Fault Clearance time]]-Table6[[#This Row],[Work Start TimeStamp]])*24</f>
        <v>4.9999999999999822E-2</v>
      </c>
      <c r="T1194" s="261">
        <f>(Table6[[#This Row],[Fault Clearance time]]-Table6[[#This Row],[Fault Start TimeStamp]])*24</f>
        <v>4.9999999999999822E-2</v>
      </c>
      <c r="U1194" s="35" t="s">
        <v>277</v>
      </c>
      <c r="V1194" s="102" t="s">
        <v>268</v>
      </c>
      <c r="W1194" s="267">
        <f>IFERROR(Table6[[#This Row],[Breakdown Time]]*Table6[[#This Row],[Plant Equivalent Weightage]],"")</f>
        <v>1.9230769230769156E-3</v>
      </c>
      <c r="X1194" s="262" t="s">
        <v>269</v>
      </c>
      <c r="Y1194" s="263" t="s">
        <v>135</v>
      </c>
      <c r="Z1194" s="102">
        <v>32444</v>
      </c>
      <c r="AA1194" s="257">
        <f>(Table6[[#This Row],[Paired WTG Generation for loss calculation]]/24)*Table6[[#This Row],[Breakdown Time]]</f>
        <v>67.591666666666427</v>
      </c>
      <c r="AB1194" s="102"/>
      <c r="AC1194" s="35"/>
      <c r="AD1194" s="35"/>
    </row>
    <row r="1195" spans="1:30">
      <c r="A1195" s="102">
        <f t="shared" si="19"/>
        <v>1194</v>
      </c>
      <c r="B1195" s="257">
        <f>YEAR(Table6[[#This Row],[Date]])+IF(MONTH(Table6[[#This Row],[Date]])&gt;=4,1,0)</f>
        <v>2026</v>
      </c>
      <c r="C1195" s="102">
        <f>YEAR(Table6[[#This Row],[Date]])</f>
        <v>2025</v>
      </c>
      <c r="D1195" s="102" t="s">
        <v>265</v>
      </c>
      <c r="E1195" s="258">
        <f>Table6[[#This Row],[Date]]-DAY(Table6[[#This Row],[Date]])+1</f>
        <v>45809</v>
      </c>
      <c r="F1195" s="259">
        <v>45824</v>
      </c>
      <c r="G1195" s="35" t="s">
        <v>121</v>
      </c>
      <c r="H1195" s="35" t="str">
        <f>IFERROR(_xlfn.XLOOKUP(Table6[[#This Row],[Affected WTG]],'Basic Data'!$A:$A,'Basic Data'!$B:$B),"")</f>
        <v>TQGXIIPL</v>
      </c>
      <c r="I1195" s="35" t="str">
        <f>IFERROR(_xlfn.XLOOKUP(Table6[[#This Row],[Affected WTG]],'Basic Data'!$A:$A,'Basic Data'!$C:$C),"")</f>
        <v>GEDA</v>
      </c>
      <c r="J1195" s="260">
        <f>IFERROR(_xlfn.XLOOKUP(Table6[[#This Row],[Affected WTG]],'Basic Data'!$A:$A,'Basic Data'!$E:$E),"")</f>
        <v>3.846153846153845E-2</v>
      </c>
      <c r="K1195" s="102">
        <v>152</v>
      </c>
      <c r="L1195" s="35" t="str">
        <f>IFERROR(_xlfn.XLOOKUP(Table6[[#This Row],[Error Code]],'Basic Data'!$AA:$AA,'Basic Data'!$AB:$AB),"Incorrect Error Code")</f>
        <v>SLC app. not in SAFE mode</v>
      </c>
      <c r="M1195" s="35" t="s">
        <v>504</v>
      </c>
      <c r="N1195" s="264"/>
      <c r="O1195" s="265">
        <v>0.6</v>
      </c>
      <c r="P1195" s="265">
        <v>0.6</v>
      </c>
      <c r="Q1195" s="266">
        <v>0.62916666666666665</v>
      </c>
      <c r="R1195" s="261">
        <f>IF(Table6[[#This Row],[Work Start TimeStamp]]="","",(Table6[[#This Row],[Work Start TimeStamp]]-Table6[[#This Row],[Fault Start TimeStamp]])*24)</f>
        <v>0</v>
      </c>
      <c r="S1195" s="261">
        <f>(Table6[[#This Row],[Fault Clearance time]]-Table6[[#This Row],[Work Start TimeStamp]])*24</f>
        <v>0.70000000000000018</v>
      </c>
      <c r="T1195" s="261">
        <f>(Table6[[#This Row],[Fault Clearance time]]-Table6[[#This Row],[Fault Start TimeStamp]])*24</f>
        <v>0.70000000000000018</v>
      </c>
      <c r="U1195" s="35" t="s">
        <v>523</v>
      </c>
      <c r="V1195" s="102" t="s">
        <v>268</v>
      </c>
      <c r="W1195" s="267">
        <f>IFERROR(Table6[[#This Row],[Breakdown Time]]*Table6[[#This Row],[Plant Equivalent Weightage]],"")</f>
        <v>2.6923076923076921E-2</v>
      </c>
      <c r="X1195" s="262" t="s">
        <v>269</v>
      </c>
      <c r="Y1195" s="263" t="s">
        <v>118</v>
      </c>
      <c r="Z1195" s="102">
        <v>36994</v>
      </c>
      <c r="AA1195" s="257">
        <f>(Table6[[#This Row],[Paired WTG Generation for loss calculation]]/24)*Table6[[#This Row],[Breakdown Time]]</f>
        <v>1078.991666666667</v>
      </c>
      <c r="AB1195" s="102"/>
      <c r="AC1195" s="35"/>
      <c r="AD1195" s="35"/>
    </row>
    <row r="1196" spans="1:30">
      <c r="A1196" s="102">
        <f t="shared" si="19"/>
        <v>1195</v>
      </c>
      <c r="B1196" s="257">
        <f>YEAR(Table6[[#This Row],[Date]])+IF(MONTH(Table6[[#This Row],[Date]])&gt;=4,1,0)</f>
        <v>2026</v>
      </c>
      <c r="C1196" s="102">
        <f>YEAR(Table6[[#This Row],[Date]])</f>
        <v>2025</v>
      </c>
      <c r="D1196" s="102" t="s">
        <v>265</v>
      </c>
      <c r="E1196" s="258">
        <f>Table6[[#This Row],[Date]]-DAY(Table6[[#This Row],[Date]])+1</f>
        <v>45809</v>
      </c>
      <c r="F1196" s="259">
        <v>45824</v>
      </c>
      <c r="G1196" s="35" t="s">
        <v>126</v>
      </c>
      <c r="H1196" s="35" t="str">
        <f>IFERROR(_xlfn.XLOOKUP(Table6[[#This Row],[Affected WTG]],'Basic Data'!$A:$A,'Basic Data'!$B:$B),"")</f>
        <v>TQGXIIPL</v>
      </c>
      <c r="I1196" s="35" t="str">
        <f>IFERROR(_xlfn.XLOOKUP(Table6[[#This Row],[Affected WTG]],'Basic Data'!$A:$A,'Basic Data'!$C:$C),"")</f>
        <v>GEDA</v>
      </c>
      <c r="J1196" s="260">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291</v>
      </c>
      <c r="N1196" s="264"/>
      <c r="O1196" s="265">
        <v>0.42916666666666664</v>
      </c>
      <c r="P1196" s="265">
        <v>0.42916666666666664</v>
      </c>
      <c r="Q1196" s="266">
        <v>0.99998842592592596</v>
      </c>
      <c r="R1196" s="261">
        <f>IF(Table6[[#This Row],[Work Start TimeStamp]]="","",(Table6[[#This Row],[Work Start TimeStamp]]-Table6[[#This Row],[Fault Start TimeStamp]])*24)</f>
        <v>0</v>
      </c>
      <c r="S1196" s="261">
        <f>(Table6[[#This Row],[Fault Clearance time]]-Table6[[#This Row],[Work Start TimeStamp]])*24</f>
        <v>13.699722222222222</v>
      </c>
      <c r="T1196" s="261">
        <f>(Table6[[#This Row],[Fault Clearance time]]-Table6[[#This Row],[Fault Start TimeStamp]])*24</f>
        <v>13.699722222222222</v>
      </c>
      <c r="U1196" s="35" t="s">
        <v>524</v>
      </c>
      <c r="V1196" s="102" t="s">
        <v>289</v>
      </c>
      <c r="W1196" s="267">
        <f>IFERROR(Table6[[#This Row],[Breakdown Time]]*Table6[[#This Row],[Plant Equivalent Weightage]],"")</f>
        <v>0.52691239316239302</v>
      </c>
      <c r="X1196" s="262" t="s">
        <v>296</v>
      </c>
      <c r="Y1196" s="263" t="s">
        <v>128</v>
      </c>
      <c r="Z1196" s="102">
        <v>41004</v>
      </c>
      <c r="AA1196" s="257">
        <f>(Table6[[#This Row],[Paired WTG Generation for loss calculation]]/24)*Table6[[#This Row],[Breakdown Time]]</f>
        <v>23405.975416666668</v>
      </c>
      <c r="AB1196" s="102"/>
      <c r="AC1196" s="35"/>
      <c r="AD1196" s="35"/>
    </row>
    <row r="1197" spans="1:30">
      <c r="A1197" s="102">
        <f t="shared" si="19"/>
        <v>1196</v>
      </c>
      <c r="B1197" s="257">
        <f>YEAR(Table6[[#This Row],[Date]])+IF(MONTH(Table6[[#This Row],[Date]])&gt;=4,1,0)</f>
        <v>2026</v>
      </c>
      <c r="C1197" s="102">
        <f>YEAR(Table6[[#This Row],[Date]])</f>
        <v>2025</v>
      </c>
      <c r="D1197" s="102" t="s">
        <v>265</v>
      </c>
      <c r="E1197" s="258">
        <f>Table6[[#This Row],[Date]]-DAY(Table6[[#This Row],[Date]])+1</f>
        <v>45809</v>
      </c>
      <c r="F1197" s="259">
        <v>45824</v>
      </c>
      <c r="G1197" s="35" t="s">
        <v>128</v>
      </c>
      <c r="H1197" s="35" t="str">
        <f>IFERROR(_xlfn.XLOOKUP(Table6[[#This Row],[Affected WTG]],'Basic Data'!$A:$A,'Basic Data'!$B:$B),"")</f>
        <v>TQGXIIPL</v>
      </c>
      <c r="I1197" s="35" t="str">
        <f>IFERROR(_xlfn.XLOOKUP(Table6[[#This Row],[Affected WTG]],'Basic Data'!$A:$A,'Basic Data'!$C:$C),"")</f>
        <v>GEDA</v>
      </c>
      <c r="J1197" s="260">
        <f>IFERROR(_xlfn.XLOOKUP(Table6[[#This Row],[Affected WTG]],'Basic Data'!$A:$A,'Basic Data'!$E:$E),"")</f>
        <v>3.846153846153845E-2</v>
      </c>
      <c r="K1197" s="102">
        <v>175</v>
      </c>
      <c r="L1197" s="35" t="str">
        <f>IFERROR(_xlfn.XLOOKUP(Table6[[#This Row],[Error Code]],'Basic Data'!$AA:$AA,'Basic Data'!$AB:$AB),"Incorrect Error Code")</f>
        <v>SLC error</v>
      </c>
      <c r="M1197" s="35" t="s">
        <v>266</v>
      </c>
      <c r="N1197" s="264"/>
      <c r="O1197" s="265">
        <v>0.42638888888888887</v>
      </c>
      <c r="P1197" s="265">
        <v>0.42638888888888887</v>
      </c>
      <c r="Q1197" s="266">
        <v>0.43472222222222223</v>
      </c>
      <c r="R1197" s="261">
        <f>IF(Table6[[#This Row],[Work Start TimeStamp]]="","",(Table6[[#This Row],[Work Start TimeStamp]]-Table6[[#This Row],[Fault Start TimeStamp]])*24)</f>
        <v>0</v>
      </c>
      <c r="S1197" s="261">
        <f>(Table6[[#This Row],[Fault Clearance time]]-Table6[[#This Row],[Work Start TimeStamp]])*24</f>
        <v>0.20000000000000062</v>
      </c>
      <c r="T1197" s="261">
        <f>(Table6[[#This Row],[Fault Clearance time]]-Table6[[#This Row],[Fault Start TimeStamp]])*24</f>
        <v>0.20000000000000062</v>
      </c>
      <c r="U1197" s="35" t="s">
        <v>483</v>
      </c>
      <c r="V1197" s="102" t="s">
        <v>268</v>
      </c>
      <c r="W1197" s="267">
        <f>IFERROR(Table6[[#This Row],[Breakdown Time]]*Table6[[#This Row],[Plant Equivalent Weightage]],"")</f>
        <v>7.6923076923077136E-3</v>
      </c>
      <c r="X1197" s="262" t="s">
        <v>269</v>
      </c>
      <c r="Y1197" s="263" t="s">
        <v>126</v>
      </c>
      <c r="Z1197" s="102">
        <v>9859</v>
      </c>
      <c r="AA1197" s="257">
        <f>(Table6[[#This Row],[Paired WTG Generation for loss calculation]]/24)*Table6[[#This Row],[Breakdown Time]]</f>
        <v>82.158333333333587</v>
      </c>
      <c r="AB1197" s="102"/>
      <c r="AC1197" s="35"/>
      <c r="AD1197" s="35"/>
    </row>
    <row r="1198" spans="1:30">
      <c r="A1198" s="102">
        <f t="shared" si="19"/>
        <v>1197</v>
      </c>
      <c r="B1198" s="257">
        <f>YEAR(Table6[[#This Row],[Date]])+IF(MONTH(Table6[[#This Row],[Date]])&gt;=4,1,0)</f>
        <v>2026</v>
      </c>
      <c r="C1198" s="102">
        <f>YEAR(Table6[[#This Row],[Date]])</f>
        <v>2025</v>
      </c>
      <c r="D1198" s="102" t="s">
        <v>265</v>
      </c>
      <c r="E1198" s="258">
        <f>Table6[[#This Row],[Date]]-DAY(Table6[[#This Row],[Date]])+1</f>
        <v>45809</v>
      </c>
      <c r="F1198" s="259">
        <v>45824</v>
      </c>
      <c r="G1198" s="35" t="s">
        <v>131</v>
      </c>
      <c r="H1198" s="35" t="str">
        <f>IFERROR(_xlfn.XLOOKUP(Table6[[#This Row],[Affected WTG]],'Basic Data'!$A:$A,'Basic Data'!$B:$B),"")</f>
        <v>TQGXIIPL</v>
      </c>
      <c r="I1198" s="35" t="str">
        <f>IFERROR(_xlfn.XLOOKUP(Table6[[#This Row],[Affected WTG]],'Basic Data'!$A:$A,'Basic Data'!$C:$C),"")</f>
        <v>GEDA</v>
      </c>
      <c r="J1198" s="260">
        <f>IFERROR(_xlfn.XLOOKUP(Table6[[#This Row],[Affected WTG]],'Basic Data'!$A:$A,'Basic Data'!$E:$E),"")</f>
        <v>3.846153846153845E-2</v>
      </c>
      <c r="K1198" s="102">
        <v>4960</v>
      </c>
      <c r="L1198" s="35" t="str">
        <f>IFERROR(_xlfn.XLOOKUP(Table6[[#This Row],[Error Code]],'Basic Data'!$AA:$AA,'Basic Data'!$AB:$AB),"Incorrect Error Code")</f>
        <v>Tower oscillation YF</v>
      </c>
      <c r="M1198" s="35" t="s">
        <v>266</v>
      </c>
      <c r="N1198" s="264"/>
      <c r="O1198" s="265">
        <v>0.9770833333333333</v>
      </c>
      <c r="P1198" s="265">
        <v>0.9770833333333333</v>
      </c>
      <c r="Q1198" s="266">
        <v>0.98888888888888893</v>
      </c>
      <c r="R1198" s="261">
        <f>IF(Table6[[#This Row],[Work Start TimeStamp]]="","",(Table6[[#This Row],[Work Start TimeStamp]]-Table6[[#This Row],[Fault Start TimeStamp]])*24)</f>
        <v>0</v>
      </c>
      <c r="S1198" s="261">
        <f>(Table6[[#This Row],[Fault Clearance time]]-Table6[[#This Row],[Work Start TimeStamp]])*24</f>
        <v>0.28333333333333499</v>
      </c>
      <c r="T1198" s="261">
        <f>(Table6[[#This Row],[Fault Clearance time]]-Table6[[#This Row],[Fault Start TimeStamp]])*24</f>
        <v>0.28333333333333499</v>
      </c>
      <c r="U1198" s="35" t="s">
        <v>483</v>
      </c>
      <c r="V1198" s="102" t="s">
        <v>268</v>
      </c>
      <c r="W1198" s="267">
        <f>IFERROR(Table6[[#This Row],[Breakdown Time]]*Table6[[#This Row],[Plant Equivalent Weightage]],"")</f>
        <v>1.0897435897435958E-2</v>
      </c>
      <c r="X1198" s="262" t="s">
        <v>269</v>
      </c>
      <c r="Y1198" s="263" t="s">
        <v>136</v>
      </c>
      <c r="Z1198" s="102">
        <v>35130</v>
      </c>
      <c r="AA1198" s="257">
        <f>(Table6[[#This Row],[Paired WTG Generation for loss calculation]]/24)*Table6[[#This Row],[Breakdown Time]]</f>
        <v>414.72916666666907</v>
      </c>
      <c r="AB1198" s="102"/>
      <c r="AC1198" s="35"/>
      <c r="AD1198" s="35"/>
    </row>
    <row r="1199" spans="1:30">
      <c r="A1199" s="102">
        <f t="shared" si="19"/>
        <v>1198</v>
      </c>
      <c r="B1199" s="257">
        <f>YEAR(Table6[[#This Row],[Date]])+IF(MONTH(Table6[[#This Row],[Date]])&gt;=4,1,0)</f>
        <v>2026</v>
      </c>
      <c r="C1199" s="102">
        <f>YEAR(Table6[[#This Row],[Date]])</f>
        <v>2025</v>
      </c>
      <c r="D1199" s="102" t="s">
        <v>265</v>
      </c>
      <c r="E1199" s="258">
        <f>Table6[[#This Row],[Date]]-DAY(Table6[[#This Row],[Date]])+1</f>
        <v>45809</v>
      </c>
      <c r="F1199" s="259">
        <v>45824</v>
      </c>
      <c r="G1199" s="35" t="s">
        <v>134</v>
      </c>
      <c r="H1199" s="35" t="str">
        <f>IFERROR(_xlfn.XLOOKUP(Table6[[#This Row],[Affected WTG]],'Basic Data'!$A:$A,'Basic Data'!$B:$B),"")</f>
        <v>TQGXIIPL</v>
      </c>
      <c r="I1199" s="35" t="str">
        <f>IFERROR(_xlfn.XLOOKUP(Table6[[#This Row],[Affected WTG]],'Basic Data'!$A:$A,'Basic Data'!$C:$C),"")</f>
        <v>GEDA</v>
      </c>
      <c r="J1199" s="260">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291</v>
      </c>
      <c r="N1199" s="264"/>
      <c r="O1199" s="265">
        <v>0.6</v>
      </c>
      <c r="P1199" s="265">
        <v>0.6</v>
      </c>
      <c r="Q1199" s="266">
        <v>0.67083333333333328</v>
      </c>
      <c r="R1199" s="261">
        <f>IF(Table6[[#This Row],[Work Start TimeStamp]]="","",(Table6[[#This Row],[Work Start TimeStamp]]-Table6[[#This Row],[Fault Start TimeStamp]])*24)</f>
        <v>0</v>
      </c>
      <c r="S1199" s="261">
        <f>(Table6[[#This Row],[Fault Clearance time]]-Table6[[#This Row],[Work Start TimeStamp]])*24</f>
        <v>1.6999999999999993</v>
      </c>
      <c r="T1199" s="261">
        <f>(Table6[[#This Row],[Fault Clearance time]]-Table6[[#This Row],[Fault Start TimeStamp]])*24</f>
        <v>1.6999999999999993</v>
      </c>
      <c r="U1199" s="35" t="s">
        <v>525</v>
      </c>
      <c r="V1199" s="102" t="s">
        <v>268</v>
      </c>
      <c r="W1199" s="267">
        <f>IFERROR(Table6[[#This Row],[Breakdown Time]]*Table6[[#This Row],[Plant Equivalent Weightage]],"")</f>
        <v>6.5384615384615333E-2</v>
      </c>
      <c r="X1199" s="262" t="s">
        <v>269</v>
      </c>
      <c r="Y1199" s="263" t="s">
        <v>138</v>
      </c>
      <c r="Z1199" s="102">
        <v>35934</v>
      </c>
      <c r="AA1199" s="257">
        <f>(Table6[[#This Row],[Paired WTG Generation for loss calculation]]/24)*Table6[[#This Row],[Breakdown Time]]</f>
        <v>2545.3249999999989</v>
      </c>
      <c r="AB1199" s="102"/>
      <c r="AC1199" s="35"/>
      <c r="AD1199" s="35"/>
    </row>
    <row r="1200" spans="1:30">
      <c r="A1200" s="102">
        <f t="shared" si="19"/>
        <v>1199</v>
      </c>
      <c r="B1200" s="257">
        <f>YEAR(Table6[[#This Row],[Date]])+IF(MONTH(Table6[[#This Row],[Date]])&gt;=4,1,0)</f>
        <v>2026</v>
      </c>
      <c r="C1200" s="102">
        <f>YEAR(Table6[[#This Row],[Date]])</f>
        <v>2025</v>
      </c>
      <c r="D1200" s="102" t="s">
        <v>265</v>
      </c>
      <c r="E1200" s="258">
        <f>Table6[[#This Row],[Date]]-DAY(Table6[[#This Row],[Date]])+1</f>
        <v>45809</v>
      </c>
      <c r="F1200" s="259">
        <v>45824</v>
      </c>
      <c r="G1200" s="35" t="s">
        <v>134</v>
      </c>
      <c r="H1200" s="35" t="str">
        <f>IFERROR(_xlfn.XLOOKUP(Table6[[#This Row],[Affected WTG]],'Basic Data'!$A:$A,'Basic Data'!$B:$B),"")</f>
        <v>TQGXIIPL</v>
      </c>
      <c r="I1200" s="35" t="str">
        <f>IFERROR(_xlfn.XLOOKUP(Table6[[#This Row],[Affected WTG]],'Basic Data'!$A:$A,'Basic Data'!$C:$C),"")</f>
        <v>GEDA</v>
      </c>
      <c r="J1200" s="260">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266</v>
      </c>
      <c r="N1200" s="264"/>
      <c r="O1200" s="265">
        <v>0.67083333333333328</v>
      </c>
      <c r="P1200" s="265">
        <v>0.67083333333333328</v>
      </c>
      <c r="Q1200" s="266">
        <v>0.71597222222222223</v>
      </c>
      <c r="R1200" s="261">
        <f>IF(Table6[[#This Row],[Work Start TimeStamp]]="","",(Table6[[#This Row],[Work Start TimeStamp]]-Table6[[#This Row],[Fault Start TimeStamp]])*24)</f>
        <v>0</v>
      </c>
      <c r="S1200" s="261">
        <f>(Table6[[#This Row],[Fault Clearance time]]-Table6[[#This Row],[Work Start TimeStamp]])*24</f>
        <v>1.0833333333333348</v>
      </c>
      <c r="T1200" s="261">
        <f>(Table6[[#This Row],[Fault Clearance time]]-Table6[[#This Row],[Fault Start TimeStamp]])*24</f>
        <v>1.0833333333333348</v>
      </c>
      <c r="U1200" s="35" t="s">
        <v>526</v>
      </c>
      <c r="V1200" s="102" t="s">
        <v>268</v>
      </c>
      <c r="W1200" s="267">
        <f>IFERROR(Table6[[#This Row],[Breakdown Time]]*Table6[[#This Row],[Plant Equivalent Weightage]],"")</f>
        <v>4.1666666666666713E-2</v>
      </c>
      <c r="X1200" s="262" t="s">
        <v>296</v>
      </c>
      <c r="Y1200" s="263" t="s">
        <v>138</v>
      </c>
      <c r="Z1200" s="102">
        <v>35934</v>
      </c>
      <c r="AA1200" s="257">
        <f>(Table6[[#This Row],[Paired WTG Generation for loss calculation]]/24)*Table6[[#This Row],[Breakdown Time]]</f>
        <v>1622.0208333333355</v>
      </c>
      <c r="AB1200" s="102"/>
      <c r="AC1200" s="35"/>
      <c r="AD1200" s="35"/>
    </row>
    <row r="1201" spans="1:30">
      <c r="A1201" s="102">
        <f t="shared" si="19"/>
        <v>1200</v>
      </c>
      <c r="B1201" s="257">
        <f>YEAR(Table6[[#This Row],[Date]])+IF(MONTH(Table6[[#This Row],[Date]])&gt;=4,1,0)</f>
        <v>2026</v>
      </c>
      <c r="C1201" s="102">
        <f>YEAR(Table6[[#This Row],[Date]])</f>
        <v>2025</v>
      </c>
      <c r="D1201" s="102" t="s">
        <v>265</v>
      </c>
      <c r="E1201" s="258">
        <f>Table6[[#This Row],[Date]]-DAY(Table6[[#This Row],[Date]])+1</f>
        <v>45809</v>
      </c>
      <c r="F1201" s="259">
        <v>45824</v>
      </c>
      <c r="G1201" s="35" t="s">
        <v>137</v>
      </c>
      <c r="H1201" s="35" t="str">
        <f>IFERROR(_xlfn.XLOOKUP(Table6[[#This Row],[Affected WTG]],'Basic Data'!$A:$A,'Basic Data'!$B:$B),"")</f>
        <v>TQGXIIPL</v>
      </c>
      <c r="I1201" s="35" t="str">
        <f>IFERROR(_xlfn.XLOOKUP(Table6[[#This Row],[Affected WTG]],'Basic Data'!$A:$A,'Basic Data'!$C:$C),"")</f>
        <v>GEDA</v>
      </c>
      <c r="J1201" s="260">
        <f>IFERROR(_xlfn.XLOOKUP(Table6[[#This Row],[Affected WTG]],'Basic Data'!$A:$A,'Basic Data'!$E:$E),"")</f>
        <v>3.846153846153845E-2</v>
      </c>
      <c r="K1201" s="102">
        <v>6130</v>
      </c>
      <c r="L1201" s="35" t="str">
        <f>IFERROR(_xlfn.XLOOKUP(Table6[[#This Row],[Error Code]],'Basic Data'!$AA:$AA,'Basic Data'!$AB:$AB),"Incorrect Error Code")</f>
        <v>Yaw speed high</v>
      </c>
      <c r="M1201" s="35" t="s">
        <v>278</v>
      </c>
      <c r="N1201" s="264"/>
      <c r="O1201" s="265">
        <v>0.74861111111111112</v>
      </c>
      <c r="P1201" s="265">
        <v>0.74861111111111112</v>
      </c>
      <c r="Q1201" s="266">
        <v>0.75</v>
      </c>
      <c r="R1201" s="261">
        <f>IF(Table6[[#This Row],[Work Start TimeStamp]]="","",(Table6[[#This Row],[Work Start TimeStamp]]-Table6[[#This Row],[Fault Start TimeStamp]])*24)</f>
        <v>0</v>
      </c>
      <c r="S1201" s="261">
        <f>(Table6[[#This Row],[Fault Clearance time]]-Table6[[#This Row],[Work Start TimeStamp]])*24</f>
        <v>3.3333333333333215E-2</v>
      </c>
      <c r="T1201" s="261">
        <f>(Table6[[#This Row],[Fault Clearance time]]-Table6[[#This Row],[Fault Start TimeStamp]])*24</f>
        <v>3.3333333333333215E-2</v>
      </c>
      <c r="U1201" s="35" t="s">
        <v>277</v>
      </c>
      <c r="V1201" s="102" t="s">
        <v>268</v>
      </c>
      <c r="W1201" s="267">
        <f>IFERROR(Table6[[#This Row],[Breakdown Time]]*Table6[[#This Row],[Plant Equivalent Weightage]],"")</f>
        <v>1.2820512820512771E-3</v>
      </c>
      <c r="X1201" s="262" t="s">
        <v>269</v>
      </c>
      <c r="Y1201" s="263" t="s">
        <v>125</v>
      </c>
      <c r="Z1201" s="102">
        <v>39549</v>
      </c>
      <c r="AA1201" s="257">
        <f>(Table6[[#This Row],[Paired WTG Generation for loss calculation]]/24)*Table6[[#This Row],[Breakdown Time]]</f>
        <v>54.929166666666468</v>
      </c>
      <c r="AB1201" s="102"/>
      <c r="AC1201" s="35"/>
      <c r="AD1201" s="35"/>
    </row>
    <row r="1202" spans="1:30">
      <c r="A1202" s="102">
        <f t="shared" si="19"/>
        <v>1201</v>
      </c>
      <c r="B1202" s="257">
        <f>YEAR(Table6[[#This Row],[Date]])+IF(MONTH(Table6[[#This Row],[Date]])&gt;=4,1,0)</f>
        <v>2026</v>
      </c>
      <c r="C1202" s="102">
        <f>YEAR(Table6[[#This Row],[Date]])</f>
        <v>2025</v>
      </c>
      <c r="D1202" s="102" t="s">
        <v>265</v>
      </c>
      <c r="E1202" s="258">
        <f>Table6[[#This Row],[Date]]-DAY(Table6[[#This Row],[Date]])+1</f>
        <v>45809</v>
      </c>
      <c r="F1202" s="259">
        <v>45824</v>
      </c>
      <c r="G1202" s="35" t="s">
        <v>137</v>
      </c>
      <c r="H1202" s="35" t="str">
        <f>IFERROR(_xlfn.XLOOKUP(Table6[[#This Row],[Affected WTG]],'Basic Data'!$A:$A,'Basic Data'!$B:$B),"")</f>
        <v>TQGXIIPL</v>
      </c>
      <c r="I1202" s="35" t="str">
        <f>IFERROR(_xlfn.XLOOKUP(Table6[[#This Row],[Affected WTG]],'Basic Data'!$A:$A,'Basic Data'!$C:$C),"")</f>
        <v>GEDA</v>
      </c>
      <c r="J1202" s="260">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278</v>
      </c>
      <c r="N1202" s="264"/>
      <c r="O1202" s="265">
        <v>0.9604166666666667</v>
      </c>
      <c r="P1202" s="265">
        <v>0.9604166666666667</v>
      </c>
      <c r="Q1202" s="266">
        <v>0.96250000000000002</v>
      </c>
      <c r="R1202" s="261">
        <f>IF(Table6[[#This Row],[Work Start TimeStamp]]="","",(Table6[[#This Row],[Work Start TimeStamp]]-Table6[[#This Row],[Fault Start TimeStamp]])*24)</f>
        <v>0</v>
      </c>
      <c r="S1202" s="261">
        <f>(Table6[[#This Row],[Fault Clearance time]]-Table6[[#This Row],[Work Start TimeStamp]])*24</f>
        <v>4.9999999999999822E-2</v>
      </c>
      <c r="T1202" s="261">
        <f>(Table6[[#This Row],[Fault Clearance time]]-Table6[[#This Row],[Fault Start TimeStamp]])*24</f>
        <v>4.9999999999999822E-2</v>
      </c>
      <c r="U1202" s="35" t="s">
        <v>277</v>
      </c>
      <c r="V1202" s="102" t="s">
        <v>268</v>
      </c>
      <c r="W1202" s="267">
        <f>IFERROR(Table6[[#This Row],[Breakdown Time]]*Table6[[#This Row],[Plant Equivalent Weightage]],"")</f>
        <v>1.9230769230769156E-3</v>
      </c>
      <c r="X1202" s="262" t="s">
        <v>269</v>
      </c>
      <c r="Y1202" s="263" t="s">
        <v>125</v>
      </c>
      <c r="Z1202" s="102">
        <v>39549</v>
      </c>
      <c r="AA1202" s="257">
        <f>(Table6[[#This Row],[Paired WTG Generation for loss calculation]]/24)*Table6[[#This Row],[Breakdown Time]]</f>
        <v>82.393749999999713</v>
      </c>
      <c r="AB1202" s="102"/>
      <c r="AC1202" s="35"/>
      <c r="AD1202" s="35"/>
    </row>
    <row r="1203" spans="1:30">
      <c r="A1203" s="102">
        <f t="shared" si="19"/>
        <v>1202</v>
      </c>
      <c r="B1203" s="257">
        <f>YEAR(Table6[[#This Row],[Date]])+IF(MONTH(Table6[[#This Row],[Date]])&gt;=4,1,0)</f>
        <v>2026</v>
      </c>
      <c r="C1203" s="102">
        <f>YEAR(Table6[[#This Row],[Date]])</f>
        <v>2025</v>
      </c>
      <c r="D1203" s="102" t="s">
        <v>265</v>
      </c>
      <c r="E1203" s="258">
        <f>Table6[[#This Row],[Date]]-DAY(Table6[[#This Row],[Date]])+1</f>
        <v>45809</v>
      </c>
      <c r="F1203" s="259">
        <v>45824</v>
      </c>
      <c r="G1203" s="35" t="s">
        <v>140</v>
      </c>
      <c r="H1203" s="35" t="str">
        <f>IFERROR(_xlfn.XLOOKUP(Table6[[#This Row],[Affected WTG]],'Basic Data'!$A:$A,'Basic Data'!$B:$B),"")</f>
        <v>TQGXIIPL</v>
      </c>
      <c r="I1203" s="35" t="str">
        <f>IFERROR(_xlfn.XLOOKUP(Table6[[#This Row],[Affected WTG]],'Basic Data'!$A:$A,'Basic Data'!$C:$C),"")</f>
        <v>GEDA</v>
      </c>
      <c r="J1203" s="260">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266</v>
      </c>
      <c r="N1203" s="264"/>
      <c r="O1203" s="265">
        <v>0.33958333333333335</v>
      </c>
      <c r="P1203" s="265">
        <v>0.33958333333333335</v>
      </c>
      <c r="Q1203" s="266">
        <v>0.34930555555555554</v>
      </c>
      <c r="R1203" s="261">
        <f>IF(Table6[[#This Row],[Work Start TimeStamp]]="","",(Table6[[#This Row],[Work Start TimeStamp]]-Table6[[#This Row],[Fault Start TimeStamp]])*24)</f>
        <v>0</v>
      </c>
      <c r="S1203" s="261">
        <f>(Table6[[#This Row],[Fault Clearance time]]-Table6[[#This Row],[Work Start TimeStamp]])*24</f>
        <v>0.2333333333333325</v>
      </c>
      <c r="T1203" s="261">
        <f>(Table6[[#This Row],[Fault Clearance time]]-Table6[[#This Row],[Fault Start TimeStamp]])*24</f>
        <v>0.2333333333333325</v>
      </c>
      <c r="U1203" s="35" t="s">
        <v>464</v>
      </c>
      <c r="V1203" s="102" t="s">
        <v>268</v>
      </c>
      <c r="W1203" s="267">
        <f>IFERROR(Table6[[#This Row],[Breakdown Time]]*Table6[[#This Row],[Plant Equivalent Weightage]],"")</f>
        <v>8.974358974358939E-3</v>
      </c>
      <c r="X1203" s="262" t="s">
        <v>269</v>
      </c>
      <c r="Y1203" s="263" t="s">
        <v>115</v>
      </c>
      <c r="Z1203" s="102">
        <v>39130</v>
      </c>
      <c r="AA1203" s="257">
        <f>(Table6[[#This Row],[Paired WTG Generation for loss calculation]]/24)*Table6[[#This Row],[Breakdown Time]]</f>
        <v>380.43055555555424</v>
      </c>
      <c r="AB1203" s="102"/>
      <c r="AC1203" s="35"/>
      <c r="AD1203" s="35"/>
    </row>
    <row r="1204" spans="1:30">
      <c r="A1204" s="102">
        <f t="shared" si="19"/>
        <v>1203</v>
      </c>
      <c r="B1204" s="257">
        <f>YEAR(Table6[[#This Row],[Date]])+IF(MONTH(Table6[[#This Row],[Date]])&gt;=4,1,0)</f>
        <v>2026</v>
      </c>
      <c r="C1204" s="102">
        <f>YEAR(Table6[[#This Row],[Date]])</f>
        <v>2025</v>
      </c>
      <c r="D1204" s="102" t="s">
        <v>265</v>
      </c>
      <c r="E1204" s="258">
        <f>Table6[[#This Row],[Date]]-DAY(Table6[[#This Row],[Date]])+1</f>
        <v>45809</v>
      </c>
      <c r="F1204" s="259">
        <v>45825</v>
      </c>
      <c r="G1204" s="35" t="s">
        <v>115</v>
      </c>
      <c r="H1204" s="35" t="str">
        <f>IFERROR(_xlfn.XLOOKUP(Table6[[#This Row],[Affected WTG]],'Basic Data'!$A:$A,'Basic Data'!$B:$B),"")</f>
        <v>TQGXIIPL</v>
      </c>
      <c r="I1204" s="35" t="str">
        <f>IFERROR(_xlfn.XLOOKUP(Table6[[#This Row],[Affected WTG]],'Basic Data'!$A:$A,'Basic Data'!$C:$C),"")</f>
        <v>GEDA</v>
      </c>
      <c r="J1204" s="260">
        <f>IFERROR(_xlfn.XLOOKUP(Table6[[#This Row],[Affected WTG]],'Basic Data'!$A:$A,'Basic Data'!$E:$E),"")</f>
        <v>3.846153846153845E-2</v>
      </c>
      <c r="K1204" s="102">
        <v>3211</v>
      </c>
      <c r="L1204" s="35" t="str">
        <f>IFERROR(_xlfn.XLOOKUP(Table6[[#This Row],[Error Code]],'Basic Data'!$AA:$AA,'Basic Data'!$AB:$AB),"Incorrect Error Code")</f>
        <v>Conv. load shedding (CAN)</v>
      </c>
      <c r="M1204" s="35" t="s">
        <v>266</v>
      </c>
      <c r="N1204" s="264"/>
      <c r="O1204" s="265">
        <v>0.16944444444444445</v>
      </c>
      <c r="P1204" s="265">
        <v>0.16944444444444445</v>
      </c>
      <c r="Q1204" s="266">
        <v>0.17569444444444443</v>
      </c>
      <c r="R1204" s="261">
        <f>IF(Table6[[#This Row],[Work Start TimeStamp]]="","",(Table6[[#This Row],[Work Start TimeStamp]]-Table6[[#This Row],[Fault Start TimeStamp]])*24)</f>
        <v>0</v>
      </c>
      <c r="S1204" s="261">
        <f>(Table6[[#This Row],[Fault Clearance time]]-Table6[[#This Row],[Work Start TimeStamp]])*24</f>
        <v>0.14999999999999947</v>
      </c>
      <c r="T1204" s="261">
        <f>(Table6[[#This Row],[Fault Clearance time]]-Table6[[#This Row],[Fault Start TimeStamp]])*24</f>
        <v>0.14999999999999947</v>
      </c>
      <c r="U1204" s="35" t="s">
        <v>483</v>
      </c>
      <c r="V1204" s="102" t="s">
        <v>268</v>
      </c>
      <c r="W1204" s="267">
        <f>IFERROR(Table6[[#This Row],[Breakdown Time]]*Table6[[#This Row],[Plant Equivalent Weightage]],"")</f>
        <v>5.769230769230747E-3</v>
      </c>
      <c r="X1204" s="262" t="s">
        <v>269</v>
      </c>
      <c r="Y1204" s="263" t="s">
        <v>140</v>
      </c>
      <c r="Z1204" s="102">
        <v>37582</v>
      </c>
      <c r="AA1204" s="257">
        <f>(Table6[[#This Row],[Paired WTG Generation for loss calculation]]/24)*Table6[[#This Row],[Breakdown Time]]</f>
        <v>234.88749999999916</v>
      </c>
      <c r="AB1204" s="102"/>
      <c r="AC1204" s="35"/>
      <c r="AD1204" s="35"/>
    </row>
    <row r="1205" spans="1:30">
      <c r="A1205" s="102">
        <f t="shared" si="19"/>
        <v>1204</v>
      </c>
      <c r="B1205" s="257">
        <f>YEAR(Table6[[#This Row],[Date]])+IF(MONTH(Table6[[#This Row],[Date]])&gt;=4,1,0)</f>
        <v>2026</v>
      </c>
      <c r="C1205" s="102">
        <f>YEAR(Table6[[#This Row],[Date]])</f>
        <v>2025</v>
      </c>
      <c r="D1205" s="102" t="s">
        <v>265</v>
      </c>
      <c r="E1205" s="258">
        <f>Table6[[#This Row],[Date]]-DAY(Table6[[#This Row],[Date]])+1</f>
        <v>45809</v>
      </c>
      <c r="F1205" s="259">
        <v>45825</v>
      </c>
      <c r="G1205" s="35" t="s">
        <v>119</v>
      </c>
      <c r="H1205" s="35" t="str">
        <f>IFERROR(_xlfn.XLOOKUP(Table6[[#This Row],[Affected WTG]],'Basic Data'!$A:$A,'Basic Data'!$B:$B),"")</f>
        <v>TQGXIIPL</v>
      </c>
      <c r="I1205" s="35" t="str">
        <f>IFERROR(_xlfn.XLOOKUP(Table6[[#This Row],[Affected WTG]],'Basic Data'!$A:$A,'Basic Data'!$C:$C),"")</f>
        <v>GEDA</v>
      </c>
      <c r="J1205" s="260">
        <f>IFERROR(_xlfn.XLOOKUP(Table6[[#This Row],[Affected WTG]],'Basic Data'!$A:$A,'Basic Data'!$E:$E),"")</f>
        <v>3.846153846153845E-2</v>
      </c>
      <c r="K1205" s="102">
        <v>3211</v>
      </c>
      <c r="L1205" s="35" t="str">
        <f>IFERROR(_xlfn.XLOOKUP(Table6[[#This Row],[Error Code]],'Basic Data'!$AA:$AA,'Basic Data'!$AB:$AB),"Incorrect Error Code")</f>
        <v>Conv. load shedding (CAN)</v>
      </c>
      <c r="M1205" s="35" t="s">
        <v>266</v>
      </c>
      <c r="N1205" s="264"/>
      <c r="O1205" s="265">
        <v>3.125E-2</v>
      </c>
      <c r="P1205" s="265">
        <v>3.125E-2</v>
      </c>
      <c r="Q1205" s="266">
        <v>4.2361111111111113E-2</v>
      </c>
      <c r="R1205" s="261">
        <f>IF(Table6[[#This Row],[Work Start TimeStamp]]="","",(Table6[[#This Row],[Work Start TimeStamp]]-Table6[[#This Row],[Fault Start TimeStamp]])*24)</f>
        <v>0</v>
      </c>
      <c r="S1205" s="261">
        <f>(Table6[[#This Row],[Fault Clearance time]]-Table6[[#This Row],[Work Start TimeStamp]])*24</f>
        <v>0.26666666666666672</v>
      </c>
      <c r="T1205" s="261">
        <f>(Table6[[#This Row],[Fault Clearance time]]-Table6[[#This Row],[Fault Start TimeStamp]])*24</f>
        <v>0.26666666666666672</v>
      </c>
      <c r="U1205" s="35" t="s">
        <v>483</v>
      </c>
      <c r="V1205" s="102" t="s">
        <v>268</v>
      </c>
      <c r="W1205" s="267">
        <f>IFERROR(Table6[[#This Row],[Breakdown Time]]*Table6[[#This Row],[Plant Equivalent Weightage]],"")</f>
        <v>1.0256410256410255E-2</v>
      </c>
      <c r="X1205" s="262" t="s">
        <v>269</v>
      </c>
      <c r="Y1205" s="263" t="s">
        <v>116</v>
      </c>
      <c r="Z1205" s="102">
        <v>42080</v>
      </c>
      <c r="AA1205" s="257">
        <f>(Table6[[#This Row],[Paired WTG Generation for loss calculation]]/24)*Table6[[#This Row],[Breakdown Time]]</f>
        <v>467.5555555555556</v>
      </c>
      <c r="AB1205" s="102"/>
      <c r="AC1205" s="35"/>
      <c r="AD1205" s="35"/>
    </row>
    <row r="1206" spans="1:30">
      <c r="A1206" s="102">
        <f t="shared" si="19"/>
        <v>1205</v>
      </c>
      <c r="B1206" s="257">
        <f>YEAR(Table6[[#This Row],[Date]])+IF(MONTH(Table6[[#This Row],[Date]])&gt;=4,1,0)</f>
        <v>2026</v>
      </c>
      <c r="C1206" s="102">
        <f>YEAR(Table6[[#This Row],[Date]])</f>
        <v>2025</v>
      </c>
      <c r="D1206" s="102" t="s">
        <v>265</v>
      </c>
      <c r="E1206" s="258">
        <f>Table6[[#This Row],[Date]]-DAY(Table6[[#This Row],[Date]])+1</f>
        <v>45809</v>
      </c>
      <c r="F1206" s="259">
        <v>45825</v>
      </c>
      <c r="G1206" s="35" t="s">
        <v>119</v>
      </c>
      <c r="H1206" s="35" t="str">
        <f>IFERROR(_xlfn.XLOOKUP(Table6[[#This Row],[Affected WTG]],'Basic Data'!$A:$A,'Basic Data'!$B:$B),"")</f>
        <v>TQGXIIPL</v>
      </c>
      <c r="I1206" s="35" t="str">
        <f>IFERROR(_xlfn.XLOOKUP(Table6[[#This Row],[Affected WTG]],'Basic Data'!$A:$A,'Basic Data'!$C:$C),"")</f>
        <v>GEDA</v>
      </c>
      <c r="J1206" s="260">
        <f>IFERROR(_xlfn.XLOOKUP(Table6[[#This Row],[Affected WTG]],'Basic Data'!$A:$A,'Basic Data'!$E:$E),"")</f>
        <v>3.846153846153845E-2</v>
      </c>
      <c r="K1206" s="102">
        <v>3110</v>
      </c>
      <c r="L1206" s="35" t="str">
        <f>IFERROR(_xlfn.XLOOKUP(Table6[[#This Row],[Error Code]],'Basic Data'!$AA:$AA,'Basic Data'!$AB:$AB),"Incorrect Error Code")</f>
        <v>Frequency converter error</v>
      </c>
      <c r="M1206" s="35" t="s">
        <v>266</v>
      </c>
      <c r="N1206" s="264"/>
      <c r="O1206" s="265">
        <v>7.2916666666666671E-2</v>
      </c>
      <c r="P1206" s="265">
        <v>7.2916666666666671E-2</v>
      </c>
      <c r="Q1206" s="266">
        <v>8.1250000000000003E-2</v>
      </c>
      <c r="R1206" s="261">
        <f>IF(Table6[[#This Row],[Work Start TimeStamp]]="","",(Table6[[#This Row],[Work Start TimeStamp]]-Table6[[#This Row],[Fault Start TimeStamp]])*24)</f>
        <v>0</v>
      </c>
      <c r="S1206" s="261">
        <f>(Table6[[#This Row],[Fault Clearance time]]-Table6[[#This Row],[Work Start TimeStamp]])*24</f>
        <v>0.19999999999999996</v>
      </c>
      <c r="T1206" s="261">
        <f>(Table6[[#This Row],[Fault Clearance time]]-Table6[[#This Row],[Fault Start TimeStamp]])*24</f>
        <v>0.19999999999999996</v>
      </c>
      <c r="U1206" s="35" t="s">
        <v>483</v>
      </c>
      <c r="V1206" s="102" t="s">
        <v>268</v>
      </c>
      <c r="W1206" s="267">
        <f>IFERROR(Table6[[#This Row],[Breakdown Time]]*Table6[[#This Row],[Plant Equivalent Weightage]],"")</f>
        <v>7.6923076923076884E-3</v>
      </c>
      <c r="X1206" s="262" t="s">
        <v>269</v>
      </c>
      <c r="Y1206" s="263" t="s">
        <v>116</v>
      </c>
      <c r="Z1206" s="102">
        <v>42080</v>
      </c>
      <c r="AA1206" s="257">
        <f>(Table6[[#This Row],[Paired WTG Generation for loss calculation]]/24)*Table6[[#This Row],[Breakdown Time]]</f>
        <v>350.66666666666657</v>
      </c>
      <c r="AB1206" s="102"/>
      <c r="AC1206" s="35"/>
      <c r="AD1206" s="35"/>
    </row>
    <row r="1207" spans="1:30">
      <c r="A1207" s="102">
        <f t="shared" si="19"/>
        <v>1206</v>
      </c>
      <c r="B1207" s="257">
        <f>YEAR(Table6[[#This Row],[Date]])+IF(MONTH(Table6[[#This Row],[Date]])&gt;=4,1,0)</f>
        <v>2026</v>
      </c>
      <c r="C1207" s="102">
        <f>YEAR(Table6[[#This Row],[Date]])</f>
        <v>2025</v>
      </c>
      <c r="D1207" s="102" t="s">
        <v>265</v>
      </c>
      <c r="E1207" s="258">
        <f>Table6[[#This Row],[Date]]-DAY(Table6[[#This Row],[Date]])+1</f>
        <v>45809</v>
      </c>
      <c r="F1207" s="259">
        <v>45825</v>
      </c>
      <c r="G1207" s="35" t="s">
        <v>119</v>
      </c>
      <c r="H1207" s="35" t="str">
        <f>IFERROR(_xlfn.XLOOKUP(Table6[[#This Row],[Affected WTG]],'Basic Data'!$A:$A,'Basic Data'!$B:$B),"")</f>
        <v>TQGXIIPL</v>
      </c>
      <c r="I1207" s="35" t="str">
        <f>IFERROR(_xlfn.XLOOKUP(Table6[[#This Row],[Affected WTG]],'Basic Data'!$A:$A,'Basic Data'!$C:$C),"")</f>
        <v>GEDA</v>
      </c>
      <c r="J1207" s="260">
        <f>IFERROR(_xlfn.XLOOKUP(Table6[[#This Row],[Affected WTG]],'Basic Data'!$A:$A,'Basic Data'!$E:$E),"")</f>
        <v>3.846153846153845E-2</v>
      </c>
      <c r="K1207" s="102">
        <v>3211</v>
      </c>
      <c r="L1207" s="35" t="str">
        <f>IFERROR(_xlfn.XLOOKUP(Table6[[#This Row],[Error Code]],'Basic Data'!$AA:$AA,'Basic Data'!$AB:$AB),"Incorrect Error Code")</f>
        <v>Conv. load shedding (CAN)</v>
      </c>
      <c r="M1207" s="35" t="s">
        <v>266</v>
      </c>
      <c r="N1207" s="264"/>
      <c r="O1207" s="265">
        <v>0.19513888888888889</v>
      </c>
      <c r="P1207" s="265">
        <v>0.19513888888888889</v>
      </c>
      <c r="Q1207" s="266">
        <v>0.19791666666666666</v>
      </c>
      <c r="R1207" s="261">
        <f>IF(Table6[[#This Row],[Work Start TimeStamp]]="","",(Table6[[#This Row],[Work Start TimeStamp]]-Table6[[#This Row],[Fault Start TimeStamp]])*24)</f>
        <v>0</v>
      </c>
      <c r="S1207" s="261">
        <f>(Table6[[#This Row],[Fault Clearance time]]-Table6[[#This Row],[Work Start TimeStamp]])*24</f>
        <v>6.666666666666643E-2</v>
      </c>
      <c r="T1207" s="261">
        <f>(Table6[[#This Row],[Fault Clearance time]]-Table6[[#This Row],[Fault Start TimeStamp]])*24</f>
        <v>6.666666666666643E-2</v>
      </c>
      <c r="U1207" s="35" t="s">
        <v>483</v>
      </c>
      <c r="V1207" s="102" t="s">
        <v>268</v>
      </c>
      <c r="W1207" s="267">
        <f>IFERROR(Table6[[#This Row],[Breakdown Time]]*Table6[[#This Row],[Plant Equivalent Weightage]],"")</f>
        <v>2.5641025641025541E-3</v>
      </c>
      <c r="X1207" s="262" t="s">
        <v>269</v>
      </c>
      <c r="Y1207" s="263" t="s">
        <v>116</v>
      </c>
      <c r="Z1207" s="102">
        <v>42080</v>
      </c>
      <c r="AA1207" s="257">
        <f>(Table6[[#This Row],[Paired WTG Generation for loss calculation]]/24)*Table6[[#This Row],[Breakdown Time]]</f>
        <v>116.88888888888847</v>
      </c>
      <c r="AB1207" s="102"/>
      <c r="AC1207" s="35"/>
      <c r="AD1207" s="35"/>
    </row>
    <row r="1208" spans="1:30">
      <c r="A1208" s="102">
        <f t="shared" si="19"/>
        <v>1207</v>
      </c>
      <c r="B1208" s="257">
        <f>YEAR(Table6[[#This Row],[Date]])+IF(MONTH(Table6[[#This Row],[Date]])&gt;=4,1,0)</f>
        <v>2026</v>
      </c>
      <c r="C1208" s="102">
        <f>YEAR(Table6[[#This Row],[Date]])</f>
        <v>2025</v>
      </c>
      <c r="D1208" s="102" t="s">
        <v>265</v>
      </c>
      <c r="E1208" s="258">
        <f>Table6[[#This Row],[Date]]-DAY(Table6[[#This Row],[Date]])+1</f>
        <v>45809</v>
      </c>
      <c r="F1208" s="259">
        <v>45825</v>
      </c>
      <c r="G1208" s="35" t="s">
        <v>125</v>
      </c>
      <c r="H1208" s="35" t="str">
        <f>IFERROR(_xlfn.XLOOKUP(Table6[[#This Row],[Affected WTG]],'Basic Data'!$A:$A,'Basic Data'!$B:$B),"")</f>
        <v>TQGXIIPL</v>
      </c>
      <c r="I1208" s="35" t="str">
        <f>IFERROR(_xlfn.XLOOKUP(Table6[[#This Row],[Affected WTG]],'Basic Data'!$A:$A,'Basic Data'!$C:$C),"")</f>
        <v>GEDA</v>
      </c>
      <c r="J1208" s="260">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266</v>
      </c>
      <c r="N1208" s="264"/>
      <c r="O1208" s="265">
        <v>0.12291666666666666</v>
      </c>
      <c r="P1208" s="265">
        <v>0.12291666666666666</v>
      </c>
      <c r="Q1208" s="266">
        <v>0.13402777777777777</v>
      </c>
      <c r="R1208" s="261">
        <f>IF(Table6[[#This Row],[Work Start TimeStamp]]="","",(Table6[[#This Row],[Work Start TimeStamp]]-Table6[[#This Row],[Fault Start TimeStamp]])*24)</f>
        <v>0</v>
      </c>
      <c r="S1208" s="261">
        <f>(Table6[[#This Row],[Fault Clearance time]]-Table6[[#This Row],[Work Start TimeStamp]])*24</f>
        <v>0.26666666666666672</v>
      </c>
      <c r="T1208" s="261">
        <f>(Table6[[#This Row],[Fault Clearance time]]-Table6[[#This Row],[Fault Start TimeStamp]])*24</f>
        <v>0.26666666666666672</v>
      </c>
      <c r="U1208" s="35" t="s">
        <v>483</v>
      </c>
      <c r="V1208" s="102" t="s">
        <v>268</v>
      </c>
      <c r="W1208" s="267">
        <f>IFERROR(Table6[[#This Row],[Breakdown Time]]*Table6[[#This Row],[Plant Equivalent Weightage]],"")</f>
        <v>1.0256410256410255E-2</v>
      </c>
      <c r="X1208" s="262" t="s">
        <v>269</v>
      </c>
      <c r="Y1208" s="263" t="s">
        <v>127</v>
      </c>
      <c r="Z1208" s="102">
        <v>37389</v>
      </c>
      <c r="AA1208" s="257">
        <f>(Table6[[#This Row],[Paired WTG Generation for loss calculation]]/24)*Table6[[#This Row],[Breakdown Time]]</f>
        <v>415.43333333333339</v>
      </c>
      <c r="AB1208" s="102"/>
      <c r="AC1208" s="35"/>
      <c r="AD1208" s="35"/>
    </row>
    <row r="1209" spans="1:30">
      <c r="A1209" s="102">
        <f t="shared" si="19"/>
        <v>1208</v>
      </c>
      <c r="B1209" s="257">
        <f>YEAR(Table6[[#This Row],[Date]])+IF(MONTH(Table6[[#This Row],[Date]])&gt;=4,1,0)</f>
        <v>2026</v>
      </c>
      <c r="C1209" s="102">
        <f>YEAR(Table6[[#This Row],[Date]])</f>
        <v>2025</v>
      </c>
      <c r="D1209" s="102" t="s">
        <v>265</v>
      </c>
      <c r="E1209" s="258">
        <f>Table6[[#This Row],[Date]]-DAY(Table6[[#This Row],[Date]])+1</f>
        <v>45809</v>
      </c>
      <c r="F1209" s="259">
        <v>45825</v>
      </c>
      <c r="G1209" s="35" t="s">
        <v>126</v>
      </c>
      <c r="H1209" s="35" t="str">
        <f>IFERROR(_xlfn.XLOOKUP(Table6[[#This Row],[Affected WTG]],'Basic Data'!$A:$A,'Basic Data'!$B:$B),"")</f>
        <v>TQGXIIPL</v>
      </c>
      <c r="I1209" s="35" t="str">
        <f>IFERROR(_xlfn.XLOOKUP(Table6[[#This Row],[Affected WTG]],'Basic Data'!$A:$A,'Basic Data'!$C:$C),"")</f>
        <v>GEDA</v>
      </c>
      <c r="J1209" s="260">
        <f>IFERROR(_xlfn.XLOOKUP(Table6[[#This Row],[Affected WTG]],'Basic Data'!$A:$A,'Basic Data'!$E:$E),"")</f>
        <v>3.846153846153845E-2</v>
      </c>
      <c r="K1209" s="102">
        <v>55</v>
      </c>
      <c r="L1209" s="35" t="str">
        <f>IFERROR(_xlfn.XLOOKUP(Table6[[#This Row],[Error Code]],'Basic Data'!$AA:$AA,'Basic Data'!$AB:$AB),"Incorrect Error Code")</f>
        <v>WTG shut down</v>
      </c>
      <c r="M1209" s="35" t="s">
        <v>291</v>
      </c>
      <c r="N1209" s="264"/>
      <c r="O1209" s="265">
        <v>0</v>
      </c>
      <c r="P1209" s="265">
        <v>0</v>
      </c>
      <c r="Q1209" s="266">
        <v>0.99998842592592596</v>
      </c>
      <c r="R1209" s="261">
        <f>IF(Table6[[#This Row],[Work Start TimeStamp]]="","",(Table6[[#This Row],[Work Start TimeStamp]]-Table6[[#This Row],[Fault Start TimeStamp]])*24)</f>
        <v>0</v>
      </c>
      <c r="S1209" s="261">
        <f>(Table6[[#This Row],[Fault Clearance time]]-Table6[[#This Row],[Work Start TimeStamp]])*24</f>
        <v>23.999722222222225</v>
      </c>
      <c r="T1209" s="261">
        <f>(Table6[[#This Row],[Fault Clearance time]]-Table6[[#This Row],[Fault Start TimeStamp]])*24</f>
        <v>23.999722222222225</v>
      </c>
      <c r="U1209" s="35" t="s">
        <v>527</v>
      </c>
      <c r="V1209" s="102" t="s">
        <v>289</v>
      </c>
      <c r="W1209" s="267">
        <f>IFERROR(Table6[[#This Row],[Breakdown Time]]*Table6[[#This Row],[Plant Equivalent Weightage]],"")</f>
        <v>0.9230662393162391</v>
      </c>
      <c r="X1209" s="262" t="s">
        <v>296</v>
      </c>
      <c r="Y1209" s="263" t="s">
        <v>128</v>
      </c>
      <c r="Z1209" s="102">
        <v>38123</v>
      </c>
      <c r="AA1209" s="257">
        <f>(Table6[[#This Row],[Paired WTG Generation for loss calculation]]/24)*Table6[[#This Row],[Breakdown Time]]</f>
        <v>38122.558761574073</v>
      </c>
      <c r="AB1209" s="102"/>
      <c r="AC1209" s="35"/>
      <c r="AD1209" s="35"/>
    </row>
    <row r="1210" spans="1:30">
      <c r="A1210" s="102">
        <f t="shared" si="19"/>
        <v>1209</v>
      </c>
      <c r="B1210" s="257">
        <f>YEAR(Table6[[#This Row],[Date]])+IF(MONTH(Table6[[#This Row],[Date]])&gt;=4,1,0)</f>
        <v>2026</v>
      </c>
      <c r="C1210" s="102">
        <f>YEAR(Table6[[#This Row],[Date]])</f>
        <v>2025</v>
      </c>
      <c r="D1210" s="102" t="s">
        <v>265</v>
      </c>
      <c r="E1210" s="258">
        <f>Table6[[#This Row],[Date]]-DAY(Table6[[#This Row],[Date]])+1</f>
        <v>45809</v>
      </c>
      <c r="F1210" s="259">
        <v>45825</v>
      </c>
      <c r="G1210" s="35" t="s">
        <v>131</v>
      </c>
      <c r="H1210" s="35" t="str">
        <f>IFERROR(_xlfn.XLOOKUP(Table6[[#This Row],[Affected WTG]],'Basic Data'!$A:$A,'Basic Data'!$B:$B),"")</f>
        <v>TQGXIIPL</v>
      </c>
      <c r="I1210" s="35" t="str">
        <f>IFERROR(_xlfn.XLOOKUP(Table6[[#This Row],[Affected WTG]],'Basic Data'!$A:$A,'Basic Data'!$C:$C),"")</f>
        <v>GEDA</v>
      </c>
      <c r="J1210" s="260">
        <f>IFERROR(_xlfn.XLOOKUP(Table6[[#This Row],[Affected WTG]],'Basic Data'!$A:$A,'Basic Data'!$E:$E),"")</f>
        <v>3.846153846153845E-2</v>
      </c>
      <c r="K1210" s="102">
        <v>3211</v>
      </c>
      <c r="L1210" s="35" t="str">
        <f>IFERROR(_xlfn.XLOOKUP(Table6[[#This Row],[Error Code]],'Basic Data'!$AA:$AA,'Basic Data'!$AB:$AB),"Incorrect Error Code")</f>
        <v>Conv. load shedding (CAN)</v>
      </c>
      <c r="M1210" s="35" t="s">
        <v>266</v>
      </c>
      <c r="N1210" s="264"/>
      <c r="O1210" s="265">
        <v>4.5138888888888888E-2</v>
      </c>
      <c r="P1210" s="265">
        <v>4.5138888888888888E-2</v>
      </c>
      <c r="Q1210" s="266">
        <v>5.6944444444444443E-2</v>
      </c>
      <c r="R1210" s="261">
        <f>IF(Table6[[#This Row],[Work Start TimeStamp]]="","",(Table6[[#This Row],[Work Start TimeStamp]]-Table6[[#This Row],[Fault Start TimeStamp]])*24)</f>
        <v>0</v>
      </c>
      <c r="S1210" s="261">
        <f>(Table6[[#This Row],[Fault Clearance time]]-Table6[[#This Row],[Work Start TimeStamp]])*24</f>
        <v>0.28333333333333333</v>
      </c>
      <c r="T1210" s="261">
        <f>(Table6[[#This Row],[Fault Clearance time]]-Table6[[#This Row],[Fault Start TimeStamp]])*24</f>
        <v>0.28333333333333333</v>
      </c>
      <c r="U1210" s="35" t="s">
        <v>483</v>
      </c>
      <c r="V1210" s="102" t="s">
        <v>268</v>
      </c>
      <c r="W1210" s="267">
        <f>IFERROR(Table6[[#This Row],[Breakdown Time]]*Table6[[#This Row],[Plant Equivalent Weightage]],"")</f>
        <v>1.0897435897435893E-2</v>
      </c>
      <c r="X1210" s="262" t="s">
        <v>269</v>
      </c>
      <c r="Y1210" s="263" t="s">
        <v>136</v>
      </c>
      <c r="Z1210" s="102">
        <v>38185</v>
      </c>
      <c r="AA1210" s="257">
        <f>(Table6[[#This Row],[Paired WTG Generation for loss calculation]]/24)*Table6[[#This Row],[Breakdown Time]]</f>
        <v>450.79513888888891</v>
      </c>
      <c r="AB1210" s="102"/>
      <c r="AC1210" s="35"/>
      <c r="AD1210" s="35"/>
    </row>
    <row r="1211" spans="1:30">
      <c r="A1211" s="102">
        <f t="shared" si="19"/>
        <v>1210</v>
      </c>
      <c r="B1211" s="257">
        <f>YEAR(Table6[[#This Row],[Date]])+IF(MONTH(Table6[[#This Row],[Date]])&gt;=4,1,0)</f>
        <v>2026</v>
      </c>
      <c r="C1211" s="102">
        <f>YEAR(Table6[[#This Row],[Date]])</f>
        <v>2025</v>
      </c>
      <c r="D1211" s="102" t="s">
        <v>265</v>
      </c>
      <c r="E1211" s="258">
        <f>Table6[[#This Row],[Date]]-DAY(Table6[[#This Row],[Date]])+1</f>
        <v>45809</v>
      </c>
      <c r="F1211" s="259">
        <v>45825</v>
      </c>
      <c r="G1211" s="35" t="s">
        <v>131</v>
      </c>
      <c r="H1211" s="35" t="str">
        <f>IFERROR(_xlfn.XLOOKUP(Table6[[#This Row],[Affected WTG]],'Basic Data'!$A:$A,'Basic Data'!$B:$B),"")</f>
        <v>TQGXIIPL</v>
      </c>
      <c r="I1211" s="35" t="str">
        <f>IFERROR(_xlfn.XLOOKUP(Table6[[#This Row],[Affected WTG]],'Basic Data'!$A:$A,'Basic Data'!$C:$C),"")</f>
        <v>GEDA</v>
      </c>
      <c r="J1211" s="260">
        <f>IFERROR(_xlfn.XLOOKUP(Table6[[#This Row],[Affected WTG]],'Basic Data'!$A:$A,'Basic Data'!$E:$E),"")</f>
        <v>3.846153846153845E-2</v>
      </c>
      <c r="K1211" s="102">
        <v>3110</v>
      </c>
      <c r="L1211" s="35" t="str">
        <f>IFERROR(_xlfn.XLOOKUP(Table6[[#This Row],[Error Code]],'Basic Data'!$AA:$AA,'Basic Data'!$AB:$AB),"Incorrect Error Code")</f>
        <v>Frequency converter error</v>
      </c>
      <c r="M1211" s="35" t="s">
        <v>266</v>
      </c>
      <c r="N1211" s="264"/>
      <c r="O1211" s="265">
        <v>0.1701388888888889</v>
      </c>
      <c r="P1211" s="265">
        <v>0.1701388888888889</v>
      </c>
      <c r="Q1211" s="266">
        <v>0.18124999999999999</v>
      </c>
      <c r="R1211" s="261">
        <f>IF(Table6[[#This Row],[Work Start TimeStamp]]="","",(Table6[[#This Row],[Work Start TimeStamp]]-Table6[[#This Row],[Fault Start TimeStamp]])*24)</f>
        <v>0</v>
      </c>
      <c r="S1211" s="261">
        <f>(Table6[[#This Row],[Fault Clearance time]]-Table6[[#This Row],[Work Start TimeStamp]])*24</f>
        <v>0.26666666666666639</v>
      </c>
      <c r="T1211" s="261">
        <f>(Table6[[#This Row],[Fault Clearance time]]-Table6[[#This Row],[Fault Start TimeStamp]])*24</f>
        <v>0.26666666666666639</v>
      </c>
      <c r="U1211" s="35" t="s">
        <v>483</v>
      </c>
      <c r="V1211" s="102" t="s">
        <v>268</v>
      </c>
      <c r="W1211" s="267">
        <f>IFERROR(Table6[[#This Row],[Breakdown Time]]*Table6[[#This Row],[Plant Equivalent Weightage]],"")</f>
        <v>1.0256410256410243E-2</v>
      </c>
      <c r="X1211" s="262" t="s">
        <v>269</v>
      </c>
      <c r="Y1211" s="263" t="s">
        <v>136</v>
      </c>
      <c r="Z1211" s="102">
        <v>38185</v>
      </c>
      <c r="AA1211" s="257">
        <f>(Table6[[#This Row],[Paired WTG Generation for loss calculation]]/24)*Table6[[#This Row],[Breakdown Time]]</f>
        <v>424.27777777777737</v>
      </c>
      <c r="AB1211" s="102"/>
      <c r="AC1211" s="35"/>
      <c r="AD1211" s="35"/>
    </row>
    <row r="1212" spans="1:30">
      <c r="A1212" s="102">
        <f t="shared" si="19"/>
        <v>1211</v>
      </c>
      <c r="B1212" s="257">
        <f>YEAR(Table6[[#This Row],[Date]])+IF(MONTH(Table6[[#This Row],[Date]])&gt;=4,1,0)</f>
        <v>2026</v>
      </c>
      <c r="C1212" s="102">
        <f>YEAR(Table6[[#This Row],[Date]])</f>
        <v>2025</v>
      </c>
      <c r="D1212" s="102" t="s">
        <v>265</v>
      </c>
      <c r="E1212" s="258">
        <f>Table6[[#This Row],[Date]]-DAY(Table6[[#This Row],[Date]])+1</f>
        <v>45809</v>
      </c>
      <c r="F1212" s="259">
        <v>45825</v>
      </c>
      <c r="G1212" s="35" t="s">
        <v>137</v>
      </c>
      <c r="H1212" s="35" t="str">
        <f>IFERROR(_xlfn.XLOOKUP(Table6[[#This Row],[Affected WTG]],'Basic Data'!$A:$A,'Basic Data'!$B:$B),"")</f>
        <v>TQGXIIPL</v>
      </c>
      <c r="I1212" s="35" t="str">
        <f>IFERROR(_xlfn.XLOOKUP(Table6[[#This Row],[Affected WTG]],'Basic Data'!$A:$A,'Basic Data'!$C:$C),"")</f>
        <v>GEDA</v>
      </c>
      <c r="J1212" s="260">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266</v>
      </c>
      <c r="N1212" s="264"/>
      <c r="O1212" s="265">
        <v>0.28819444444444442</v>
      </c>
      <c r="P1212" s="265">
        <v>0.28819444444444442</v>
      </c>
      <c r="Q1212" s="266">
        <v>0.29097222222222224</v>
      </c>
      <c r="R1212" s="261">
        <f>IF(Table6[[#This Row],[Work Start TimeStamp]]="","",(Table6[[#This Row],[Work Start TimeStamp]]-Table6[[#This Row],[Fault Start TimeStamp]])*24)</f>
        <v>0</v>
      </c>
      <c r="S1212" s="261">
        <f>(Table6[[#This Row],[Fault Clearance time]]-Table6[[#This Row],[Work Start TimeStamp]])*24</f>
        <v>6.6666666666667762E-2</v>
      </c>
      <c r="T1212" s="261">
        <f>(Table6[[#This Row],[Fault Clearance time]]-Table6[[#This Row],[Fault Start TimeStamp]])*24</f>
        <v>6.6666666666667762E-2</v>
      </c>
      <c r="U1212" s="35" t="s">
        <v>483</v>
      </c>
      <c r="V1212" s="102" t="s">
        <v>268</v>
      </c>
      <c r="W1212" s="267">
        <f>IFERROR(Table6[[#This Row],[Breakdown Time]]*Table6[[#This Row],[Plant Equivalent Weightage]],"")</f>
        <v>2.5641025641026053E-3</v>
      </c>
      <c r="X1212" s="262" t="s">
        <v>269</v>
      </c>
      <c r="Y1212" s="263" t="s">
        <v>125</v>
      </c>
      <c r="Z1212" s="102">
        <v>36162</v>
      </c>
      <c r="AA1212" s="257">
        <f>(Table6[[#This Row],[Paired WTG Generation for loss calculation]]/24)*Table6[[#This Row],[Breakdown Time]]</f>
        <v>100.45000000000165</v>
      </c>
      <c r="AB1212" s="102"/>
      <c r="AC1212" s="35"/>
      <c r="AD1212" s="35"/>
    </row>
    <row r="1213" spans="1:30">
      <c r="A1213" s="102">
        <f t="shared" si="19"/>
        <v>1212</v>
      </c>
      <c r="B1213" s="257">
        <f>YEAR(Table6[[#This Row],[Date]])+IF(MONTH(Table6[[#This Row],[Date]])&gt;=4,1,0)</f>
        <v>2026</v>
      </c>
      <c r="C1213" s="102">
        <f>YEAR(Table6[[#This Row],[Date]])</f>
        <v>2025</v>
      </c>
      <c r="D1213" s="102" t="s">
        <v>265</v>
      </c>
      <c r="E1213" s="258">
        <f>Table6[[#This Row],[Date]]-DAY(Table6[[#This Row],[Date]])+1</f>
        <v>45809</v>
      </c>
      <c r="F1213" s="259">
        <v>45825</v>
      </c>
      <c r="G1213" s="35" t="s">
        <v>139</v>
      </c>
      <c r="H1213" s="35" t="str">
        <f>IFERROR(_xlfn.XLOOKUP(Table6[[#This Row],[Affected WTG]],'Basic Data'!$A:$A,'Basic Data'!$B:$B),"")</f>
        <v>TQGXIIPL</v>
      </c>
      <c r="I1213" s="35" t="str">
        <f>IFERROR(_xlfn.XLOOKUP(Table6[[#This Row],[Affected WTG]],'Basic Data'!$A:$A,'Basic Data'!$C:$C),"")</f>
        <v>GEDA</v>
      </c>
      <c r="J1213" s="260">
        <f>IFERROR(_xlfn.XLOOKUP(Table6[[#This Row],[Affected WTG]],'Basic Data'!$A:$A,'Basic Data'!$E:$E),"")</f>
        <v>3.846153846153845E-2</v>
      </c>
      <c r="K1213" s="102">
        <v>3211</v>
      </c>
      <c r="L1213" s="35" t="str">
        <f>IFERROR(_xlfn.XLOOKUP(Table6[[#This Row],[Error Code]],'Basic Data'!$AA:$AA,'Basic Data'!$AB:$AB),"Incorrect Error Code")</f>
        <v>Conv. load shedding (CAN)</v>
      </c>
      <c r="M1213" s="35" t="s">
        <v>266</v>
      </c>
      <c r="N1213" s="264"/>
      <c r="O1213" s="265">
        <v>1.5277777777777777E-2</v>
      </c>
      <c r="P1213" s="265">
        <v>1.5277777777777777E-2</v>
      </c>
      <c r="Q1213" s="266">
        <v>2.9861111111111113E-2</v>
      </c>
      <c r="R1213" s="261">
        <f>IF(Table6[[#This Row],[Work Start TimeStamp]]="","",(Table6[[#This Row],[Work Start TimeStamp]]-Table6[[#This Row],[Fault Start TimeStamp]])*24)</f>
        <v>0</v>
      </c>
      <c r="S1213" s="261">
        <f>(Table6[[#This Row],[Fault Clearance time]]-Table6[[#This Row],[Work Start TimeStamp]])*24</f>
        <v>0.35000000000000003</v>
      </c>
      <c r="T1213" s="261">
        <f>(Table6[[#This Row],[Fault Clearance time]]-Table6[[#This Row],[Fault Start TimeStamp]])*24</f>
        <v>0.35000000000000003</v>
      </c>
      <c r="U1213" s="35" t="s">
        <v>483</v>
      </c>
      <c r="V1213" s="102" t="s">
        <v>268</v>
      </c>
      <c r="W1213" s="267">
        <f>IFERROR(Table6[[#This Row],[Breakdown Time]]*Table6[[#This Row],[Plant Equivalent Weightage]],"")</f>
        <v>1.3461538461538459E-2</v>
      </c>
      <c r="X1213" s="262" t="s">
        <v>269</v>
      </c>
      <c r="Y1213" s="263" t="s">
        <v>115</v>
      </c>
      <c r="Z1213" s="102">
        <v>37729</v>
      </c>
      <c r="AA1213" s="257">
        <f>(Table6[[#This Row],[Paired WTG Generation for loss calculation]]/24)*Table6[[#This Row],[Breakdown Time]]</f>
        <v>550.21458333333339</v>
      </c>
      <c r="AB1213" s="102"/>
      <c r="AC1213" s="35"/>
      <c r="AD1213" s="35"/>
    </row>
    <row r="1214" spans="1:30">
      <c r="A1214" s="102">
        <f t="shared" si="19"/>
        <v>1213</v>
      </c>
      <c r="B1214" s="257">
        <f>YEAR(Table6[[#This Row],[Date]])+IF(MONTH(Table6[[#This Row],[Date]])&gt;=4,1,0)</f>
        <v>2026</v>
      </c>
      <c r="C1214" s="102">
        <f>YEAR(Table6[[#This Row],[Date]])</f>
        <v>2025</v>
      </c>
      <c r="D1214" s="102" t="s">
        <v>265</v>
      </c>
      <c r="E1214" s="258">
        <f>Table6[[#This Row],[Date]]-DAY(Table6[[#This Row],[Date]])+1</f>
        <v>45809</v>
      </c>
      <c r="F1214" s="259">
        <v>45825</v>
      </c>
      <c r="G1214" s="35" t="s">
        <v>139</v>
      </c>
      <c r="H1214" s="35" t="str">
        <f>IFERROR(_xlfn.XLOOKUP(Table6[[#This Row],[Affected WTG]],'Basic Data'!$A:$A,'Basic Data'!$B:$B),"")</f>
        <v>TQGXIIPL</v>
      </c>
      <c r="I1214" s="35" t="str">
        <f>IFERROR(_xlfn.XLOOKUP(Table6[[#This Row],[Affected WTG]],'Basic Data'!$A:$A,'Basic Data'!$C:$C),"")</f>
        <v>GEDA</v>
      </c>
      <c r="J1214" s="260">
        <f>IFERROR(_xlfn.XLOOKUP(Table6[[#This Row],[Affected WTG]],'Basic Data'!$A:$A,'Basic Data'!$E:$E),"")</f>
        <v>3.846153846153845E-2</v>
      </c>
      <c r="K1214" s="102">
        <v>3211</v>
      </c>
      <c r="L1214" s="35" t="str">
        <f>IFERROR(_xlfn.XLOOKUP(Table6[[#This Row],[Error Code]],'Basic Data'!$AA:$AA,'Basic Data'!$AB:$AB),"Incorrect Error Code")</f>
        <v>Conv. load shedding (CAN)</v>
      </c>
      <c r="M1214" s="35" t="s">
        <v>266</v>
      </c>
      <c r="N1214" s="264"/>
      <c r="O1214" s="265">
        <v>8.8888888888888892E-2</v>
      </c>
      <c r="P1214" s="265">
        <v>8.8888888888888892E-2</v>
      </c>
      <c r="Q1214" s="266">
        <v>9.6527777777777782E-2</v>
      </c>
      <c r="R1214" s="261">
        <f>IF(Table6[[#This Row],[Work Start TimeStamp]]="","",(Table6[[#This Row],[Work Start TimeStamp]]-Table6[[#This Row],[Fault Start TimeStamp]])*24)</f>
        <v>0</v>
      </c>
      <c r="S1214" s="261">
        <f>(Table6[[#This Row],[Fault Clearance time]]-Table6[[#This Row],[Work Start TimeStamp]])*24</f>
        <v>0.18333333333333335</v>
      </c>
      <c r="T1214" s="261">
        <f>(Table6[[#This Row],[Fault Clearance time]]-Table6[[#This Row],[Fault Start TimeStamp]])*24</f>
        <v>0.18333333333333335</v>
      </c>
      <c r="U1214" s="35" t="s">
        <v>483</v>
      </c>
      <c r="V1214" s="102" t="s">
        <v>268</v>
      </c>
      <c r="W1214" s="267">
        <f>IFERROR(Table6[[#This Row],[Breakdown Time]]*Table6[[#This Row],[Plant Equivalent Weightage]],"")</f>
        <v>7.0512820512820496E-3</v>
      </c>
      <c r="X1214" s="262" t="s">
        <v>269</v>
      </c>
      <c r="Y1214" s="263" t="s">
        <v>115</v>
      </c>
      <c r="Z1214" s="102">
        <v>37729</v>
      </c>
      <c r="AA1214" s="257">
        <f>(Table6[[#This Row],[Paired WTG Generation for loss calculation]]/24)*Table6[[#This Row],[Breakdown Time]]</f>
        <v>288.20763888888894</v>
      </c>
      <c r="AB1214" s="102"/>
      <c r="AC1214" s="35"/>
      <c r="AD1214" s="35"/>
    </row>
    <row r="1215" spans="1:30">
      <c r="A1215" s="102">
        <f t="shared" si="19"/>
        <v>1214</v>
      </c>
      <c r="B1215" s="257">
        <f>YEAR(Table6[[#This Row],[Date]])+IF(MONTH(Table6[[#This Row],[Date]])&gt;=4,1,0)</f>
        <v>2026</v>
      </c>
      <c r="C1215" s="102">
        <f>YEAR(Table6[[#This Row],[Date]])</f>
        <v>2025</v>
      </c>
      <c r="D1215" s="102" t="s">
        <v>265</v>
      </c>
      <c r="E1215" s="258">
        <f>Table6[[#This Row],[Date]]-DAY(Table6[[#This Row],[Date]])+1</f>
        <v>45809</v>
      </c>
      <c r="F1215" s="259">
        <v>45826</v>
      </c>
      <c r="G1215" s="35" t="s">
        <v>117</v>
      </c>
      <c r="H1215" s="35" t="str">
        <f>IFERROR(_xlfn.XLOOKUP(Table6[[#This Row],[Affected WTG]],'Basic Data'!$A:$A,'Basic Data'!$B:$B),"")</f>
        <v>TQGXIIPL</v>
      </c>
      <c r="I1215" s="35" t="str">
        <f>IFERROR(_xlfn.XLOOKUP(Table6[[#This Row],[Affected WTG]],'Basic Data'!$A:$A,'Basic Data'!$C:$C),"")</f>
        <v>GEDA</v>
      </c>
      <c r="J1215" s="260">
        <f>IFERROR(_xlfn.XLOOKUP(Table6[[#This Row],[Affected WTG]],'Basic Data'!$A:$A,'Basic Data'!$E:$E),"")</f>
        <v>3.846153846153845E-2</v>
      </c>
      <c r="K1215" s="102">
        <v>520</v>
      </c>
      <c r="L1215" s="35" t="str">
        <f>IFERROR(_xlfn.XLOOKUP(Table6[[#This Row],[Error Code]],'Basic Data'!$AA:$AA,'Basic Data'!$AB:$AB),"Incorrect Error Code")</f>
        <v>Overload axis 1</v>
      </c>
      <c r="M1215" s="35" t="s">
        <v>266</v>
      </c>
      <c r="N1215" s="264"/>
      <c r="O1215" s="265">
        <v>3.8194444444444448E-2</v>
      </c>
      <c r="P1215" s="265">
        <v>3.8194444444444448E-2</v>
      </c>
      <c r="Q1215" s="266">
        <v>4.4444444444444446E-2</v>
      </c>
      <c r="R1215" s="261">
        <f>IF(Table6[[#This Row],[Work Start TimeStamp]]="","",(Table6[[#This Row],[Work Start TimeStamp]]-Table6[[#This Row],[Fault Start TimeStamp]])*24)</f>
        <v>0</v>
      </c>
      <c r="S1215" s="261">
        <f>(Table6[[#This Row],[Fault Clearance time]]-Table6[[#This Row],[Work Start TimeStamp]])*24</f>
        <v>0.14999999999999997</v>
      </c>
      <c r="T1215" s="261">
        <f>(Table6[[#This Row],[Fault Clearance time]]-Table6[[#This Row],[Fault Start TimeStamp]])*24</f>
        <v>0.14999999999999997</v>
      </c>
      <c r="U1215" s="35" t="s">
        <v>483</v>
      </c>
      <c r="V1215" s="102" t="s">
        <v>268</v>
      </c>
      <c r="W1215" s="267">
        <f>IFERROR(Table6[[#This Row],[Breakdown Time]]*Table6[[#This Row],[Plant Equivalent Weightage]],"")</f>
        <v>5.7692307692307661E-3</v>
      </c>
      <c r="X1215" s="262" t="s">
        <v>269</v>
      </c>
      <c r="Y1215" s="263" t="s">
        <v>123</v>
      </c>
      <c r="Z1215" s="102">
        <v>43011</v>
      </c>
      <c r="AA1215" s="257">
        <f>(Table6[[#This Row],[Paired WTG Generation for loss calculation]]/24)*Table6[[#This Row],[Breakdown Time]]</f>
        <v>268.81874999999997</v>
      </c>
      <c r="AB1215" s="102"/>
      <c r="AC1215" s="35"/>
      <c r="AD1215" s="35"/>
    </row>
    <row r="1216" spans="1:30">
      <c r="A1216" s="102">
        <f t="shared" si="19"/>
        <v>1215</v>
      </c>
      <c r="B1216" s="257">
        <f>YEAR(Table6[[#This Row],[Date]])+IF(MONTH(Table6[[#This Row],[Date]])&gt;=4,1,0)</f>
        <v>2026</v>
      </c>
      <c r="C1216" s="102">
        <f>YEAR(Table6[[#This Row],[Date]])</f>
        <v>2025</v>
      </c>
      <c r="D1216" s="102" t="s">
        <v>265</v>
      </c>
      <c r="E1216" s="258">
        <f>Table6[[#This Row],[Date]]-DAY(Table6[[#This Row],[Date]])+1</f>
        <v>45809</v>
      </c>
      <c r="F1216" s="259">
        <v>45826</v>
      </c>
      <c r="G1216" s="35" t="s">
        <v>122</v>
      </c>
      <c r="H1216" s="35" t="str">
        <f>IFERROR(_xlfn.XLOOKUP(Table6[[#This Row],[Affected WTG]],'Basic Data'!$A:$A,'Basic Data'!$B:$B),"")</f>
        <v>TQGXIIPL</v>
      </c>
      <c r="I1216" s="35" t="str">
        <f>IFERROR(_xlfn.XLOOKUP(Table6[[#This Row],[Affected WTG]],'Basic Data'!$A:$A,'Basic Data'!$C:$C),"")</f>
        <v>GEDA</v>
      </c>
      <c r="J1216" s="260">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266</v>
      </c>
      <c r="N1216" s="264"/>
      <c r="O1216" s="265">
        <v>0.77708333333333335</v>
      </c>
      <c r="P1216" s="265">
        <v>0.77708333333333335</v>
      </c>
      <c r="Q1216" s="266">
        <v>0.81458333333333333</v>
      </c>
      <c r="R1216" s="261">
        <f>IF(Table6[[#This Row],[Work Start TimeStamp]]="","",(Table6[[#This Row],[Work Start TimeStamp]]-Table6[[#This Row],[Fault Start TimeStamp]])*24)</f>
        <v>0</v>
      </c>
      <c r="S1216" s="261">
        <f>(Table6[[#This Row],[Fault Clearance time]]-Table6[[#This Row],[Work Start TimeStamp]])*24</f>
        <v>0.89999999999999947</v>
      </c>
      <c r="T1216" s="261">
        <f>(Table6[[#This Row],[Fault Clearance time]]-Table6[[#This Row],[Fault Start TimeStamp]])*24</f>
        <v>0.89999999999999947</v>
      </c>
      <c r="U1216" s="35" t="s">
        <v>528</v>
      </c>
      <c r="V1216" s="102" t="s">
        <v>268</v>
      </c>
      <c r="W1216" s="267">
        <f>IFERROR(Table6[[#This Row],[Breakdown Time]]*Table6[[#This Row],[Plant Equivalent Weightage]],"")</f>
        <v>3.4615384615384583E-2</v>
      </c>
      <c r="X1216" s="262" t="s">
        <v>269</v>
      </c>
      <c r="Y1216" s="263" t="s">
        <v>140</v>
      </c>
      <c r="Z1216" s="102">
        <v>46495</v>
      </c>
      <c r="AA1216" s="257">
        <f>(Table6[[#This Row],[Paired WTG Generation for loss calculation]]/24)*Table6[[#This Row],[Breakdown Time]]</f>
        <v>1743.5624999999991</v>
      </c>
      <c r="AB1216" s="102"/>
      <c r="AC1216" s="35"/>
      <c r="AD1216" s="35"/>
    </row>
    <row r="1217" spans="1:30">
      <c r="A1217" s="102">
        <f t="shared" si="19"/>
        <v>1216</v>
      </c>
      <c r="B1217" s="257">
        <f>YEAR(Table6[[#This Row],[Date]])+IF(MONTH(Table6[[#This Row],[Date]])&gt;=4,1,0)</f>
        <v>2026</v>
      </c>
      <c r="C1217" s="102">
        <f>YEAR(Table6[[#This Row],[Date]])</f>
        <v>2025</v>
      </c>
      <c r="D1217" s="102" t="s">
        <v>265</v>
      </c>
      <c r="E1217" s="258">
        <f>Table6[[#This Row],[Date]]-DAY(Table6[[#This Row],[Date]])+1</f>
        <v>45809</v>
      </c>
      <c r="F1217" s="259">
        <v>45826</v>
      </c>
      <c r="G1217" s="35" t="s">
        <v>122</v>
      </c>
      <c r="H1217" s="35" t="str">
        <f>IFERROR(_xlfn.XLOOKUP(Table6[[#This Row],[Affected WTG]],'Basic Data'!$A:$A,'Basic Data'!$B:$B),"")</f>
        <v>TQGXIIPL</v>
      </c>
      <c r="I1217" s="35" t="str">
        <f>IFERROR(_xlfn.XLOOKUP(Table6[[#This Row],[Affected WTG]],'Basic Data'!$A:$A,'Basic Data'!$C:$C),"")</f>
        <v>GEDA</v>
      </c>
      <c r="J1217" s="260">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266</v>
      </c>
      <c r="N1217" s="264"/>
      <c r="O1217" s="265">
        <v>0.87777777777777777</v>
      </c>
      <c r="P1217" s="265">
        <v>0.90972222222222221</v>
      </c>
      <c r="Q1217" s="266">
        <v>0.97777777777777775</v>
      </c>
      <c r="R1217" s="261">
        <f>IF(Table6[[#This Row],[Work Start TimeStamp]]="","",(Table6[[#This Row],[Work Start TimeStamp]]-Table6[[#This Row],[Fault Start TimeStamp]])*24)</f>
        <v>0.76666666666666661</v>
      </c>
      <c r="S1217" s="261">
        <f>(Table6[[#This Row],[Fault Clearance time]]-Table6[[#This Row],[Work Start TimeStamp]])*24</f>
        <v>1.6333333333333329</v>
      </c>
      <c r="T1217" s="261">
        <f>(Table6[[#This Row],[Fault Clearance time]]-Table6[[#This Row],[Fault Start TimeStamp]])*24</f>
        <v>2.3999999999999995</v>
      </c>
      <c r="U1217" s="35" t="s">
        <v>529</v>
      </c>
      <c r="V1217" s="102" t="s">
        <v>268</v>
      </c>
      <c r="W1217" s="267">
        <f>IFERROR(Table6[[#This Row],[Breakdown Time]]*Table6[[#This Row],[Plant Equivalent Weightage]],"")</f>
        <v>9.2307692307692257E-2</v>
      </c>
      <c r="X1217" s="262" t="s">
        <v>296</v>
      </c>
      <c r="Y1217" s="263" t="s">
        <v>140</v>
      </c>
      <c r="Z1217" s="102">
        <v>46495</v>
      </c>
      <c r="AA1217" s="257">
        <f>(Table6[[#This Row],[Paired WTG Generation for loss calculation]]/24)*Table6[[#This Row],[Breakdown Time]]</f>
        <v>4649.4999999999991</v>
      </c>
      <c r="AB1217" s="102"/>
      <c r="AC1217" s="35"/>
      <c r="AD1217" s="35"/>
    </row>
    <row r="1218" spans="1:30">
      <c r="A1218" s="102">
        <f t="shared" si="19"/>
        <v>1217</v>
      </c>
      <c r="B1218" s="257">
        <f>YEAR(Table6[[#This Row],[Date]])+IF(MONTH(Table6[[#This Row],[Date]])&gt;=4,1,0)</f>
        <v>2026</v>
      </c>
      <c r="C1218" s="102">
        <f>YEAR(Table6[[#This Row],[Date]])</f>
        <v>2025</v>
      </c>
      <c r="D1218" s="102" t="s">
        <v>265</v>
      </c>
      <c r="E1218" s="258">
        <f>Table6[[#This Row],[Date]]-DAY(Table6[[#This Row],[Date]])+1</f>
        <v>45809</v>
      </c>
      <c r="F1218" s="259">
        <v>45826</v>
      </c>
      <c r="G1218" s="35" t="s">
        <v>126</v>
      </c>
      <c r="H1218" s="35" t="str">
        <f>IFERROR(_xlfn.XLOOKUP(Table6[[#This Row],[Affected WTG]],'Basic Data'!$A:$A,'Basic Data'!$B:$B),"")</f>
        <v>TQGXIIPL</v>
      </c>
      <c r="I1218" s="35" t="str">
        <f>IFERROR(_xlfn.XLOOKUP(Table6[[#This Row],[Affected WTG]],'Basic Data'!$A:$A,'Basic Data'!$C:$C),"")</f>
        <v>GEDA</v>
      </c>
      <c r="J1218" s="260">
        <f>IFERROR(_xlfn.XLOOKUP(Table6[[#This Row],[Affected WTG]],'Basic Data'!$A:$A,'Basic Data'!$E:$E),"")</f>
        <v>3.846153846153845E-2</v>
      </c>
      <c r="K1218" s="102">
        <v>55</v>
      </c>
      <c r="L1218" s="35" t="str">
        <f>IFERROR(_xlfn.XLOOKUP(Table6[[#This Row],[Error Code]],'Basic Data'!$AA:$AA,'Basic Data'!$AB:$AB),"Incorrect Error Code")</f>
        <v>WTG shut down</v>
      </c>
      <c r="M1218" s="35" t="s">
        <v>291</v>
      </c>
      <c r="N1218" s="264"/>
      <c r="O1218" s="265">
        <v>0</v>
      </c>
      <c r="P1218" s="265">
        <v>0</v>
      </c>
      <c r="Q1218" s="266">
        <v>0.72222222222222221</v>
      </c>
      <c r="R1218" s="261">
        <f>IF(Table6[[#This Row],[Work Start TimeStamp]]="","",(Table6[[#This Row],[Work Start TimeStamp]]-Table6[[#This Row],[Fault Start TimeStamp]])*24)</f>
        <v>0</v>
      </c>
      <c r="S1218" s="261">
        <f>(Table6[[#This Row],[Fault Clearance time]]-Table6[[#This Row],[Work Start TimeStamp]])*24</f>
        <v>17.333333333333332</v>
      </c>
      <c r="T1218" s="261">
        <f>(Table6[[#This Row],[Fault Clearance time]]-Table6[[#This Row],[Fault Start TimeStamp]])*24</f>
        <v>17.333333333333332</v>
      </c>
      <c r="U1218" s="35" t="s">
        <v>530</v>
      </c>
      <c r="V1218" s="102" t="s">
        <v>289</v>
      </c>
      <c r="W1218" s="267">
        <f>IFERROR(Table6[[#This Row],[Breakdown Time]]*Table6[[#This Row],[Plant Equivalent Weightage]],"")</f>
        <v>0.66666666666666641</v>
      </c>
      <c r="X1218" s="262" t="s">
        <v>531</v>
      </c>
      <c r="Y1218" s="263" t="s">
        <v>128</v>
      </c>
      <c r="Z1218" s="102">
        <v>45291</v>
      </c>
      <c r="AA1218" s="257">
        <f>(Table6[[#This Row],[Paired WTG Generation for loss calculation]]/24)*Table6[[#This Row],[Breakdown Time]]</f>
        <v>32710.166666666664</v>
      </c>
      <c r="AB1218" s="102"/>
      <c r="AC1218" s="35"/>
      <c r="AD1218" s="35"/>
    </row>
    <row r="1219" spans="1:30">
      <c r="A1219" s="102">
        <f t="shared" si="19"/>
        <v>1218</v>
      </c>
      <c r="B1219" s="257">
        <f>YEAR(Table6[[#This Row],[Date]])+IF(MONTH(Table6[[#This Row],[Date]])&gt;=4,1,0)</f>
        <v>2026</v>
      </c>
      <c r="C1219" s="102">
        <f>YEAR(Table6[[#This Row],[Date]])</f>
        <v>2025</v>
      </c>
      <c r="D1219" s="102" t="s">
        <v>265</v>
      </c>
      <c r="E1219" s="258">
        <f>Table6[[#This Row],[Date]]-DAY(Table6[[#This Row],[Date]])+1</f>
        <v>45809</v>
      </c>
      <c r="F1219" s="259">
        <v>45826</v>
      </c>
      <c r="G1219" s="35" t="s">
        <v>126</v>
      </c>
      <c r="H1219" s="35" t="str">
        <f>IFERROR(_xlfn.XLOOKUP(Table6[[#This Row],[Affected WTG]],'Basic Data'!$A:$A,'Basic Data'!$B:$B),"")</f>
        <v>TQGXIIPL</v>
      </c>
      <c r="I1219" s="35" t="str">
        <f>IFERROR(_xlfn.XLOOKUP(Table6[[#This Row],[Affected WTG]],'Basic Data'!$A:$A,'Basic Data'!$C:$C),"")</f>
        <v>GEDA</v>
      </c>
      <c r="J1219" s="260">
        <f>IFERROR(_xlfn.XLOOKUP(Table6[[#This Row],[Affected WTG]],'Basic Data'!$A:$A,'Basic Data'!$E:$E),"")</f>
        <v>3.846153846153845E-2</v>
      </c>
      <c r="K1219" s="102">
        <v>55</v>
      </c>
      <c r="L1219" s="35" t="str">
        <f>IFERROR(_xlfn.XLOOKUP(Table6[[#This Row],[Error Code]],'Basic Data'!$AA:$AA,'Basic Data'!$AB:$AB),"Incorrect Error Code")</f>
        <v>WTG shut down</v>
      </c>
      <c r="M1219" s="35" t="s">
        <v>291</v>
      </c>
      <c r="N1219" s="264"/>
      <c r="O1219" s="265">
        <v>0.72222222222222221</v>
      </c>
      <c r="P1219" s="265">
        <v>0.72222222222222221</v>
      </c>
      <c r="Q1219" s="266">
        <v>0.99998842592592596</v>
      </c>
      <c r="R1219" s="261">
        <f>IF(Table6[[#This Row],[Work Start TimeStamp]]="","",(Table6[[#This Row],[Work Start TimeStamp]]-Table6[[#This Row],[Fault Start TimeStamp]])*24)</f>
        <v>0</v>
      </c>
      <c r="S1219" s="261">
        <f>(Table6[[#This Row],[Fault Clearance time]]-Table6[[#This Row],[Work Start TimeStamp]])*24</f>
        <v>6.66638888888889</v>
      </c>
      <c r="T1219" s="261">
        <f>(Table6[[#This Row],[Fault Clearance time]]-Table6[[#This Row],[Fault Start TimeStamp]])*24</f>
        <v>6.66638888888889</v>
      </c>
      <c r="U1219" s="35" t="s">
        <v>530</v>
      </c>
      <c r="V1219" s="102" t="s">
        <v>289</v>
      </c>
      <c r="W1219" s="267">
        <f>IFERROR(Table6[[#This Row],[Breakdown Time]]*Table6[[#This Row],[Plant Equivalent Weightage]],"")</f>
        <v>0.25639957264957264</v>
      </c>
      <c r="X1219" s="262" t="s">
        <v>269</v>
      </c>
      <c r="Y1219" s="263" t="s">
        <v>128</v>
      </c>
      <c r="Z1219" s="102">
        <v>45291</v>
      </c>
      <c r="AA1219" s="257">
        <f>(Table6[[#This Row],[Paired WTG Generation for loss calculation]]/24)*Table6[[#This Row],[Breakdown Time]]</f>
        <v>12580.309131944447</v>
      </c>
      <c r="AB1219" s="102"/>
      <c r="AC1219" s="35"/>
      <c r="AD1219" s="35"/>
    </row>
    <row r="1220" spans="1:30">
      <c r="A1220" s="102">
        <f t="shared" si="19"/>
        <v>1219</v>
      </c>
      <c r="B1220" s="257">
        <f>YEAR(Table6[[#This Row],[Date]])+IF(MONTH(Table6[[#This Row],[Date]])&gt;=4,1,0)</f>
        <v>2026</v>
      </c>
      <c r="C1220" s="102">
        <f>YEAR(Table6[[#This Row],[Date]])</f>
        <v>2025</v>
      </c>
      <c r="D1220" s="102" t="s">
        <v>265</v>
      </c>
      <c r="E1220" s="258">
        <f>Table6[[#This Row],[Date]]-DAY(Table6[[#This Row],[Date]])+1</f>
        <v>45809</v>
      </c>
      <c r="F1220" s="259">
        <v>45826</v>
      </c>
      <c r="G1220" s="35" t="s">
        <v>137</v>
      </c>
      <c r="H1220" s="35" t="str">
        <f>IFERROR(_xlfn.XLOOKUP(Table6[[#This Row],[Affected WTG]],'Basic Data'!$A:$A,'Basic Data'!$B:$B),"")</f>
        <v>TQGXIIPL</v>
      </c>
      <c r="I1220" s="35" t="str">
        <f>IFERROR(_xlfn.XLOOKUP(Table6[[#This Row],[Affected WTG]],'Basic Data'!$A:$A,'Basic Data'!$C:$C),"")</f>
        <v>GEDA</v>
      </c>
      <c r="J1220" s="260">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266</v>
      </c>
      <c r="N1220" s="264"/>
      <c r="O1220" s="265">
        <v>0.31597222222222221</v>
      </c>
      <c r="P1220" s="265">
        <v>0.31597222222222221</v>
      </c>
      <c r="Q1220" s="266">
        <v>0.31666666666666665</v>
      </c>
      <c r="R1220" s="261">
        <f>IF(Table6[[#This Row],[Work Start TimeStamp]]="","",(Table6[[#This Row],[Work Start TimeStamp]]-Table6[[#This Row],[Fault Start TimeStamp]])*24)</f>
        <v>0</v>
      </c>
      <c r="S1220" s="261">
        <f>(Table6[[#This Row],[Fault Clearance time]]-Table6[[#This Row],[Work Start TimeStamp]])*24</f>
        <v>1.6666666666666607E-2</v>
      </c>
      <c r="T1220" s="261">
        <f>(Table6[[#This Row],[Fault Clearance time]]-Table6[[#This Row],[Fault Start TimeStamp]])*24</f>
        <v>1.6666666666666607E-2</v>
      </c>
      <c r="U1220" s="35" t="s">
        <v>483</v>
      </c>
      <c r="V1220" s="102" t="s">
        <v>268</v>
      </c>
      <c r="W1220" s="267">
        <f>IFERROR(Table6[[#This Row],[Breakdown Time]]*Table6[[#This Row],[Plant Equivalent Weightage]],"")</f>
        <v>6.4102564102563853E-4</v>
      </c>
      <c r="X1220" s="262" t="s">
        <v>269</v>
      </c>
      <c r="Y1220" s="263" t="s">
        <v>125</v>
      </c>
      <c r="Z1220" s="102">
        <v>44761</v>
      </c>
      <c r="AA1220" s="257">
        <f>(Table6[[#This Row],[Paired WTG Generation for loss calculation]]/24)*Table6[[#This Row],[Breakdown Time]]</f>
        <v>31.084027777777667</v>
      </c>
      <c r="AB1220" s="102"/>
      <c r="AC1220" s="35"/>
      <c r="AD1220" s="35"/>
    </row>
    <row r="1221" spans="1:30">
      <c r="A1221" s="102">
        <f t="shared" si="19"/>
        <v>1220</v>
      </c>
      <c r="B1221" s="257">
        <f>YEAR(Table6[[#This Row],[Date]])+IF(MONTH(Table6[[#This Row],[Date]])&gt;=4,1,0)</f>
        <v>2026</v>
      </c>
      <c r="C1221" s="102">
        <f>YEAR(Table6[[#This Row],[Date]])</f>
        <v>2025</v>
      </c>
      <c r="D1221" s="102" t="s">
        <v>265</v>
      </c>
      <c r="E1221" s="258">
        <f>Table6[[#This Row],[Date]]-DAY(Table6[[#This Row],[Date]])+1</f>
        <v>45809</v>
      </c>
      <c r="F1221" s="259">
        <v>45827</v>
      </c>
      <c r="G1221" s="35" t="s">
        <v>115</v>
      </c>
      <c r="H1221" s="35" t="str">
        <f>IFERROR(_xlfn.XLOOKUP(Table6[[#This Row],[Affected WTG]],'Basic Data'!$A:$A,'Basic Data'!$B:$B),"")</f>
        <v>TQGXIIPL</v>
      </c>
      <c r="I1221" s="35" t="str">
        <f>IFERROR(_xlfn.XLOOKUP(Table6[[#This Row],[Affected WTG]],'Basic Data'!$A:$A,'Basic Data'!$C:$C),"")</f>
        <v>GEDA</v>
      </c>
      <c r="J1221" s="260">
        <f>IFERROR(_xlfn.XLOOKUP(Table6[[#This Row],[Affected WTG]],'Basic Data'!$A:$A,'Basic Data'!$E:$E),"")</f>
        <v>3.846153846153845E-2</v>
      </c>
      <c r="K1221" s="102">
        <v>6130</v>
      </c>
      <c r="L1221" s="35" t="str">
        <f>IFERROR(_xlfn.XLOOKUP(Table6[[#This Row],[Error Code]],'Basic Data'!$AA:$AA,'Basic Data'!$AB:$AB),"Incorrect Error Code")</f>
        <v>Yaw speed high</v>
      </c>
      <c r="M1221" s="35" t="s">
        <v>266</v>
      </c>
      <c r="N1221" s="264"/>
      <c r="O1221" s="265">
        <v>0.43472222222222223</v>
      </c>
      <c r="P1221" s="265">
        <v>0.43472222222222223</v>
      </c>
      <c r="Q1221" s="266">
        <v>0.43680555555555556</v>
      </c>
      <c r="R1221" s="261">
        <f>IF(Table6[[#This Row],[Work Start TimeStamp]]="","",(Table6[[#This Row],[Work Start TimeStamp]]-Table6[[#This Row],[Fault Start TimeStamp]])*24)</f>
        <v>0</v>
      </c>
      <c r="S1221" s="261">
        <f>(Table6[[#This Row],[Fault Clearance time]]-Table6[[#This Row],[Work Start TimeStamp]])*24</f>
        <v>4.9999999999999822E-2</v>
      </c>
      <c r="T1221" s="261">
        <f>(Table6[[#This Row],[Fault Clearance time]]-Table6[[#This Row],[Fault Start TimeStamp]])*24</f>
        <v>4.9999999999999822E-2</v>
      </c>
      <c r="U1221" s="35" t="s">
        <v>483</v>
      </c>
      <c r="V1221" s="102" t="s">
        <v>268</v>
      </c>
      <c r="W1221" s="267">
        <f>IFERROR(Table6[[#This Row],[Breakdown Time]]*Table6[[#This Row],[Plant Equivalent Weightage]],"")</f>
        <v>1.9230769230769156E-3</v>
      </c>
      <c r="X1221" s="262" t="s">
        <v>269</v>
      </c>
      <c r="Y1221" s="263" t="s">
        <v>140</v>
      </c>
      <c r="Z1221" s="102">
        <v>61863</v>
      </c>
      <c r="AA1221" s="257">
        <f>(Table6[[#This Row],[Paired WTG Generation for loss calculation]]/24)*Table6[[#This Row],[Breakdown Time]]</f>
        <v>128.88124999999954</v>
      </c>
      <c r="AB1221" s="102"/>
      <c r="AC1221" s="35"/>
      <c r="AD1221" s="35"/>
    </row>
    <row r="1222" spans="1:30">
      <c r="A1222" s="102">
        <f t="shared" si="19"/>
        <v>1221</v>
      </c>
      <c r="B1222" s="257">
        <f>YEAR(Table6[[#This Row],[Date]])+IF(MONTH(Table6[[#This Row],[Date]])&gt;=4,1,0)</f>
        <v>2026</v>
      </c>
      <c r="C1222" s="102">
        <f>YEAR(Table6[[#This Row],[Date]])</f>
        <v>2025</v>
      </c>
      <c r="D1222" s="102" t="s">
        <v>265</v>
      </c>
      <c r="E1222" s="258">
        <f>Table6[[#This Row],[Date]]-DAY(Table6[[#This Row],[Date]])+1</f>
        <v>45809</v>
      </c>
      <c r="F1222" s="259">
        <v>45827</v>
      </c>
      <c r="G1222" s="35" t="s">
        <v>119</v>
      </c>
      <c r="H1222" s="35" t="str">
        <f>IFERROR(_xlfn.XLOOKUP(Table6[[#This Row],[Affected WTG]],'Basic Data'!$A:$A,'Basic Data'!$B:$B),"")</f>
        <v>TQGXIIPL</v>
      </c>
      <c r="I1222" s="35" t="str">
        <f>IFERROR(_xlfn.XLOOKUP(Table6[[#This Row],[Affected WTG]],'Basic Data'!$A:$A,'Basic Data'!$C:$C),"")</f>
        <v>GEDA</v>
      </c>
      <c r="J1222" s="260">
        <f>IFERROR(_xlfn.XLOOKUP(Table6[[#This Row],[Affected WTG]],'Basic Data'!$A:$A,'Basic Data'!$E:$E),"")</f>
        <v>3.846153846153845E-2</v>
      </c>
      <c r="K1222" s="102">
        <v>3110</v>
      </c>
      <c r="L1222" s="35" t="str">
        <f>IFERROR(_xlfn.XLOOKUP(Table6[[#This Row],[Error Code]],'Basic Data'!$AA:$AA,'Basic Data'!$AB:$AB),"Incorrect Error Code")</f>
        <v>Frequency converter error</v>
      </c>
      <c r="M1222" s="35" t="s">
        <v>266</v>
      </c>
      <c r="N1222" s="264"/>
      <c r="O1222" s="265">
        <v>0.10972222222222222</v>
      </c>
      <c r="P1222" s="265">
        <v>0.10972222222222222</v>
      </c>
      <c r="Q1222" s="266">
        <v>0.11736111111111111</v>
      </c>
      <c r="R1222" s="261">
        <f>IF(Table6[[#This Row],[Work Start TimeStamp]]="","",(Table6[[#This Row],[Work Start TimeStamp]]-Table6[[#This Row],[Fault Start TimeStamp]])*24)</f>
        <v>0</v>
      </c>
      <c r="S1222" s="261">
        <f>(Table6[[#This Row],[Fault Clearance time]]-Table6[[#This Row],[Work Start TimeStamp]])*24</f>
        <v>0.18333333333333335</v>
      </c>
      <c r="T1222" s="261">
        <f>(Table6[[#This Row],[Fault Clearance time]]-Table6[[#This Row],[Fault Start TimeStamp]])*24</f>
        <v>0.18333333333333335</v>
      </c>
      <c r="U1222" s="35" t="s">
        <v>532</v>
      </c>
      <c r="V1222" s="102" t="s">
        <v>268</v>
      </c>
      <c r="W1222" s="267">
        <f>IFERROR(Table6[[#This Row],[Breakdown Time]]*Table6[[#This Row],[Plant Equivalent Weightage]],"")</f>
        <v>7.0512820512820496E-3</v>
      </c>
      <c r="X1222" s="262" t="s">
        <v>269</v>
      </c>
      <c r="Y1222" s="263" t="s">
        <v>116</v>
      </c>
      <c r="Z1222" s="102">
        <v>61807</v>
      </c>
      <c r="AA1222" s="257">
        <f>(Table6[[#This Row],[Paired WTG Generation for loss calculation]]/24)*Table6[[#This Row],[Breakdown Time]]</f>
        <v>472.13680555555555</v>
      </c>
      <c r="AB1222" s="102"/>
      <c r="AC1222" s="35"/>
      <c r="AD1222" s="35"/>
    </row>
    <row r="1223" spans="1:30">
      <c r="A1223" s="102">
        <f t="shared" si="19"/>
        <v>1222</v>
      </c>
      <c r="B1223" s="257">
        <f>YEAR(Table6[[#This Row],[Date]])+IF(MONTH(Table6[[#This Row],[Date]])&gt;=4,1,0)</f>
        <v>2026</v>
      </c>
      <c r="C1223" s="102">
        <f>YEAR(Table6[[#This Row],[Date]])</f>
        <v>2025</v>
      </c>
      <c r="D1223" s="102" t="s">
        <v>265</v>
      </c>
      <c r="E1223" s="258">
        <f>Table6[[#This Row],[Date]]-DAY(Table6[[#This Row],[Date]])+1</f>
        <v>45809</v>
      </c>
      <c r="F1223" s="259">
        <v>45827</v>
      </c>
      <c r="G1223" s="35" t="s">
        <v>119</v>
      </c>
      <c r="H1223" s="35" t="str">
        <f>IFERROR(_xlfn.XLOOKUP(Table6[[#This Row],[Affected WTG]],'Basic Data'!$A:$A,'Basic Data'!$B:$B),"")</f>
        <v>TQGXIIPL</v>
      </c>
      <c r="I1223" s="35" t="str">
        <f>IFERROR(_xlfn.XLOOKUP(Table6[[#This Row],[Affected WTG]],'Basic Data'!$A:$A,'Basic Data'!$C:$C),"")</f>
        <v>GEDA</v>
      </c>
      <c r="J1223" s="260">
        <f>IFERROR(_xlfn.XLOOKUP(Table6[[#This Row],[Affected WTG]],'Basic Data'!$A:$A,'Basic Data'!$E:$E),"")</f>
        <v>3.846153846153845E-2</v>
      </c>
      <c r="K1223" s="102">
        <v>3110</v>
      </c>
      <c r="L1223" s="35" t="str">
        <f>IFERROR(_xlfn.XLOOKUP(Table6[[#This Row],[Error Code]],'Basic Data'!$AA:$AA,'Basic Data'!$AB:$AB),"Incorrect Error Code")</f>
        <v>Frequency converter error</v>
      </c>
      <c r="M1223" s="35" t="s">
        <v>266</v>
      </c>
      <c r="N1223" s="264"/>
      <c r="O1223" s="265">
        <v>0.14930555555555555</v>
      </c>
      <c r="P1223" s="265">
        <v>0.14930555555555555</v>
      </c>
      <c r="Q1223" s="266">
        <v>0.15277777777777779</v>
      </c>
      <c r="R1223" s="261">
        <f>IF(Table6[[#This Row],[Work Start TimeStamp]]="","",(Table6[[#This Row],[Work Start TimeStamp]]-Table6[[#This Row],[Fault Start TimeStamp]])*24)</f>
        <v>0</v>
      </c>
      <c r="S1223" s="261">
        <f>(Table6[[#This Row],[Fault Clearance time]]-Table6[[#This Row],[Work Start TimeStamp]])*24</f>
        <v>8.3333333333333703E-2</v>
      </c>
      <c r="T1223" s="261">
        <f>(Table6[[#This Row],[Fault Clearance time]]-Table6[[#This Row],[Fault Start TimeStamp]])*24</f>
        <v>8.3333333333333703E-2</v>
      </c>
      <c r="U1223" s="35" t="s">
        <v>533</v>
      </c>
      <c r="V1223" s="102" t="s">
        <v>268</v>
      </c>
      <c r="W1223" s="267">
        <f>IFERROR(Table6[[#This Row],[Breakdown Time]]*Table6[[#This Row],[Plant Equivalent Weightage]],"")</f>
        <v>3.2051282051282185E-3</v>
      </c>
      <c r="X1223" s="262" t="s">
        <v>269</v>
      </c>
      <c r="Y1223" s="263" t="s">
        <v>116</v>
      </c>
      <c r="Z1223" s="102">
        <v>61807</v>
      </c>
      <c r="AA1223" s="257">
        <f>(Table6[[#This Row],[Paired WTG Generation for loss calculation]]/24)*Table6[[#This Row],[Breakdown Time]]</f>
        <v>214.60763888888982</v>
      </c>
      <c r="AB1223" s="102"/>
      <c r="AC1223" s="35"/>
      <c r="AD1223" s="35"/>
    </row>
    <row r="1224" spans="1:30">
      <c r="A1224" s="102">
        <f t="shared" si="19"/>
        <v>1223</v>
      </c>
      <c r="B1224" s="257">
        <f>YEAR(Table6[[#This Row],[Date]])+IF(MONTH(Table6[[#This Row],[Date]])&gt;=4,1,0)</f>
        <v>2026</v>
      </c>
      <c r="C1224" s="102">
        <f>YEAR(Table6[[#This Row],[Date]])</f>
        <v>2025</v>
      </c>
      <c r="D1224" s="102" t="s">
        <v>265</v>
      </c>
      <c r="E1224" s="258">
        <f>Table6[[#This Row],[Date]]-DAY(Table6[[#This Row],[Date]])+1</f>
        <v>45809</v>
      </c>
      <c r="F1224" s="259">
        <v>45827</v>
      </c>
      <c r="G1224" s="35" t="s">
        <v>119</v>
      </c>
      <c r="H1224" s="35" t="str">
        <f>IFERROR(_xlfn.XLOOKUP(Table6[[#This Row],[Affected WTG]],'Basic Data'!$A:$A,'Basic Data'!$B:$B),"")</f>
        <v>TQGXIIPL</v>
      </c>
      <c r="I1224" s="35" t="str">
        <f>IFERROR(_xlfn.XLOOKUP(Table6[[#This Row],[Affected WTG]],'Basic Data'!$A:$A,'Basic Data'!$C:$C),"")</f>
        <v>GEDA</v>
      </c>
      <c r="J1224" s="260">
        <f>IFERROR(_xlfn.XLOOKUP(Table6[[#This Row],[Affected WTG]],'Basic Data'!$A:$A,'Basic Data'!$E:$E),"")</f>
        <v>3.846153846153845E-2</v>
      </c>
      <c r="K1224" s="102">
        <v>3110</v>
      </c>
      <c r="L1224" s="35" t="str">
        <f>IFERROR(_xlfn.XLOOKUP(Table6[[#This Row],[Error Code]],'Basic Data'!$AA:$AA,'Basic Data'!$AB:$AB),"Incorrect Error Code")</f>
        <v>Frequency converter error</v>
      </c>
      <c r="M1224" s="35" t="s">
        <v>266</v>
      </c>
      <c r="N1224" s="264"/>
      <c r="O1224" s="265">
        <v>0.19722222222222222</v>
      </c>
      <c r="P1224" s="265">
        <v>0.19722222222222222</v>
      </c>
      <c r="Q1224" s="266">
        <v>0.2</v>
      </c>
      <c r="R1224" s="261">
        <f>IF(Table6[[#This Row],[Work Start TimeStamp]]="","",(Table6[[#This Row],[Work Start TimeStamp]]-Table6[[#This Row],[Fault Start TimeStamp]])*24)</f>
        <v>0</v>
      </c>
      <c r="S1224" s="261">
        <f>(Table6[[#This Row],[Fault Clearance time]]-Table6[[#This Row],[Work Start TimeStamp]])*24</f>
        <v>6.6666666666667096E-2</v>
      </c>
      <c r="T1224" s="261">
        <f>(Table6[[#This Row],[Fault Clearance time]]-Table6[[#This Row],[Fault Start TimeStamp]])*24</f>
        <v>6.6666666666667096E-2</v>
      </c>
      <c r="U1224" s="35" t="s">
        <v>534</v>
      </c>
      <c r="V1224" s="102" t="s">
        <v>268</v>
      </c>
      <c r="W1224" s="267">
        <f>IFERROR(Table6[[#This Row],[Breakdown Time]]*Table6[[#This Row],[Plant Equivalent Weightage]],"")</f>
        <v>2.5641025641025797E-3</v>
      </c>
      <c r="X1224" s="262" t="s">
        <v>269</v>
      </c>
      <c r="Y1224" s="263" t="s">
        <v>116</v>
      </c>
      <c r="Z1224" s="102">
        <v>61807</v>
      </c>
      <c r="AA1224" s="257">
        <f>(Table6[[#This Row],[Paired WTG Generation for loss calculation]]/24)*Table6[[#This Row],[Breakdown Time]]</f>
        <v>171.68611111111221</v>
      </c>
      <c r="AB1224" s="102"/>
      <c r="AC1224" s="35"/>
      <c r="AD1224" s="35"/>
    </row>
    <row r="1225" spans="1:30">
      <c r="A1225" s="102">
        <f t="shared" si="19"/>
        <v>1224</v>
      </c>
      <c r="B1225" s="257">
        <f>YEAR(Table6[[#This Row],[Date]])+IF(MONTH(Table6[[#This Row],[Date]])&gt;=4,1,0)</f>
        <v>2026</v>
      </c>
      <c r="C1225" s="102">
        <f>YEAR(Table6[[#This Row],[Date]])</f>
        <v>2025</v>
      </c>
      <c r="D1225" s="102" t="s">
        <v>265</v>
      </c>
      <c r="E1225" s="258">
        <f>Table6[[#This Row],[Date]]-DAY(Table6[[#This Row],[Date]])+1</f>
        <v>45809</v>
      </c>
      <c r="F1225" s="259">
        <v>45827</v>
      </c>
      <c r="G1225" s="35" t="s">
        <v>119</v>
      </c>
      <c r="H1225" s="35" t="str">
        <f>IFERROR(_xlfn.XLOOKUP(Table6[[#This Row],[Affected WTG]],'Basic Data'!$A:$A,'Basic Data'!$B:$B),"")</f>
        <v>TQGXIIPL</v>
      </c>
      <c r="I1225" s="35" t="str">
        <f>IFERROR(_xlfn.XLOOKUP(Table6[[#This Row],[Affected WTG]],'Basic Data'!$A:$A,'Basic Data'!$C:$C),"")</f>
        <v>GEDA</v>
      </c>
      <c r="J1225" s="260">
        <f>IFERROR(_xlfn.XLOOKUP(Table6[[#This Row],[Affected WTG]],'Basic Data'!$A:$A,'Basic Data'!$E:$E),"")</f>
        <v>3.846153846153845E-2</v>
      </c>
      <c r="K1225" s="102">
        <v>3110</v>
      </c>
      <c r="L1225" s="35" t="str">
        <f>IFERROR(_xlfn.XLOOKUP(Table6[[#This Row],[Error Code]],'Basic Data'!$AA:$AA,'Basic Data'!$AB:$AB),"Incorrect Error Code")</f>
        <v>Frequency converter error</v>
      </c>
      <c r="M1225" s="35" t="s">
        <v>266</v>
      </c>
      <c r="N1225" s="264"/>
      <c r="O1225" s="265">
        <v>0.25416666666666665</v>
      </c>
      <c r="P1225" s="265">
        <v>0.25416666666666665</v>
      </c>
      <c r="Q1225" s="266">
        <v>0.25763888888888886</v>
      </c>
      <c r="R1225" s="261">
        <f>IF(Table6[[#This Row],[Work Start TimeStamp]]="","",(Table6[[#This Row],[Work Start TimeStamp]]-Table6[[#This Row],[Fault Start TimeStamp]])*24)</f>
        <v>0</v>
      </c>
      <c r="S1225" s="261">
        <f>(Table6[[#This Row],[Fault Clearance time]]-Table6[[#This Row],[Work Start TimeStamp]])*24</f>
        <v>8.3333333333333037E-2</v>
      </c>
      <c r="T1225" s="261">
        <f>(Table6[[#This Row],[Fault Clearance time]]-Table6[[#This Row],[Fault Start TimeStamp]])*24</f>
        <v>8.3333333333333037E-2</v>
      </c>
      <c r="U1225" s="35" t="s">
        <v>535</v>
      </c>
      <c r="V1225" s="102" t="s">
        <v>268</v>
      </c>
      <c r="W1225" s="267">
        <f>IFERROR(Table6[[#This Row],[Breakdown Time]]*Table6[[#This Row],[Plant Equivalent Weightage]],"")</f>
        <v>3.2051282051281929E-3</v>
      </c>
      <c r="X1225" s="262" t="s">
        <v>269</v>
      </c>
      <c r="Y1225" s="263" t="s">
        <v>116</v>
      </c>
      <c r="Z1225" s="102">
        <v>61807</v>
      </c>
      <c r="AA1225" s="257">
        <f>(Table6[[#This Row],[Paired WTG Generation for loss calculation]]/24)*Table6[[#This Row],[Breakdown Time]]</f>
        <v>214.60763888888812</v>
      </c>
      <c r="AB1225" s="102"/>
      <c r="AC1225" s="35"/>
      <c r="AD1225" s="35"/>
    </row>
    <row r="1226" spans="1:30">
      <c r="A1226" s="102">
        <f t="shared" si="19"/>
        <v>1225</v>
      </c>
      <c r="B1226" s="257">
        <f>YEAR(Table6[[#This Row],[Date]])+IF(MONTH(Table6[[#This Row],[Date]])&gt;=4,1,0)</f>
        <v>2026</v>
      </c>
      <c r="C1226" s="102">
        <f>YEAR(Table6[[#This Row],[Date]])</f>
        <v>2025</v>
      </c>
      <c r="D1226" s="102" t="s">
        <v>265</v>
      </c>
      <c r="E1226" s="258">
        <f>Table6[[#This Row],[Date]]-DAY(Table6[[#This Row],[Date]])+1</f>
        <v>45809</v>
      </c>
      <c r="F1226" s="259">
        <v>45827</v>
      </c>
      <c r="G1226" s="35" t="s">
        <v>119</v>
      </c>
      <c r="H1226" s="35" t="str">
        <f>IFERROR(_xlfn.XLOOKUP(Table6[[#This Row],[Affected WTG]],'Basic Data'!$A:$A,'Basic Data'!$B:$B),"")</f>
        <v>TQGXIIPL</v>
      </c>
      <c r="I1226" s="35" t="str">
        <f>IFERROR(_xlfn.XLOOKUP(Table6[[#This Row],[Affected WTG]],'Basic Data'!$A:$A,'Basic Data'!$C:$C),"")</f>
        <v>GEDA</v>
      </c>
      <c r="J1226" s="260">
        <f>IFERROR(_xlfn.XLOOKUP(Table6[[#This Row],[Affected WTG]],'Basic Data'!$A:$A,'Basic Data'!$E:$E),"")</f>
        <v>3.846153846153845E-2</v>
      </c>
      <c r="K1226" s="102">
        <v>3110</v>
      </c>
      <c r="L1226" s="35" t="str">
        <f>IFERROR(_xlfn.XLOOKUP(Table6[[#This Row],[Error Code]],'Basic Data'!$AA:$AA,'Basic Data'!$AB:$AB),"Incorrect Error Code")</f>
        <v>Frequency converter error</v>
      </c>
      <c r="M1226" s="35" t="s">
        <v>266</v>
      </c>
      <c r="N1226" s="264"/>
      <c r="O1226" s="265">
        <v>0.56874999999999998</v>
      </c>
      <c r="P1226" s="265">
        <v>0.56874999999999998</v>
      </c>
      <c r="Q1226" s="266">
        <v>0.5708333333333333</v>
      </c>
      <c r="R1226" s="261">
        <f>IF(Table6[[#This Row],[Work Start TimeStamp]]="","",(Table6[[#This Row],[Work Start TimeStamp]]-Table6[[#This Row],[Fault Start TimeStamp]])*24)</f>
        <v>0</v>
      </c>
      <c r="S1226" s="261">
        <f>(Table6[[#This Row],[Fault Clearance time]]-Table6[[#This Row],[Work Start TimeStamp]])*24</f>
        <v>4.9999999999999822E-2</v>
      </c>
      <c r="T1226" s="261">
        <f>(Table6[[#This Row],[Fault Clearance time]]-Table6[[#This Row],[Fault Start TimeStamp]])*24</f>
        <v>4.9999999999999822E-2</v>
      </c>
      <c r="U1226" s="35" t="s">
        <v>535</v>
      </c>
      <c r="V1226" s="102" t="s">
        <v>268</v>
      </c>
      <c r="W1226" s="267">
        <f>IFERROR(Table6[[#This Row],[Breakdown Time]]*Table6[[#This Row],[Plant Equivalent Weightage]],"")</f>
        <v>1.9230769230769156E-3</v>
      </c>
      <c r="X1226" s="262" t="s">
        <v>269</v>
      </c>
      <c r="Y1226" s="263" t="s">
        <v>116</v>
      </c>
      <c r="Z1226" s="102">
        <v>61807</v>
      </c>
      <c r="AA1226" s="257">
        <f>(Table6[[#This Row],[Paired WTG Generation for loss calculation]]/24)*Table6[[#This Row],[Breakdown Time]]</f>
        <v>128.76458333333287</v>
      </c>
      <c r="AB1226" s="102"/>
      <c r="AC1226" s="35"/>
      <c r="AD1226" s="35"/>
    </row>
    <row r="1227" spans="1:30">
      <c r="A1227" s="102">
        <f t="shared" si="19"/>
        <v>1226</v>
      </c>
      <c r="B1227" s="257">
        <f>YEAR(Table6[[#This Row],[Date]])+IF(MONTH(Table6[[#This Row],[Date]])&gt;=4,1,0)</f>
        <v>2026</v>
      </c>
      <c r="C1227" s="102">
        <f>YEAR(Table6[[#This Row],[Date]])</f>
        <v>2025</v>
      </c>
      <c r="D1227" s="102" t="s">
        <v>265</v>
      </c>
      <c r="E1227" s="258">
        <f>Table6[[#This Row],[Date]]-DAY(Table6[[#This Row],[Date]])+1</f>
        <v>45809</v>
      </c>
      <c r="F1227" s="259">
        <v>45827</v>
      </c>
      <c r="G1227" s="35" t="s">
        <v>122</v>
      </c>
      <c r="H1227" s="35" t="str">
        <f>IFERROR(_xlfn.XLOOKUP(Table6[[#This Row],[Affected WTG]],'Basic Data'!$A:$A,'Basic Data'!$B:$B),"")</f>
        <v>TQGXIIPL</v>
      </c>
      <c r="I1227" s="35" t="str">
        <f>IFERROR(_xlfn.XLOOKUP(Table6[[#This Row],[Affected WTG]],'Basic Data'!$A:$A,'Basic Data'!$C:$C),"")</f>
        <v>GEDA</v>
      </c>
      <c r="J1227" s="260">
        <f>IFERROR(_xlfn.XLOOKUP(Table6[[#This Row],[Affected WTG]],'Basic Data'!$A:$A,'Basic Data'!$E:$E),"")</f>
        <v>3.846153846153845E-2</v>
      </c>
      <c r="K1227" s="102">
        <v>665</v>
      </c>
      <c r="L1227" s="35" t="str">
        <f>IFERROR(_xlfn.XLOOKUP(Table6[[#This Row],[Error Code]],'Basic Data'!$AA:$AA,'Basic Data'!$AB:$AB),"Incorrect Error Code")</f>
        <v>Pitch error</v>
      </c>
      <c r="M1227" s="35" t="s">
        <v>266</v>
      </c>
      <c r="N1227" s="264"/>
      <c r="O1227" s="265">
        <v>0.70208333333333328</v>
      </c>
      <c r="P1227" s="265">
        <v>0.70208333333333328</v>
      </c>
      <c r="Q1227" s="266">
        <v>0.70763888888888893</v>
      </c>
      <c r="R1227" s="261">
        <f>IF(Table6[[#This Row],[Work Start TimeStamp]]="","",(Table6[[#This Row],[Work Start TimeStamp]]-Table6[[#This Row],[Fault Start TimeStamp]])*24)</f>
        <v>0</v>
      </c>
      <c r="S1227" s="261">
        <f>(Table6[[#This Row],[Fault Clearance time]]-Table6[[#This Row],[Work Start TimeStamp]])*24</f>
        <v>0.13333333333333552</v>
      </c>
      <c r="T1227" s="261">
        <f>(Table6[[#This Row],[Fault Clearance time]]-Table6[[#This Row],[Fault Start TimeStamp]])*24</f>
        <v>0.13333333333333552</v>
      </c>
      <c r="U1227" s="35" t="s">
        <v>483</v>
      </c>
      <c r="V1227" s="102" t="s">
        <v>268</v>
      </c>
      <c r="W1227" s="267">
        <f>IFERROR(Table6[[#This Row],[Breakdown Time]]*Table6[[#This Row],[Plant Equivalent Weightage]],"")</f>
        <v>5.1282051282052106E-3</v>
      </c>
      <c r="X1227" s="262" t="s">
        <v>269</v>
      </c>
      <c r="Y1227" s="263" t="s">
        <v>140</v>
      </c>
      <c r="Z1227" s="102">
        <v>61863</v>
      </c>
      <c r="AA1227" s="257">
        <f>(Table6[[#This Row],[Paired WTG Generation for loss calculation]]/24)*Table6[[#This Row],[Breakdown Time]]</f>
        <v>343.68333333333896</v>
      </c>
      <c r="AB1227" s="102"/>
      <c r="AC1227" s="35"/>
      <c r="AD1227" s="35"/>
    </row>
    <row r="1228" spans="1:30">
      <c r="A1228" s="102">
        <f t="shared" si="19"/>
        <v>1227</v>
      </c>
      <c r="B1228" s="257">
        <f>YEAR(Table6[[#This Row],[Date]])+IF(MONTH(Table6[[#This Row],[Date]])&gt;=4,1,0)</f>
        <v>2026</v>
      </c>
      <c r="C1228" s="102">
        <f>YEAR(Table6[[#This Row],[Date]])</f>
        <v>2025</v>
      </c>
      <c r="D1228" s="102" t="s">
        <v>265</v>
      </c>
      <c r="E1228" s="258">
        <f>Table6[[#This Row],[Date]]-DAY(Table6[[#This Row],[Date]])+1</f>
        <v>45809</v>
      </c>
      <c r="F1228" s="259">
        <v>45827</v>
      </c>
      <c r="G1228" s="35" t="s">
        <v>122</v>
      </c>
      <c r="H1228" s="35" t="str">
        <f>IFERROR(_xlfn.XLOOKUP(Table6[[#This Row],[Affected WTG]],'Basic Data'!$A:$A,'Basic Data'!$B:$B),"")</f>
        <v>TQGXIIPL</v>
      </c>
      <c r="I1228" s="35" t="str">
        <f>IFERROR(_xlfn.XLOOKUP(Table6[[#This Row],[Affected WTG]],'Basic Data'!$A:$A,'Basic Data'!$C:$C),"")</f>
        <v>GEDA</v>
      </c>
      <c r="J1228" s="260">
        <f>IFERROR(_xlfn.XLOOKUP(Table6[[#This Row],[Affected WTG]],'Basic Data'!$A:$A,'Basic Data'!$E:$E),"")</f>
        <v>3.846153846153845E-2</v>
      </c>
      <c r="K1228" s="102">
        <v>665</v>
      </c>
      <c r="L1228" s="35" t="str">
        <f>IFERROR(_xlfn.XLOOKUP(Table6[[#This Row],[Error Code]],'Basic Data'!$AA:$AA,'Basic Data'!$AB:$AB),"Incorrect Error Code")</f>
        <v>Pitch error</v>
      </c>
      <c r="M1228" s="35" t="s">
        <v>266</v>
      </c>
      <c r="N1228" s="264"/>
      <c r="O1228" s="265">
        <v>0.88194444444444442</v>
      </c>
      <c r="P1228" s="265">
        <v>0.88194444444444442</v>
      </c>
      <c r="Q1228" s="266">
        <v>0.89236111111111116</v>
      </c>
      <c r="R1228" s="261">
        <f>IF(Table6[[#This Row],[Work Start TimeStamp]]="","",(Table6[[#This Row],[Work Start TimeStamp]]-Table6[[#This Row],[Fault Start TimeStamp]])*24)</f>
        <v>0</v>
      </c>
      <c r="S1228" s="261">
        <f>(Table6[[#This Row],[Fault Clearance time]]-Table6[[#This Row],[Work Start TimeStamp]])*24</f>
        <v>0.25000000000000178</v>
      </c>
      <c r="T1228" s="261">
        <f>(Table6[[#This Row],[Fault Clearance time]]-Table6[[#This Row],[Fault Start TimeStamp]])*24</f>
        <v>0.25000000000000178</v>
      </c>
      <c r="U1228" s="35" t="s">
        <v>483</v>
      </c>
      <c r="V1228" s="102" t="s">
        <v>268</v>
      </c>
      <c r="W1228" s="267">
        <f>IFERROR(Table6[[#This Row],[Breakdown Time]]*Table6[[#This Row],[Plant Equivalent Weightage]],"")</f>
        <v>9.6153846153846801E-3</v>
      </c>
      <c r="X1228" s="262" t="s">
        <v>269</v>
      </c>
      <c r="Y1228" s="263" t="s">
        <v>140</v>
      </c>
      <c r="Z1228" s="102">
        <v>61863</v>
      </c>
      <c r="AA1228" s="257">
        <f>(Table6[[#This Row],[Paired WTG Generation for loss calculation]]/24)*Table6[[#This Row],[Breakdown Time]]</f>
        <v>644.40625000000455</v>
      </c>
      <c r="AB1228" s="102"/>
      <c r="AC1228" s="35"/>
      <c r="AD1228" s="35"/>
    </row>
    <row r="1229" spans="1:30">
      <c r="A1229" s="102">
        <f t="shared" si="19"/>
        <v>1228</v>
      </c>
      <c r="B1229" s="257">
        <f>YEAR(Table6[[#This Row],[Date]])+IF(MONTH(Table6[[#This Row],[Date]])&gt;=4,1,0)</f>
        <v>2026</v>
      </c>
      <c r="C1229" s="102">
        <f>YEAR(Table6[[#This Row],[Date]])</f>
        <v>2025</v>
      </c>
      <c r="D1229" s="102" t="s">
        <v>265</v>
      </c>
      <c r="E1229" s="258">
        <f>Table6[[#This Row],[Date]]-DAY(Table6[[#This Row],[Date]])+1</f>
        <v>45809</v>
      </c>
      <c r="F1229" s="259">
        <v>45827</v>
      </c>
      <c r="G1229" s="35" t="s">
        <v>126</v>
      </c>
      <c r="H1229" s="35" t="str">
        <f>IFERROR(_xlfn.XLOOKUP(Table6[[#This Row],[Affected WTG]],'Basic Data'!$A:$A,'Basic Data'!$B:$B),"")</f>
        <v>TQGXIIPL</v>
      </c>
      <c r="I1229" s="35" t="str">
        <f>IFERROR(_xlfn.XLOOKUP(Table6[[#This Row],[Affected WTG]],'Basic Data'!$A:$A,'Basic Data'!$C:$C),"")</f>
        <v>GEDA</v>
      </c>
      <c r="J1229" s="260">
        <f>IFERROR(_xlfn.XLOOKUP(Table6[[#This Row],[Affected WTG]],'Basic Data'!$A:$A,'Basic Data'!$E:$E),"")</f>
        <v>3.846153846153845E-2</v>
      </c>
      <c r="K1229" s="102">
        <v>55</v>
      </c>
      <c r="L1229" s="35" t="str">
        <f>IFERROR(_xlfn.XLOOKUP(Table6[[#This Row],[Error Code]],'Basic Data'!$AA:$AA,'Basic Data'!$AB:$AB),"Incorrect Error Code")</f>
        <v>WTG shut down</v>
      </c>
      <c r="M1229" s="35" t="s">
        <v>291</v>
      </c>
      <c r="N1229" s="264"/>
      <c r="O1229" s="265">
        <v>0</v>
      </c>
      <c r="P1229" s="265">
        <v>0</v>
      </c>
      <c r="Q1229" s="266">
        <v>0.95833333333333337</v>
      </c>
      <c r="R1229" s="261">
        <f>IF(Table6[[#This Row],[Work Start TimeStamp]]="","",(Table6[[#This Row],[Work Start TimeStamp]]-Table6[[#This Row],[Fault Start TimeStamp]])*24)</f>
        <v>0</v>
      </c>
      <c r="S1229" s="261">
        <f>(Table6[[#This Row],[Fault Clearance time]]-Table6[[#This Row],[Work Start TimeStamp]])*24</f>
        <v>23</v>
      </c>
      <c r="T1229" s="261">
        <f>(Table6[[#This Row],[Fault Clearance time]]-Table6[[#This Row],[Fault Start TimeStamp]])*24</f>
        <v>23</v>
      </c>
      <c r="U1229" s="35" t="s">
        <v>536</v>
      </c>
      <c r="V1229" s="102" t="s">
        <v>289</v>
      </c>
      <c r="W1229" s="267">
        <f>IFERROR(Table6[[#This Row],[Breakdown Time]]*Table6[[#This Row],[Plant Equivalent Weightage]],"")</f>
        <v>0.88461538461538436</v>
      </c>
      <c r="X1229" s="262" t="s">
        <v>531</v>
      </c>
      <c r="Y1229" s="263" t="s">
        <v>128</v>
      </c>
      <c r="Z1229" s="102">
        <v>62218</v>
      </c>
      <c r="AA1229" s="257">
        <f>(Table6[[#This Row],[Paired WTG Generation for loss calculation]]/24)*Table6[[#This Row],[Breakdown Time]]</f>
        <v>59625.583333333328</v>
      </c>
      <c r="AB1229" s="102"/>
      <c r="AC1229" s="35"/>
      <c r="AD1229" s="35"/>
    </row>
    <row r="1230" spans="1:30">
      <c r="A1230" s="102">
        <f t="shared" si="19"/>
        <v>1229</v>
      </c>
      <c r="B1230" s="257">
        <f>YEAR(Table6[[#This Row],[Date]])+IF(MONTH(Table6[[#This Row],[Date]])&gt;=4,1,0)</f>
        <v>2026</v>
      </c>
      <c r="C1230" s="102">
        <f>YEAR(Table6[[#This Row],[Date]])</f>
        <v>2025</v>
      </c>
      <c r="D1230" s="102" t="s">
        <v>265</v>
      </c>
      <c r="E1230" s="258">
        <f>Table6[[#This Row],[Date]]-DAY(Table6[[#This Row],[Date]])+1</f>
        <v>45809</v>
      </c>
      <c r="F1230" s="259">
        <v>45827</v>
      </c>
      <c r="G1230" s="35" t="s">
        <v>126</v>
      </c>
      <c r="H1230" s="35" t="str">
        <f>IFERROR(_xlfn.XLOOKUP(Table6[[#This Row],[Affected WTG]],'Basic Data'!$A:$A,'Basic Data'!$B:$B),"")</f>
        <v>TQGXIIPL</v>
      </c>
      <c r="I1230" s="35" t="str">
        <f>IFERROR(_xlfn.XLOOKUP(Table6[[#This Row],[Affected WTG]],'Basic Data'!$A:$A,'Basic Data'!$C:$C),"")</f>
        <v>GEDA</v>
      </c>
      <c r="J1230" s="260">
        <f>IFERROR(_xlfn.XLOOKUP(Table6[[#This Row],[Affected WTG]],'Basic Data'!$A:$A,'Basic Data'!$E:$E),"")</f>
        <v>3.846153846153845E-2</v>
      </c>
      <c r="K1230" s="102">
        <v>55</v>
      </c>
      <c r="L1230" s="35" t="str">
        <f>IFERROR(_xlfn.XLOOKUP(Table6[[#This Row],[Error Code]],'Basic Data'!$AA:$AA,'Basic Data'!$AB:$AB),"Incorrect Error Code")</f>
        <v>WTG shut down</v>
      </c>
      <c r="M1230" s="35" t="s">
        <v>291</v>
      </c>
      <c r="N1230" s="264"/>
      <c r="O1230" s="265">
        <v>0.95833333333333337</v>
      </c>
      <c r="P1230" s="265">
        <v>0.95833333333333337</v>
      </c>
      <c r="Q1230" s="266">
        <v>0.99998842592592596</v>
      </c>
      <c r="R1230" s="261">
        <f>IF(Table6[[#This Row],[Work Start TimeStamp]]="","",(Table6[[#This Row],[Work Start TimeStamp]]-Table6[[#This Row],[Fault Start TimeStamp]])*24)</f>
        <v>0</v>
      </c>
      <c r="S1230" s="261">
        <f>(Table6[[#This Row],[Fault Clearance time]]-Table6[[#This Row],[Work Start TimeStamp]])*24</f>
        <v>0.99972222222222218</v>
      </c>
      <c r="T1230" s="261">
        <f>(Table6[[#This Row],[Fault Clearance time]]-Table6[[#This Row],[Fault Start TimeStamp]])*24</f>
        <v>0.99972222222222218</v>
      </c>
      <c r="U1230" s="35" t="s">
        <v>536</v>
      </c>
      <c r="V1230" s="102" t="s">
        <v>289</v>
      </c>
      <c r="W1230" s="267">
        <f>IFERROR(Table6[[#This Row],[Breakdown Time]]*Table6[[#This Row],[Plant Equivalent Weightage]],"")</f>
        <v>3.8450854700854686E-2</v>
      </c>
      <c r="X1230" s="262" t="s">
        <v>269</v>
      </c>
      <c r="Y1230" s="263" t="s">
        <v>128</v>
      </c>
      <c r="Z1230" s="102">
        <v>62218</v>
      </c>
      <c r="AA1230" s="257">
        <f>(Table6[[#This Row],[Paired WTG Generation for loss calculation]]/24)*Table6[[#This Row],[Breakdown Time]]</f>
        <v>2591.6965509259257</v>
      </c>
      <c r="AB1230" s="102"/>
      <c r="AC1230" s="35"/>
      <c r="AD1230" s="35"/>
    </row>
    <row r="1231" spans="1:30">
      <c r="A1231" s="102">
        <f t="shared" ref="A1231:A1294" si="20">A1230+1</f>
        <v>1230</v>
      </c>
      <c r="B1231" s="257">
        <f>YEAR(Table6[[#This Row],[Date]])+IF(MONTH(Table6[[#This Row],[Date]])&gt;=4,1,0)</f>
        <v>2026</v>
      </c>
      <c r="C1231" s="102">
        <f>YEAR(Table6[[#This Row],[Date]])</f>
        <v>2025</v>
      </c>
      <c r="D1231" s="102" t="s">
        <v>265</v>
      </c>
      <c r="E1231" s="258">
        <f>Table6[[#This Row],[Date]]-DAY(Table6[[#This Row],[Date]])+1</f>
        <v>45809</v>
      </c>
      <c r="F1231" s="259">
        <v>45827</v>
      </c>
      <c r="G1231" s="35" t="s">
        <v>131</v>
      </c>
      <c r="H1231" s="35" t="str">
        <f>IFERROR(_xlfn.XLOOKUP(Table6[[#This Row],[Affected WTG]],'Basic Data'!$A:$A,'Basic Data'!$B:$B),"")</f>
        <v>TQGXIIPL</v>
      </c>
      <c r="I1231" s="35" t="str">
        <f>IFERROR(_xlfn.XLOOKUP(Table6[[#This Row],[Affected WTG]],'Basic Data'!$A:$A,'Basic Data'!$C:$C),"")</f>
        <v>GEDA</v>
      </c>
      <c r="J1231" s="260">
        <f>IFERROR(_xlfn.XLOOKUP(Table6[[#This Row],[Affected WTG]],'Basic Data'!$A:$A,'Basic Data'!$E:$E),"")</f>
        <v>3.846153846153845E-2</v>
      </c>
      <c r="K1231" s="102">
        <v>3110</v>
      </c>
      <c r="L1231" s="35" t="str">
        <f>IFERROR(_xlfn.XLOOKUP(Table6[[#This Row],[Error Code]],'Basic Data'!$AA:$AA,'Basic Data'!$AB:$AB),"Incorrect Error Code")</f>
        <v>Frequency converter error</v>
      </c>
      <c r="M1231" s="35" t="s">
        <v>266</v>
      </c>
      <c r="N1231" s="264"/>
      <c r="O1231" s="265">
        <v>8.3333333333333332E-3</v>
      </c>
      <c r="P1231" s="265">
        <v>8.3333333333333332E-3</v>
      </c>
      <c r="Q1231" s="266">
        <v>1.5277777777777777E-2</v>
      </c>
      <c r="R1231" s="261">
        <f>IF(Table6[[#This Row],[Work Start TimeStamp]]="","",(Table6[[#This Row],[Work Start TimeStamp]]-Table6[[#This Row],[Fault Start TimeStamp]])*24)</f>
        <v>0</v>
      </c>
      <c r="S1231" s="261">
        <f>(Table6[[#This Row],[Fault Clearance time]]-Table6[[#This Row],[Work Start TimeStamp]])*24</f>
        <v>0.16666666666666666</v>
      </c>
      <c r="T1231" s="261">
        <f>(Table6[[#This Row],[Fault Clearance time]]-Table6[[#This Row],[Fault Start TimeStamp]])*24</f>
        <v>0.16666666666666666</v>
      </c>
      <c r="U1231" s="35" t="s">
        <v>534</v>
      </c>
      <c r="V1231" s="102" t="s">
        <v>268</v>
      </c>
      <c r="W1231" s="267">
        <f>IFERROR(Table6[[#This Row],[Breakdown Time]]*Table6[[#This Row],[Plant Equivalent Weightage]],"")</f>
        <v>6.4102564102564083E-3</v>
      </c>
      <c r="X1231" s="262" t="s">
        <v>269</v>
      </c>
      <c r="Y1231" s="263" t="s">
        <v>136</v>
      </c>
      <c r="Z1231" s="102">
        <v>61067</v>
      </c>
      <c r="AA1231" s="257">
        <f>(Table6[[#This Row],[Paired WTG Generation for loss calculation]]/24)*Table6[[#This Row],[Breakdown Time]]</f>
        <v>424.07638888888891</v>
      </c>
      <c r="AB1231" s="102"/>
      <c r="AC1231" s="35"/>
      <c r="AD1231" s="35"/>
    </row>
    <row r="1232" spans="1:30">
      <c r="A1232" s="102">
        <f t="shared" si="20"/>
        <v>1231</v>
      </c>
      <c r="B1232" s="257">
        <f>YEAR(Table6[[#This Row],[Date]])+IF(MONTH(Table6[[#This Row],[Date]])&gt;=4,1,0)</f>
        <v>2026</v>
      </c>
      <c r="C1232" s="102">
        <f>YEAR(Table6[[#This Row],[Date]])</f>
        <v>2025</v>
      </c>
      <c r="D1232" s="102" t="s">
        <v>265</v>
      </c>
      <c r="E1232" s="258">
        <f>Table6[[#This Row],[Date]]-DAY(Table6[[#This Row],[Date]])+1</f>
        <v>45809</v>
      </c>
      <c r="F1232" s="259">
        <v>45827</v>
      </c>
      <c r="G1232" s="35" t="s">
        <v>131</v>
      </c>
      <c r="H1232" s="35" t="str">
        <f>IFERROR(_xlfn.XLOOKUP(Table6[[#This Row],[Affected WTG]],'Basic Data'!$A:$A,'Basic Data'!$B:$B),"")</f>
        <v>TQGXIIPL</v>
      </c>
      <c r="I1232" s="35" t="str">
        <f>IFERROR(_xlfn.XLOOKUP(Table6[[#This Row],[Affected WTG]],'Basic Data'!$A:$A,'Basic Data'!$C:$C),"")</f>
        <v>GEDA</v>
      </c>
      <c r="J1232" s="260">
        <f>IFERROR(_xlfn.XLOOKUP(Table6[[#This Row],[Affected WTG]],'Basic Data'!$A:$A,'Basic Data'!$E:$E),"")</f>
        <v>3.846153846153845E-2</v>
      </c>
      <c r="K1232" s="102">
        <v>3110</v>
      </c>
      <c r="L1232" s="35" t="str">
        <f>IFERROR(_xlfn.XLOOKUP(Table6[[#This Row],[Error Code]],'Basic Data'!$AA:$AA,'Basic Data'!$AB:$AB),"Incorrect Error Code")</f>
        <v>Frequency converter error</v>
      </c>
      <c r="M1232" s="35" t="s">
        <v>266</v>
      </c>
      <c r="N1232" s="264"/>
      <c r="O1232" s="265">
        <v>0.10486111111111111</v>
      </c>
      <c r="P1232" s="265">
        <v>0.10486111111111111</v>
      </c>
      <c r="Q1232" s="266">
        <v>0.11874999999999999</v>
      </c>
      <c r="R1232" s="261">
        <f>IF(Table6[[#This Row],[Work Start TimeStamp]]="","",(Table6[[#This Row],[Work Start TimeStamp]]-Table6[[#This Row],[Fault Start TimeStamp]])*24)</f>
        <v>0</v>
      </c>
      <c r="S1232" s="261">
        <f>(Table6[[#This Row],[Fault Clearance time]]-Table6[[#This Row],[Work Start TimeStamp]])*24</f>
        <v>0.33333333333333315</v>
      </c>
      <c r="T1232" s="261">
        <f>(Table6[[#This Row],[Fault Clearance time]]-Table6[[#This Row],[Fault Start TimeStamp]])*24</f>
        <v>0.33333333333333315</v>
      </c>
      <c r="U1232" s="35" t="s">
        <v>537</v>
      </c>
      <c r="V1232" s="102" t="s">
        <v>268</v>
      </c>
      <c r="W1232" s="267">
        <f>IFERROR(Table6[[#This Row],[Breakdown Time]]*Table6[[#This Row],[Plant Equivalent Weightage]],"")</f>
        <v>1.282051282051281E-2</v>
      </c>
      <c r="X1232" s="262" t="s">
        <v>269</v>
      </c>
      <c r="Y1232" s="263" t="s">
        <v>136</v>
      </c>
      <c r="Z1232" s="102">
        <v>61067</v>
      </c>
      <c r="AA1232" s="257">
        <f>(Table6[[#This Row],[Paired WTG Generation for loss calculation]]/24)*Table6[[#This Row],[Breakdown Time]]</f>
        <v>848.15277777777737</v>
      </c>
      <c r="AB1232" s="102"/>
      <c r="AC1232" s="35"/>
      <c r="AD1232" s="35"/>
    </row>
    <row r="1233" spans="1:30">
      <c r="A1233" s="102">
        <f t="shared" si="20"/>
        <v>1232</v>
      </c>
      <c r="B1233" s="257">
        <f>YEAR(Table6[[#This Row],[Date]])+IF(MONTH(Table6[[#This Row],[Date]])&gt;=4,1,0)</f>
        <v>2026</v>
      </c>
      <c r="C1233" s="102">
        <f>YEAR(Table6[[#This Row],[Date]])</f>
        <v>2025</v>
      </c>
      <c r="D1233" s="102" t="s">
        <v>265</v>
      </c>
      <c r="E1233" s="258">
        <f>Table6[[#This Row],[Date]]-DAY(Table6[[#This Row],[Date]])+1</f>
        <v>45809</v>
      </c>
      <c r="F1233" s="259">
        <v>45827</v>
      </c>
      <c r="G1233" s="35" t="s">
        <v>131</v>
      </c>
      <c r="H1233" s="35" t="str">
        <f>IFERROR(_xlfn.XLOOKUP(Table6[[#This Row],[Affected WTG]],'Basic Data'!$A:$A,'Basic Data'!$B:$B),"")</f>
        <v>TQGXIIPL</v>
      </c>
      <c r="I1233" s="35" t="str">
        <f>IFERROR(_xlfn.XLOOKUP(Table6[[#This Row],[Affected WTG]],'Basic Data'!$A:$A,'Basic Data'!$C:$C),"")</f>
        <v>GEDA</v>
      </c>
      <c r="J1233" s="260">
        <f>IFERROR(_xlfn.XLOOKUP(Table6[[#This Row],[Affected WTG]],'Basic Data'!$A:$A,'Basic Data'!$E:$E),"")</f>
        <v>3.846153846153845E-2</v>
      </c>
      <c r="K1233" s="102">
        <v>3110</v>
      </c>
      <c r="L1233" s="35" t="str">
        <f>IFERROR(_xlfn.XLOOKUP(Table6[[#This Row],[Error Code]],'Basic Data'!$AA:$AA,'Basic Data'!$AB:$AB),"Incorrect Error Code")</f>
        <v>Frequency converter error</v>
      </c>
      <c r="M1233" s="35" t="s">
        <v>266</v>
      </c>
      <c r="N1233" s="264"/>
      <c r="O1233" s="265">
        <v>0.15555555555555556</v>
      </c>
      <c r="P1233" s="265">
        <v>0.15555555555555556</v>
      </c>
      <c r="Q1233" s="266">
        <v>0.15833333333333333</v>
      </c>
      <c r="R1233" s="261">
        <f>IF(Table6[[#This Row],[Work Start TimeStamp]]="","",(Table6[[#This Row],[Work Start TimeStamp]]-Table6[[#This Row],[Fault Start TimeStamp]])*24)</f>
        <v>0</v>
      </c>
      <c r="S1233" s="261">
        <f>(Table6[[#This Row],[Fault Clearance time]]-Table6[[#This Row],[Work Start TimeStamp]])*24</f>
        <v>6.666666666666643E-2</v>
      </c>
      <c r="T1233" s="261">
        <f>(Table6[[#This Row],[Fault Clearance time]]-Table6[[#This Row],[Fault Start TimeStamp]])*24</f>
        <v>6.666666666666643E-2</v>
      </c>
      <c r="U1233" s="35" t="s">
        <v>537</v>
      </c>
      <c r="V1233" s="102" t="s">
        <v>268</v>
      </c>
      <c r="W1233" s="267">
        <f>IFERROR(Table6[[#This Row],[Breakdown Time]]*Table6[[#This Row],[Plant Equivalent Weightage]],"")</f>
        <v>2.5641025641025541E-3</v>
      </c>
      <c r="X1233" s="262" t="s">
        <v>269</v>
      </c>
      <c r="Y1233" s="263" t="s">
        <v>136</v>
      </c>
      <c r="Z1233" s="102">
        <v>61067</v>
      </c>
      <c r="AA1233" s="257">
        <f>(Table6[[#This Row],[Paired WTG Generation for loss calculation]]/24)*Table6[[#This Row],[Breakdown Time]]</f>
        <v>169.63055555555496</v>
      </c>
      <c r="AB1233" s="102"/>
      <c r="AC1233" s="35"/>
      <c r="AD1233" s="35"/>
    </row>
    <row r="1234" spans="1:30">
      <c r="A1234" s="102">
        <f t="shared" si="20"/>
        <v>1233</v>
      </c>
      <c r="B1234" s="257">
        <f>YEAR(Table6[[#This Row],[Date]])+IF(MONTH(Table6[[#This Row],[Date]])&gt;=4,1,0)</f>
        <v>2026</v>
      </c>
      <c r="C1234" s="102">
        <f>YEAR(Table6[[#This Row],[Date]])</f>
        <v>2025</v>
      </c>
      <c r="D1234" s="102" t="s">
        <v>265</v>
      </c>
      <c r="E1234" s="258">
        <f>Table6[[#This Row],[Date]]-DAY(Table6[[#This Row],[Date]])+1</f>
        <v>45809</v>
      </c>
      <c r="F1234" s="259">
        <v>45827</v>
      </c>
      <c r="G1234" s="35" t="s">
        <v>131</v>
      </c>
      <c r="H1234" s="35" t="str">
        <f>IFERROR(_xlfn.XLOOKUP(Table6[[#This Row],[Affected WTG]],'Basic Data'!$A:$A,'Basic Data'!$B:$B),"")</f>
        <v>TQGXIIPL</v>
      </c>
      <c r="I1234" s="35" t="str">
        <f>IFERROR(_xlfn.XLOOKUP(Table6[[#This Row],[Affected WTG]],'Basic Data'!$A:$A,'Basic Data'!$C:$C),"")</f>
        <v>GEDA</v>
      </c>
      <c r="J1234" s="260">
        <f>IFERROR(_xlfn.XLOOKUP(Table6[[#This Row],[Affected WTG]],'Basic Data'!$A:$A,'Basic Data'!$E:$E),"")</f>
        <v>3.846153846153845E-2</v>
      </c>
      <c r="K1234" s="102">
        <v>3110</v>
      </c>
      <c r="L1234" s="35" t="str">
        <f>IFERROR(_xlfn.XLOOKUP(Table6[[#This Row],[Error Code]],'Basic Data'!$AA:$AA,'Basic Data'!$AB:$AB),"Incorrect Error Code")</f>
        <v>Frequency converter error</v>
      </c>
      <c r="M1234" s="35" t="s">
        <v>266</v>
      </c>
      <c r="N1234" s="264"/>
      <c r="O1234" s="265">
        <v>0.18263888888888888</v>
      </c>
      <c r="P1234" s="265">
        <v>0.18263888888888888</v>
      </c>
      <c r="Q1234" s="266">
        <v>0.18472222222222223</v>
      </c>
      <c r="R1234" s="261">
        <f>IF(Table6[[#This Row],[Work Start TimeStamp]]="","",(Table6[[#This Row],[Work Start TimeStamp]]-Table6[[#This Row],[Fault Start TimeStamp]])*24)</f>
        <v>0</v>
      </c>
      <c r="S1234" s="261">
        <f>(Table6[[#This Row],[Fault Clearance time]]-Table6[[#This Row],[Work Start TimeStamp]])*24</f>
        <v>5.0000000000000488E-2</v>
      </c>
      <c r="T1234" s="261">
        <f>(Table6[[#This Row],[Fault Clearance time]]-Table6[[#This Row],[Fault Start TimeStamp]])*24</f>
        <v>5.0000000000000488E-2</v>
      </c>
      <c r="U1234" s="35" t="s">
        <v>538</v>
      </c>
      <c r="V1234" s="102" t="s">
        <v>268</v>
      </c>
      <c r="W1234" s="267">
        <f>IFERROR(Table6[[#This Row],[Breakdown Time]]*Table6[[#This Row],[Plant Equivalent Weightage]],"")</f>
        <v>1.9230769230769412E-3</v>
      </c>
      <c r="X1234" s="262" t="s">
        <v>269</v>
      </c>
      <c r="Y1234" s="263" t="s">
        <v>136</v>
      </c>
      <c r="Z1234" s="102">
        <v>61067</v>
      </c>
      <c r="AA1234" s="257">
        <f>(Table6[[#This Row],[Paired WTG Generation for loss calculation]]/24)*Table6[[#This Row],[Breakdown Time]]</f>
        <v>127.22291666666791</v>
      </c>
      <c r="AB1234" s="102"/>
      <c r="AC1234" s="35"/>
      <c r="AD1234" s="35"/>
    </row>
    <row r="1235" spans="1:30">
      <c r="A1235" s="102">
        <f t="shared" si="20"/>
        <v>1234</v>
      </c>
      <c r="B1235" s="257">
        <f>YEAR(Table6[[#This Row],[Date]])+IF(MONTH(Table6[[#This Row],[Date]])&gt;=4,1,0)</f>
        <v>2026</v>
      </c>
      <c r="C1235" s="102">
        <f>YEAR(Table6[[#This Row],[Date]])</f>
        <v>2025</v>
      </c>
      <c r="D1235" s="102" t="s">
        <v>265</v>
      </c>
      <c r="E1235" s="258">
        <f>Table6[[#This Row],[Date]]-DAY(Table6[[#This Row],[Date]])+1</f>
        <v>45809</v>
      </c>
      <c r="F1235" s="259">
        <v>45827</v>
      </c>
      <c r="G1235" s="35" t="s">
        <v>131</v>
      </c>
      <c r="H1235" s="35" t="str">
        <f>IFERROR(_xlfn.XLOOKUP(Table6[[#This Row],[Affected WTG]],'Basic Data'!$A:$A,'Basic Data'!$B:$B),"")</f>
        <v>TQGXIIPL</v>
      </c>
      <c r="I1235" s="35" t="str">
        <f>IFERROR(_xlfn.XLOOKUP(Table6[[#This Row],[Affected WTG]],'Basic Data'!$A:$A,'Basic Data'!$C:$C),"")</f>
        <v>GEDA</v>
      </c>
      <c r="J1235" s="260">
        <f>IFERROR(_xlfn.XLOOKUP(Table6[[#This Row],[Affected WTG]],'Basic Data'!$A:$A,'Basic Data'!$E:$E),"")</f>
        <v>3.846153846153845E-2</v>
      </c>
      <c r="K1235" s="102">
        <v>3110</v>
      </c>
      <c r="L1235" s="35" t="str">
        <f>IFERROR(_xlfn.XLOOKUP(Table6[[#This Row],[Error Code]],'Basic Data'!$AA:$AA,'Basic Data'!$AB:$AB),"Incorrect Error Code")</f>
        <v>Frequency converter error</v>
      </c>
      <c r="M1235" s="35" t="s">
        <v>266</v>
      </c>
      <c r="N1235" s="264"/>
      <c r="O1235" s="265">
        <v>0.24236111111111111</v>
      </c>
      <c r="P1235" s="265">
        <v>0.24236111111111111</v>
      </c>
      <c r="Q1235" s="266">
        <v>0.24444444444444444</v>
      </c>
      <c r="R1235" s="261">
        <f>IF(Table6[[#This Row],[Work Start TimeStamp]]="","",(Table6[[#This Row],[Work Start TimeStamp]]-Table6[[#This Row],[Fault Start TimeStamp]])*24)</f>
        <v>0</v>
      </c>
      <c r="S1235" s="261">
        <f>(Table6[[#This Row],[Fault Clearance time]]-Table6[[#This Row],[Work Start TimeStamp]])*24</f>
        <v>4.9999999999999822E-2</v>
      </c>
      <c r="T1235" s="261">
        <f>(Table6[[#This Row],[Fault Clearance time]]-Table6[[#This Row],[Fault Start TimeStamp]])*24</f>
        <v>4.9999999999999822E-2</v>
      </c>
      <c r="U1235" s="35" t="s">
        <v>533</v>
      </c>
      <c r="V1235" s="102" t="s">
        <v>268</v>
      </c>
      <c r="W1235" s="267">
        <f>IFERROR(Table6[[#This Row],[Breakdown Time]]*Table6[[#This Row],[Plant Equivalent Weightage]],"")</f>
        <v>1.9230769230769156E-3</v>
      </c>
      <c r="X1235" s="262" t="s">
        <v>269</v>
      </c>
      <c r="Y1235" s="263" t="s">
        <v>136</v>
      </c>
      <c r="Z1235" s="102">
        <v>61067</v>
      </c>
      <c r="AA1235" s="257">
        <f>(Table6[[#This Row],[Paired WTG Generation for loss calculation]]/24)*Table6[[#This Row],[Breakdown Time]]</f>
        <v>127.22291666666622</v>
      </c>
      <c r="AB1235" s="102"/>
      <c r="AC1235" s="35"/>
      <c r="AD1235" s="35"/>
    </row>
    <row r="1236" spans="1:30">
      <c r="A1236" s="102">
        <f t="shared" si="20"/>
        <v>1235</v>
      </c>
      <c r="B1236" s="257">
        <f>YEAR(Table6[[#This Row],[Date]])+IF(MONTH(Table6[[#This Row],[Date]])&gt;=4,1,0)</f>
        <v>2026</v>
      </c>
      <c r="C1236" s="102">
        <f>YEAR(Table6[[#This Row],[Date]])</f>
        <v>2025</v>
      </c>
      <c r="D1236" s="102" t="s">
        <v>265</v>
      </c>
      <c r="E1236" s="258">
        <f>Table6[[#This Row],[Date]]-DAY(Table6[[#This Row],[Date]])+1</f>
        <v>45809</v>
      </c>
      <c r="F1236" s="259">
        <v>45827</v>
      </c>
      <c r="G1236" s="35" t="s">
        <v>131</v>
      </c>
      <c r="H1236" s="35" t="str">
        <f>IFERROR(_xlfn.XLOOKUP(Table6[[#This Row],[Affected WTG]],'Basic Data'!$A:$A,'Basic Data'!$B:$B),"")</f>
        <v>TQGXIIPL</v>
      </c>
      <c r="I1236" s="35" t="str">
        <f>IFERROR(_xlfn.XLOOKUP(Table6[[#This Row],[Affected WTG]],'Basic Data'!$A:$A,'Basic Data'!$C:$C),"")</f>
        <v>GEDA</v>
      </c>
      <c r="J1236" s="260">
        <f>IFERROR(_xlfn.XLOOKUP(Table6[[#This Row],[Affected WTG]],'Basic Data'!$A:$A,'Basic Data'!$E:$E),"")</f>
        <v>3.846153846153845E-2</v>
      </c>
      <c r="K1236" s="102">
        <v>3110</v>
      </c>
      <c r="L1236" s="35" t="str">
        <f>IFERROR(_xlfn.XLOOKUP(Table6[[#This Row],[Error Code]],'Basic Data'!$AA:$AA,'Basic Data'!$AB:$AB),"Incorrect Error Code")</f>
        <v>Frequency converter error</v>
      </c>
      <c r="M1236" s="35" t="s">
        <v>266</v>
      </c>
      <c r="N1236" s="264"/>
      <c r="O1236" s="265">
        <v>0.26527777777777778</v>
      </c>
      <c r="P1236" s="265">
        <v>0.26527777777777778</v>
      </c>
      <c r="Q1236" s="266">
        <v>0.2673611111111111</v>
      </c>
      <c r="R1236" s="261">
        <f>IF(Table6[[#This Row],[Work Start TimeStamp]]="","",(Table6[[#This Row],[Work Start TimeStamp]]-Table6[[#This Row],[Fault Start TimeStamp]])*24)</f>
        <v>0</v>
      </c>
      <c r="S1236" s="261">
        <f>(Table6[[#This Row],[Fault Clearance time]]-Table6[[#This Row],[Work Start TimeStamp]])*24</f>
        <v>4.9999999999999822E-2</v>
      </c>
      <c r="T1236" s="261">
        <f>(Table6[[#This Row],[Fault Clearance time]]-Table6[[#This Row],[Fault Start TimeStamp]])*24</f>
        <v>4.9999999999999822E-2</v>
      </c>
      <c r="U1236" s="35" t="s">
        <v>534</v>
      </c>
      <c r="V1236" s="102" t="s">
        <v>268</v>
      </c>
      <c r="W1236" s="267">
        <f>IFERROR(Table6[[#This Row],[Breakdown Time]]*Table6[[#This Row],[Plant Equivalent Weightage]],"")</f>
        <v>1.9230769230769156E-3</v>
      </c>
      <c r="X1236" s="262" t="s">
        <v>269</v>
      </c>
      <c r="Y1236" s="263" t="s">
        <v>136</v>
      </c>
      <c r="Z1236" s="102">
        <v>61067</v>
      </c>
      <c r="AA1236" s="257">
        <f>(Table6[[#This Row],[Paired WTG Generation for loss calculation]]/24)*Table6[[#This Row],[Breakdown Time]]</f>
        <v>127.22291666666622</v>
      </c>
      <c r="AB1236" s="102"/>
      <c r="AC1236" s="35"/>
      <c r="AD1236" s="35"/>
    </row>
    <row r="1237" spans="1:30">
      <c r="A1237" s="102">
        <f t="shared" si="20"/>
        <v>1236</v>
      </c>
      <c r="B1237" s="257">
        <f>YEAR(Table6[[#This Row],[Date]])+IF(MONTH(Table6[[#This Row],[Date]])&gt;=4,1,0)</f>
        <v>2026</v>
      </c>
      <c r="C1237" s="102">
        <f>YEAR(Table6[[#This Row],[Date]])</f>
        <v>2025</v>
      </c>
      <c r="D1237" s="102" t="s">
        <v>265</v>
      </c>
      <c r="E1237" s="258">
        <f>Table6[[#This Row],[Date]]-DAY(Table6[[#This Row],[Date]])+1</f>
        <v>45809</v>
      </c>
      <c r="F1237" s="259">
        <v>45827</v>
      </c>
      <c r="G1237" s="35" t="s">
        <v>131</v>
      </c>
      <c r="H1237" s="35" t="str">
        <f>IFERROR(_xlfn.XLOOKUP(Table6[[#This Row],[Affected WTG]],'Basic Data'!$A:$A,'Basic Data'!$B:$B),"")</f>
        <v>TQGXIIPL</v>
      </c>
      <c r="I1237" s="35" t="str">
        <f>IFERROR(_xlfn.XLOOKUP(Table6[[#This Row],[Affected WTG]],'Basic Data'!$A:$A,'Basic Data'!$C:$C),"")</f>
        <v>GEDA</v>
      </c>
      <c r="J1237" s="260">
        <f>IFERROR(_xlfn.XLOOKUP(Table6[[#This Row],[Affected WTG]],'Basic Data'!$A:$A,'Basic Data'!$E:$E),"")</f>
        <v>3.846153846153845E-2</v>
      </c>
      <c r="K1237" s="102">
        <v>3110</v>
      </c>
      <c r="L1237" s="35" t="str">
        <f>IFERROR(_xlfn.XLOOKUP(Table6[[#This Row],[Error Code]],'Basic Data'!$AA:$AA,'Basic Data'!$AB:$AB),"Incorrect Error Code")</f>
        <v>Frequency converter error</v>
      </c>
      <c r="M1237" s="35" t="s">
        <v>266</v>
      </c>
      <c r="N1237" s="264"/>
      <c r="O1237" s="265">
        <v>0.53611111111111109</v>
      </c>
      <c r="P1237" s="265">
        <v>0.53611111111111109</v>
      </c>
      <c r="Q1237" s="266">
        <v>0.53819444444444442</v>
      </c>
      <c r="R1237" s="261">
        <f>IF(Table6[[#This Row],[Work Start TimeStamp]]="","",(Table6[[#This Row],[Work Start TimeStamp]]-Table6[[#This Row],[Fault Start TimeStamp]])*24)</f>
        <v>0</v>
      </c>
      <c r="S1237" s="261">
        <f>(Table6[[#This Row],[Fault Clearance time]]-Table6[[#This Row],[Work Start TimeStamp]])*24</f>
        <v>4.9999999999999822E-2</v>
      </c>
      <c r="T1237" s="261">
        <f>(Table6[[#This Row],[Fault Clearance time]]-Table6[[#This Row],[Fault Start TimeStamp]])*24</f>
        <v>4.9999999999999822E-2</v>
      </c>
      <c r="U1237" s="35" t="s">
        <v>538</v>
      </c>
      <c r="V1237" s="102" t="s">
        <v>268</v>
      </c>
      <c r="W1237" s="267">
        <f>IFERROR(Table6[[#This Row],[Breakdown Time]]*Table6[[#This Row],[Plant Equivalent Weightage]],"")</f>
        <v>1.9230769230769156E-3</v>
      </c>
      <c r="X1237" s="262" t="s">
        <v>269</v>
      </c>
      <c r="Y1237" s="263" t="s">
        <v>136</v>
      </c>
      <c r="Z1237" s="102">
        <v>61067</v>
      </c>
      <c r="AA1237" s="257">
        <f>(Table6[[#This Row],[Paired WTG Generation for loss calculation]]/24)*Table6[[#This Row],[Breakdown Time]]</f>
        <v>127.22291666666622</v>
      </c>
      <c r="AB1237" s="102"/>
      <c r="AC1237" s="35"/>
      <c r="AD1237" s="35"/>
    </row>
    <row r="1238" spans="1:30">
      <c r="A1238" s="102">
        <f t="shared" si="20"/>
        <v>1237</v>
      </c>
      <c r="B1238" s="257">
        <f>YEAR(Table6[[#This Row],[Date]])+IF(MONTH(Table6[[#This Row],[Date]])&gt;=4,1,0)</f>
        <v>2026</v>
      </c>
      <c r="C1238" s="102">
        <f>YEAR(Table6[[#This Row],[Date]])</f>
        <v>2025</v>
      </c>
      <c r="D1238" s="102" t="s">
        <v>265</v>
      </c>
      <c r="E1238" s="258">
        <f>Table6[[#This Row],[Date]]-DAY(Table6[[#This Row],[Date]])+1</f>
        <v>45809</v>
      </c>
      <c r="F1238" s="259">
        <v>45827</v>
      </c>
      <c r="G1238" s="35" t="s">
        <v>131</v>
      </c>
      <c r="H1238" s="35" t="str">
        <f>IFERROR(_xlfn.XLOOKUP(Table6[[#This Row],[Affected WTG]],'Basic Data'!$A:$A,'Basic Data'!$B:$B),"")</f>
        <v>TQGXIIPL</v>
      </c>
      <c r="I1238" s="35" t="str">
        <f>IFERROR(_xlfn.XLOOKUP(Table6[[#This Row],[Affected WTG]],'Basic Data'!$A:$A,'Basic Data'!$C:$C),"")</f>
        <v>GEDA</v>
      </c>
      <c r="J1238" s="260">
        <f>IFERROR(_xlfn.XLOOKUP(Table6[[#This Row],[Affected WTG]],'Basic Data'!$A:$A,'Basic Data'!$E:$E),"")</f>
        <v>3.846153846153845E-2</v>
      </c>
      <c r="K1238" s="102">
        <v>3110</v>
      </c>
      <c r="L1238" s="35" t="str">
        <f>IFERROR(_xlfn.XLOOKUP(Table6[[#This Row],[Error Code]],'Basic Data'!$AA:$AA,'Basic Data'!$AB:$AB),"Incorrect Error Code")</f>
        <v>Frequency converter error</v>
      </c>
      <c r="M1238" s="35" t="s">
        <v>266</v>
      </c>
      <c r="N1238" s="264"/>
      <c r="O1238" s="265">
        <v>0.55625000000000002</v>
      </c>
      <c r="P1238" s="265">
        <v>0.55625000000000002</v>
      </c>
      <c r="Q1238" s="266">
        <v>0.55902777777777779</v>
      </c>
      <c r="R1238" s="261">
        <f>IF(Table6[[#This Row],[Work Start TimeStamp]]="","",(Table6[[#This Row],[Work Start TimeStamp]]-Table6[[#This Row],[Fault Start TimeStamp]])*24)</f>
        <v>0</v>
      </c>
      <c r="S1238" s="261">
        <f>(Table6[[#This Row],[Fault Clearance time]]-Table6[[#This Row],[Work Start TimeStamp]])*24</f>
        <v>6.666666666666643E-2</v>
      </c>
      <c r="T1238" s="261">
        <f>(Table6[[#This Row],[Fault Clearance time]]-Table6[[#This Row],[Fault Start TimeStamp]])*24</f>
        <v>6.666666666666643E-2</v>
      </c>
      <c r="U1238" s="35" t="s">
        <v>539</v>
      </c>
      <c r="V1238" s="102" t="s">
        <v>268</v>
      </c>
      <c r="W1238" s="267">
        <f>IFERROR(Table6[[#This Row],[Breakdown Time]]*Table6[[#This Row],[Plant Equivalent Weightage]],"")</f>
        <v>2.5641025641025541E-3</v>
      </c>
      <c r="X1238" s="262" t="s">
        <v>269</v>
      </c>
      <c r="Y1238" s="263" t="s">
        <v>136</v>
      </c>
      <c r="Z1238" s="102">
        <v>61067</v>
      </c>
      <c r="AA1238" s="257">
        <f>(Table6[[#This Row],[Paired WTG Generation for loss calculation]]/24)*Table6[[#This Row],[Breakdown Time]]</f>
        <v>169.63055555555496</v>
      </c>
      <c r="AB1238" s="102"/>
      <c r="AC1238" s="35"/>
      <c r="AD1238" s="35"/>
    </row>
    <row r="1239" spans="1:30">
      <c r="A1239" s="102">
        <f t="shared" si="20"/>
        <v>1238</v>
      </c>
      <c r="B1239" s="257">
        <f>YEAR(Table6[[#This Row],[Date]])+IF(MONTH(Table6[[#This Row],[Date]])&gt;=4,1,0)</f>
        <v>2026</v>
      </c>
      <c r="C1239" s="102">
        <f>YEAR(Table6[[#This Row],[Date]])</f>
        <v>2025</v>
      </c>
      <c r="D1239" s="102" t="s">
        <v>265</v>
      </c>
      <c r="E1239" s="258">
        <f>Table6[[#This Row],[Date]]-DAY(Table6[[#This Row],[Date]])+1</f>
        <v>45809</v>
      </c>
      <c r="F1239" s="259">
        <v>45827</v>
      </c>
      <c r="G1239" s="35" t="s">
        <v>131</v>
      </c>
      <c r="H1239" s="35" t="str">
        <f>IFERROR(_xlfn.XLOOKUP(Table6[[#This Row],[Affected WTG]],'Basic Data'!$A:$A,'Basic Data'!$B:$B),"")</f>
        <v>TQGXIIPL</v>
      </c>
      <c r="I1239" s="35" t="str">
        <f>IFERROR(_xlfn.XLOOKUP(Table6[[#This Row],[Affected WTG]],'Basic Data'!$A:$A,'Basic Data'!$C:$C),"")</f>
        <v>GEDA</v>
      </c>
      <c r="J1239" s="260">
        <f>IFERROR(_xlfn.XLOOKUP(Table6[[#This Row],[Affected WTG]],'Basic Data'!$A:$A,'Basic Data'!$E:$E),"")</f>
        <v>3.846153846153845E-2</v>
      </c>
      <c r="K1239" s="102">
        <v>3110</v>
      </c>
      <c r="L1239" s="35" t="str">
        <f>IFERROR(_xlfn.XLOOKUP(Table6[[#This Row],[Error Code]],'Basic Data'!$AA:$AA,'Basic Data'!$AB:$AB),"Incorrect Error Code")</f>
        <v>Frequency converter error</v>
      </c>
      <c r="M1239" s="35" t="s">
        <v>266</v>
      </c>
      <c r="N1239" s="264"/>
      <c r="O1239" s="265">
        <v>0.57986111111111116</v>
      </c>
      <c r="P1239" s="265">
        <v>0.57986111111111116</v>
      </c>
      <c r="Q1239" s="266">
        <v>0.58194444444444449</v>
      </c>
      <c r="R1239" s="261">
        <f>IF(Table6[[#This Row],[Work Start TimeStamp]]="","",(Table6[[#This Row],[Work Start TimeStamp]]-Table6[[#This Row],[Fault Start TimeStamp]])*24)</f>
        <v>0</v>
      </c>
      <c r="S1239" s="261">
        <f>(Table6[[#This Row],[Fault Clearance time]]-Table6[[#This Row],[Work Start TimeStamp]])*24</f>
        <v>4.9999999999999822E-2</v>
      </c>
      <c r="T1239" s="261">
        <f>(Table6[[#This Row],[Fault Clearance time]]-Table6[[#This Row],[Fault Start TimeStamp]])*24</f>
        <v>4.9999999999999822E-2</v>
      </c>
      <c r="U1239" s="35" t="s">
        <v>538</v>
      </c>
      <c r="V1239" s="102" t="s">
        <v>268</v>
      </c>
      <c r="W1239" s="267">
        <f>IFERROR(Table6[[#This Row],[Breakdown Time]]*Table6[[#This Row],[Plant Equivalent Weightage]],"")</f>
        <v>1.9230769230769156E-3</v>
      </c>
      <c r="X1239" s="262" t="s">
        <v>269</v>
      </c>
      <c r="Y1239" s="263" t="s">
        <v>136</v>
      </c>
      <c r="Z1239" s="102">
        <v>61067</v>
      </c>
      <c r="AA1239" s="257">
        <f>(Table6[[#This Row],[Paired WTG Generation for loss calculation]]/24)*Table6[[#This Row],[Breakdown Time]]</f>
        <v>127.22291666666622</v>
      </c>
      <c r="AB1239" s="102"/>
      <c r="AC1239" s="35"/>
      <c r="AD1239" s="35"/>
    </row>
    <row r="1240" spans="1:30">
      <c r="A1240" s="102">
        <f t="shared" si="20"/>
        <v>1239</v>
      </c>
      <c r="B1240" s="257">
        <f>YEAR(Table6[[#This Row],[Date]])+IF(MONTH(Table6[[#This Row],[Date]])&gt;=4,1,0)</f>
        <v>2026</v>
      </c>
      <c r="C1240" s="102">
        <f>YEAR(Table6[[#This Row],[Date]])</f>
        <v>2025</v>
      </c>
      <c r="D1240" s="102" t="s">
        <v>265</v>
      </c>
      <c r="E1240" s="258">
        <f>Table6[[#This Row],[Date]]-DAY(Table6[[#This Row],[Date]])+1</f>
        <v>45809</v>
      </c>
      <c r="F1240" s="259">
        <v>45827</v>
      </c>
      <c r="G1240" s="35" t="s">
        <v>134</v>
      </c>
      <c r="H1240" s="35" t="str">
        <f>IFERROR(_xlfn.XLOOKUP(Table6[[#This Row],[Affected WTG]],'Basic Data'!$A:$A,'Basic Data'!$B:$B),"")</f>
        <v>TQGXIIPL</v>
      </c>
      <c r="I1240" s="35" t="str">
        <f>IFERROR(_xlfn.XLOOKUP(Table6[[#This Row],[Affected WTG]],'Basic Data'!$A:$A,'Basic Data'!$C:$C),"")</f>
        <v>GEDA</v>
      </c>
      <c r="J1240" s="260">
        <f>IFERROR(_xlfn.XLOOKUP(Table6[[#This Row],[Affected WTG]],'Basic Data'!$A:$A,'Basic Data'!$E:$E),"")</f>
        <v>3.846153846153845E-2</v>
      </c>
      <c r="K1240" s="102">
        <v>6130</v>
      </c>
      <c r="L1240" s="35" t="str">
        <f>IFERROR(_xlfn.XLOOKUP(Table6[[#This Row],[Error Code]],'Basic Data'!$AA:$AA,'Basic Data'!$AB:$AB),"Incorrect Error Code")</f>
        <v>Yaw speed high</v>
      </c>
      <c r="M1240" s="35" t="s">
        <v>266</v>
      </c>
      <c r="N1240" s="264"/>
      <c r="O1240" s="265">
        <v>0.58888888888888891</v>
      </c>
      <c r="P1240" s="265">
        <v>0.58888888888888891</v>
      </c>
      <c r="Q1240" s="266">
        <v>0.59166666666666667</v>
      </c>
      <c r="R1240" s="261">
        <f>IF(Table6[[#This Row],[Work Start TimeStamp]]="","",(Table6[[#This Row],[Work Start TimeStamp]]-Table6[[#This Row],[Fault Start TimeStamp]])*24)</f>
        <v>0</v>
      </c>
      <c r="S1240" s="261">
        <f>(Table6[[#This Row],[Fault Clearance time]]-Table6[[#This Row],[Work Start TimeStamp]])*24</f>
        <v>6.666666666666643E-2</v>
      </c>
      <c r="T1240" s="261">
        <f>(Table6[[#This Row],[Fault Clearance time]]-Table6[[#This Row],[Fault Start TimeStamp]])*24</f>
        <v>6.666666666666643E-2</v>
      </c>
      <c r="U1240" s="35" t="s">
        <v>483</v>
      </c>
      <c r="V1240" s="102" t="s">
        <v>268</v>
      </c>
      <c r="W1240" s="267">
        <f>IFERROR(Table6[[#This Row],[Breakdown Time]]*Table6[[#This Row],[Plant Equivalent Weightage]],"")</f>
        <v>2.5641025641025541E-3</v>
      </c>
      <c r="X1240" s="262" t="s">
        <v>269</v>
      </c>
      <c r="Y1240" s="263" t="s">
        <v>138</v>
      </c>
      <c r="Z1240" s="102">
        <v>63198</v>
      </c>
      <c r="AA1240" s="257">
        <f>(Table6[[#This Row],[Paired WTG Generation for loss calculation]]/24)*Table6[[#This Row],[Breakdown Time]]</f>
        <v>175.54999999999939</v>
      </c>
      <c r="AB1240" s="102"/>
      <c r="AC1240" s="35"/>
      <c r="AD1240" s="35"/>
    </row>
    <row r="1241" spans="1:30">
      <c r="A1241" s="102">
        <f t="shared" si="20"/>
        <v>1240</v>
      </c>
      <c r="B1241" s="257">
        <f>YEAR(Table6[[#This Row],[Date]])+IF(MONTH(Table6[[#This Row],[Date]])&gt;=4,1,0)</f>
        <v>2026</v>
      </c>
      <c r="C1241" s="102">
        <f>YEAR(Table6[[#This Row],[Date]])</f>
        <v>2025</v>
      </c>
      <c r="D1241" s="102" t="s">
        <v>265</v>
      </c>
      <c r="E1241" s="258">
        <f>Table6[[#This Row],[Date]]-DAY(Table6[[#This Row],[Date]])+1</f>
        <v>45809</v>
      </c>
      <c r="F1241" s="259">
        <v>45827</v>
      </c>
      <c r="G1241" s="35" t="s">
        <v>139</v>
      </c>
      <c r="H1241" s="35" t="str">
        <f>IFERROR(_xlfn.XLOOKUP(Table6[[#This Row],[Affected WTG]],'Basic Data'!$A:$A,'Basic Data'!$B:$B),"")</f>
        <v>TQGXIIPL</v>
      </c>
      <c r="I1241" s="35" t="str">
        <f>IFERROR(_xlfn.XLOOKUP(Table6[[#This Row],[Affected WTG]],'Basic Data'!$A:$A,'Basic Data'!$C:$C),"")</f>
        <v>GEDA</v>
      </c>
      <c r="J1241" s="260">
        <f>IFERROR(_xlfn.XLOOKUP(Table6[[#This Row],[Affected WTG]],'Basic Data'!$A:$A,'Basic Data'!$E:$E),"")</f>
        <v>3.846153846153845E-2</v>
      </c>
      <c r="K1241" s="102">
        <v>3110</v>
      </c>
      <c r="L1241" s="35" t="str">
        <f>IFERROR(_xlfn.XLOOKUP(Table6[[#This Row],[Error Code]],'Basic Data'!$AA:$AA,'Basic Data'!$AB:$AB),"Incorrect Error Code")</f>
        <v>Frequency converter error</v>
      </c>
      <c r="M1241" s="35" t="s">
        <v>266</v>
      </c>
      <c r="N1241" s="264"/>
      <c r="O1241" s="265">
        <v>0.16458333333333333</v>
      </c>
      <c r="P1241" s="265">
        <v>0.16458333333333333</v>
      </c>
      <c r="Q1241" s="266">
        <v>0.16875000000000001</v>
      </c>
      <c r="R1241" s="261">
        <f>IF(Table6[[#This Row],[Work Start TimeStamp]]="","",(Table6[[#This Row],[Work Start TimeStamp]]-Table6[[#This Row],[Fault Start TimeStamp]])*24)</f>
        <v>0</v>
      </c>
      <c r="S1241" s="261">
        <f>(Table6[[#This Row],[Fault Clearance time]]-Table6[[#This Row],[Work Start TimeStamp]])*24</f>
        <v>0.10000000000000031</v>
      </c>
      <c r="T1241" s="261">
        <f>(Table6[[#This Row],[Fault Clearance time]]-Table6[[#This Row],[Fault Start TimeStamp]])*24</f>
        <v>0.10000000000000031</v>
      </c>
      <c r="U1241" s="35" t="s">
        <v>483</v>
      </c>
      <c r="V1241" s="102" t="s">
        <v>268</v>
      </c>
      <c r="W1241" s="267">
        <f>IFERROR(Table6[[#This Row],[Breakdown Time]]*Table6[[#This Row],[Plant Equivalent Weightage]],"")</f>
        <v>3.8461538461538568E-3</v>
      </c>
      <c r="X1241" s="262" t="s">
        <v>269</v>
      </c>
      <c r="Y1241" s="263" t="s">
        <v>115</v>
      </c>
      <c r="Z1241" s="102">
        <v>60392</v>
      </c>
      <c r="AA1241" s="257">
        <f>(Table6[[#This Row],[Paired WTG Generation for loss calculation]]/24)*Table6[[#This Row],[Breakdown Time]]</f>
        <v>251.63333333333412</v>
      </c>
      <c r="AB1241" s="102"/>
      <c r="AC1241" s="35"/>
      <c r="AD1241" s="35"/>
    </row>
    <row r="1242" spans="1:30">
      <c r="A1242" s="102">
        <f t="shared" si="20"/>
        <v>1241</v>
      </c>
      <c r="B1242" s="257">
        <f>YEAR(Table6[[#This Row],[Date]])+IF(MONTH(Table6[[#This Row],[Date]])&gt;=4,1,0)</f>
        <v>2026</v>
      </c>
      <c r="C1242" s="102">
        <f>YEAR(Table6[[#This Row],[Date]])</f>
        <v>2025</v>
      </c>
      <c r="D1242" s="102" t="s">
        <v>265</v>
      </c>
      <c r="E1242" s="258">
        <f>Table6[[#This Row],[Date]]-DAY(Table6[[#This Row],[Date]])+1</f>
        <v>45809</v>
      </c>
      <c r="F1242" s="259">
        <v>45828</v>
      </c>
      <c r="G1242" s="35" t="s">
        <v>116</v>
      </c>
      <c r="H1242" s="35" t="str">
        <f>IFERROR(_xlfn.XLOOKUP(Table6[[#This Row],[Affected WTG]],'Basic Data'!$A:$A,'Basic Data'!$B:$B),"")</f>
        <v>TQGXIIPL</v>
      </c>
      <c r="I1242" s="35" t="str">
        <f>IFERROR(_xlfn.XLOOKUP(Table6[[#This Row],[Affected WTG]],'Basic Data'!$A:$A,'Basic Data'!$C:$C),"")</f>
        <v>GEDA</v>
      </c>
      <c r="J1242" s="260">
        <f>IFERROR(_xlfn.XLOOKUP(Table6[[#This Row],[Affected WTG]],'Basic Data'!$A:$A,'Basic Data'!$E:$E),"")</f>
        <v>3.846153846153845E-2</v>
      </c>
      <c r="K1242" s="102">
        <v>4960</v>
      </c>
      <c r="L1242" s="35" t="str">
        <f>IFERROR(_xlfn.XLOOKUP(Table6[[#This Row],[Error Code]],'Basic Data'!$AA:$AA,'Basic Data'!$AB:$AB),"Incorrect Error Code")</f>
        <v>Tower oscillation YF</v>
      </c>
      <c r="M1242" s="35" t="s">
        <v>266</v>
      </c>
      <c r="N1242" s="264"/>
      <c r="O1242" s="265">
        <v>0.51249999999999996</v>
      </c>
      <c r="P1242" s="265">
        <v>0.51249999999999996</v>
      </c>
      <c r="Q1242" s="266">
        <v>0.51527777777777772</v>
      </c>
      <c r="R1242" s="261">
        <f>IF(Table6[[#This Row],[Work Start TimeStamp]]="","",(Table6[[#This Row],[Work Start TimeStamp]]-Table6[[#This Row],[Fault Start TimeStamp]])*24)</f>
        <v>0</v>
      </c>
      <c r="S1242" s="261">
        <f>(Table6[[#This Row],[Fault Clearance time]]-Table6[[#This Row],[Work Start TimeStamp]])*24</f>
        <v>6.666666666666643E-2</v>
      </c>
      <c r="T1242" s="261">
        <f>(Table6[[#This Row],[Fault Clearance time]]-Table6[[#This Row],[Fault Start TimeStamp]])*24</f>
        <v>6.666666666666643E-2</v>
      </c>
      <c r="U1242" s="35" t="s">
        <v>483</v>
      </c>
      <c r="V1242" s="102" t="s">
        <v>268</v>
      </c>
      <c r="W1242" s="267">
        <f>IFERROR(Table6[[#This Row],[Breakdown Time]]*Table6[[#This Row],[Plant Equivalent Weightage]],"")</f>
        <v>2.5641025641025541E-3</v>
      </c>
      <c r="X1242" s="262" t="s">
        <v>269</v>
      </c>
      <c r="Y1242" s="263" t="s">
        <v>119</v>
      </c>
      <c r="Z1242" s="102">
        <v>54458</v>
      </c>
      <c r="AA1242" s="257">
        <f>(Table6[[#This Row],[Paired WTG Generation for loss calculation]]/24)*Table6[[#This Row],[Breakdown Time]]</f>
        <v>151.2722222222217</v>
      </c>
      <c r="AB1242" s="102"/>
      <c r="AC1242" s="35"/>
      <c r="AD1242" s="35"/>
    </row>
    <row r="1243" spans="1:30">
      <c r="A1243" s="102">
        <f t="shared" si="20"/>
        <v>1242</v>
      </c>
      <c r="B1243" s="257">
        <f>YEAR(Table6[[#This Row],[Date]])+IF(MONTH(Table6[[#This Row],[Date]])&gt;=4,1,0)</f>
        <v>2026</v>
      </c>
      <c r="C1243" s="102">
        <f>YEAR(Table6[[#This Row],[Date]])</f>
        <v>2025</v>
      </c>
      <c r="D1243" s="102" t="s">
        <v>265</v>
      </c>
      <c r="E1243" s="258">
        <f>Table6[[#This Row],[Date]]-DAY(Table6[[#This Row],[Date]])+1</f>
        <v>45809</v>
      </c>
      <c r="F1243" s="259">
        <v>45828</v>
      </c>
      <c r="G1243" s="35" t="s">
        <v>117</v>
      </c>
      <c r="H1243" s="35" t="str">
        <f>IFERROR(_xlfn.XLOOKUP(Table6[[#This Row],[Affected WTG]],'Basic Data'!$A:$A,'Basic Data'!$B:$B),"")</f>
        <v>TQGXIIPL</v>
      </c>
      <c r="I1243" s="35" t="str">
        <f>IFERROR(_xlfn.XLOOKUP(Table6[[#This Row],[Affected WTG]],'Basic Data'!$A:$A,'Basic Data'!$C:$C),"")</f>
        <v>GEDA</v>
      </c>
      <c r="J1243" s="260">
        <f>IFERROR(_xlfn.XLOOKUP(Table6[[#This Row],[Affected WTG]],'Basic Data'!$A:$A,'Basic Data'!$E:$E),"")</f>
        <v>3.846153846153845E-2</v>
      </c>
      <c r="K1243" s="102">
        <v>520</v>
      </c>
      <c r="L1243" s="35" t="str">
        <f>IFERROR(_xlfn.XLOOKUP(Table6[[#This Row],[Error Code]],'Basic Data'!$AA:$AA,'Basic Data'!$AB:$AB),"Incorrect Error Code")</f>
        <v>Overload axis 1</v>
      </c>
      <c r="M1243" s="35" t="s">
        <v>266</v>
      </c>
      <c r="N1243" s="264"/>
      <c r="O1243" s="265">
        <v>0.12986111111111112</v>
      </c>
      <c r="P1243" s="265">
        <v>0.12986111111111112</v>
      </c>
      <c r="Q1243" s="266">
        <v>0.1423611111111111</v>
      </c>
      <c r="R1243" s="261">
        <f>IF(Table6[[#This Row],[Work Start TimeStamp]]="","",(Table6[[#This Row],[Work Start TimeStamp]]-Table6[[#This Row],[Fault Start TimeStamp]])*24)</f>
        <v>0</v>
      </c>
      <c r="S1243" s="261">
        <f>(Table6[[#This Row],[Fault Clearance time]]-Table6[[#This Row],[Work Start TimeStamp]])*24</f>
        <v>0.2999999999999996</v>
      </c>
      <c r="T1243" s="261">
        <f>(Table6[[#This Row],[Fault Clearance time]]-Table6[[#This Row],[Fault Start TimeStamp]])*24</f>
        <v>0.2999999999999996</v>
      </c>
      <c r="U1243" s="35" t="s">
        <v>483</v>
      </c>
      <c r="V1243" s="102" t="s">
        <v>268</v>
      </c>
      <c r="W1243" s="267">
        <f>IFERROR(Table6[[#This Row],[Breakdown Time]]*Table6[[#This Row],[Plant Equivalent Weightage]],"")</f>
        <v>1.153846153846152E-2</v>
      </c>
      <c r="X1243" s="262" t="s">
        <v>269</v>
      </c>
      <c r="Y1243" s="263" t="s">
        <v>123</v>
      </c>
      <c r="Z1243" s="102">
        <v>55200</v>
      </c>
      <c r="AA1243" s="257">
        <f>(Table6[[#This Row],[Paired WTG Generation for loss calculation]]/24)*Table6[[#This Row],[Breakdown Time]]</f>
        <v>689.99999999999909</v>
      </c>
      <c r="AB1243" s="102"/>
      <c r="AC1243" s="35"/>
      <c r="AD1243" s="35"/>
    </row>
    <row r="1244" spans="1:30">
      <c r="A1244" s="102">
        <f t="shared" si="20"/>
        <v>1243</v>
      </c>
      <c r="B1244" s="257">
        <f>YEAR(Table6[[#This Row],[Date]])+IF(MONTH(Table6[[#This Row],[Date]])&gt;=4,1,0)</f>
        <v>2026</v>
      </c>
      <c r="C1244" s="102">
        <f>YEAR(Table6[[#This Row],[Date]])</f>
        <v>2025</v>
      </c>
      <c r="D1244" s="102" t="s">
        <v>265</v>
      </c>
      <c r="E1244" s="258">
        <f>Table6[[#This Row],[Date]]-DAY(Table6[[#This Row],[Date]])+1</f>
        <v>45809</v>
      </c>
      <c r="F1244" s="259">
        <v>45828</v>
      </c>
      <c r="G1244" s="35" t="s">
        <v>118</v>
      </c>
      <c r="H1244" s="35" t="str">
        <f>IFERROR(_xlfn.XLOOKUP(Table6[[#This Row],[Affected WTG]],'Basic Data'!$A:$A,'Basic Data'!$B:$B),"")</f>
        <v>TQGXIIPL</v>
      </c>
      <c r="I1244" s="35" t="str">
        <f>IFERROR(_xlfn.XLOOKUP(Table6[[#This Row],[Affected WTG]],'Basic Data'!$A:$A,'Basic Data'!$C:$C),"")</f>
        <v>GEDA</v>
      </c>
      <c r="J1244" s="260">
        <f>IFERROR(_xlfn.XLOOKUP(Table6[[#This Row],[Affected WTG]],'Basic Data'!$A:$A,'Basic Data'!$E:$E),"")</f>
        <v>3.846153846153845E-2</v>
      </c>
      <c r="K1244" s="102">
        <v>6130</v>
      </c>
      <c r="L1244" s="35" t="str">
        <f>IFERROR(_xlfn.XLOOKUP(Table6[[#This Row],[Error Code]],'Basic Data'!$AA:$AA,'Basic Data'!$AB:$AB),"Incorrect Error Code")</f>
        <v>Yaw speed high</v>
      </c>
      <c r="M1244" s="35" t="s">
        <v>278</v>
      </c>
      <c r="N1244" s="264"/>
      <c r="O1244" s="265">
        <v>0.43958333333333333</v>
      </c>
      <c r="P1244" s="265">
        <v>0.43958333333333333</v>
      </c>
      <c r="Q1244" s="266">
        <v>0.44027777777777777</v>
      </c>
      <c r="R1244" s="261">
        <f>IF(Table6[[#This Row],[Work Start TimeStamp]]="","",(Table6[[#This Row],[Work Start TimeStamp]]-Table6[[#This Row],[Fault Start TimeStamp]])*24)</f>
        <v>0</v>
      </c>
      <c r="S1244" s="261">
        <f>(Table6[[#This Row],[Fault Clearance time]]-Table6[[#This Row],[Work Start TimeStamp]])*24</f>
        <v>1.6666666666666607E-2</v>
      </c>
      <c r="T1244" s="261">
        <f>(Table6[[#This Row],[Fault Clearance time]]-Table6[[#This Row],[Fault Start TimeStamp]])*24</f>
        <v>1.6666666666666607E-2</v>
      </c>
      <c r="U1244" s="35" t="s">
        <v>277</v>
      </c>
      <c r="V1244" s="102" t="s">
        <v>268</v>
      </c>
      <c r="W1244" s="267">
        <f>IFERROR(Table6[[#This Row],[Breakdown Time]]*Table6[[#This Row],[Plant Equivalent Weightage]],"")</f>
        <v>6.4102564102563853E-4</v>
      </c>
      <c r="X1244" s="262" t="s">
        <v>269</v>
      </c>
      <c r="Y1244" s="263" t="s">
        <v>121</v>
      </c>
      <c r="Z1244" s="102">
        <v>26899</v>
      </c>
      <c r="AA1244" s="257">
        <f>(Table6[[#This Row],[Paired WTG Generation for loss calculation]]/24)*Table6[[#This Row],[Breakdown Time]]</f>
        <v>18.679861111111045</v>
      </c>
      <c r="AB1244" s="102"/>
      <c r="AC1244" s="35"/>
      <c r="AD1244" s="35"/>
    </row>
    <row r="1245" spans="1:30">
      <c r="A1245" s="102">
        <f t="shared" si="20"/>
        <v>1244</v>
      </c>
      <c r="B1245" s="257">
        <f>YEAR(Table6[[#This Row],[Date]])+IF(MONTH(Table6[[#This Row],[Date]])&gt;=4,1,0)</f>
        <v>2026</v>
      </c>
      <c r="C1245" s="102">
        <f>YEAR(Table6[[#This Row],[Date]])</f>
        <v>2025</v>
      </c>
      <c r="D1245" s="102" t="s">
        <v>265</v>
      </c>
      <c r="E1245" s="258">
        <f>Table6[[#This Row],[Date]]-DAY(Table6[[#This Row],[Date]])+1</f>
        <v>45809</v>
      </c>
      <c r="F1245" s="259">
        <v>45828</v>
      </c>
      <c r="G1245" s="35" t="s">
        <v>118</v>
      </c>
      <c r="H1245" s="35" t="str">
        <f>IFERROR(_xlfn.XLOOKUP(Table6[[#This Row],[Affected WTG]],'Basic Data'!$A:$A,'Basic Data'!$B:$B),"")</f>
        <v>TQGXIIPL</v>
      </c>
      <c r="I1245" s="35" t="str">
        <f>IFERROR(_xlfn.XLOOKUP(Table6[[#This Row],[Affected WTG]],'Basic Data'!$A:$A,'Basic Data'!$C:$C),"")</f>
        <v>GEDA</v>
      </c>
      <c r="J1245" s="260">
        <f>IFERROR(_xlfn.XLOOKUP(Table6[[#This Row],[Affected WTG]],'Basic Data'!$A:$A,'Basic Data'!$E:$E),"")</f>
        <v>3.846153846153845E-2</v>
      </c>
      <c r="K1245" s="102">
        <v>152</v>
      </c>
      <c r="L1245" s="35" t="str">
        <f>IFERROR(_xlfn.XLOOKUP(Table6[[#This Row],[Error Code]],'Basic Data'!$AA:$AA,'Basic Data'!$AB:$AB),"Incorrect Error Code")</f>
        <v>SLC app. not in SAFE mode</v>
      </c>
      <c r="M1245" s="35" t="s">
        <v>266</v>
      </c>
      <c r="N1245" s="264"/>
      <c r="O1245" s="265">
        <v>0.82638888888888884</v>
      </c>
      <c r="P1245" s="265">
        <v>0.82638888888888884</v>
      </c>
      <c r="Q1245" s="266">
        <v>0.85972222222222228</v>
      </c>
      <c r="R1245" s="261">
        <f>IF(Table6[[#This Row],[Work Start TimeStamp]]="","",(Table6[[#This Row],[Work Start TimeStamp]]-Table6[[#This Row],[Fault Start TimeStamp]])*24)</f>
        <v>0</v>
      </c>
      <c r="S1245" s="261">
        <f>(Table6[[#This Row],[Fault Clearance time]]-Table6[[#This Row],[Work Start TimeStamp]])*24</f>
        <v>0.80000000000000249</v>
      </c>
      <c r="T1245" s="261">
        <f>(Table6[[#This Row],[Fault Clearance time]]-Table6[[#This Row],[Fault Start TimeStamp]])*24</f>
        <v>0.80000000000000249</v>
      </c>
      <c r="U1245" s="35" t="s">
        <v>540</v>
      </c>
      <c r="V1245" s="102" t="s">
        <v>268</v>
      </c>
      <c r="W1245" s="267">
        <f>IFERROR(Table6[[#This Row],[Breakdown Time]]*Table6[[#This Row],[Plant Equivalent Weightage]],"")</f>
        <v>3.0769230769230854E-2</v>
      </c>
      <c r="X1245" s="262" t="s">
        <v>269</v>
      </c>
      <c r="Y1245" s="263" t="s">
        <v>121</v>
      </c>
      <c r="Z1245" s="102">
        <v>26899</v>
      </c>
      <c r="AA1245" s="257">
        <f>(Table6[[#This Row],[Paired WTG Generation for loss calculation]]/24)*Table6[[#This Row],[Breakdown Time]]</f>
        <v>896.63333333333617</v>
      </c>
      <c r="AB1245" s="102"/>
      <c r="AC1245" s="35"/>
      <c r="AD1245" s="35"/>
    </row>
    <row r="1246" spans="1:30">
      <c r="A1246" s="102">
        <f t="shared" si="20"/>
        <v>1245</v>
      </c>
      <c r="B1246" s="257">
        <f>YEAR(Table6[[#This Row],[Date]])+IF(MONTH(Table6[[#This Row],[Date]])&gt;=4,1,0)</f>
        <v>2026</v>
      </c>
      <c r="C1246" s="102">
        <f>YEAR(Table6[[#This Row],[Date]])</f>
        <v>2025</v>
      </c>
      <c r="D1246" s="102" t="s">
        <v>265</v>
      </c>
      <c r="E1246" s="258">
        <f>Table6[[#This Row],[Date]]-DAY(Table6[[#This Row],[Date]])+1</f>
        <v>45809</v>
      </c>
      <c r="F1246" s="259">
        <v>45828</v>
      </c>
      <c r="G1246" s="35" t="s">
        <v>118</v>
      </c>
      <c r="H1246" s="35" t="str">
        <f>IFERROR(_xlfn.XLOOKUP(Table6[[#This Row],[Affected WTG]],'Basic Data'!$A:$A,'Basic Data'!$B:$B),"")</f>
        <v>TQGXIIPL</v>
      </c>
      <c r="I1246" s="35" t="str">
        <f>IFERROR(_xlfn.XLOOKUP(Table6[[#This Row],[Affected WTG]],'Basic Data'!$A:$A,'Basic Data'!$C:$C),"")</f>
        <v>GEDA</v>
      </c>
      <c r="J1246" s="260">
        <f>IFERROR(_xlfn.XLOOKUP(Table6[[#This Row],[Affected WTG]],'Basic Data'!$A:$A,'Basic Data'!$E:$E),"")</f>
        <v>3.846153846153845E-2</v>
      </c>
      <c r="K1246" s="102">
        <v>6130</v>
      </c>
      <c r="L1246" s="35" t="str">
        <f>IFERROR(_xlfn.XLOOKUP(Table6[[#This Row],[Error Code]],'Basic Data'!$AA:$AA,'Basic Data'!$AB:$AB),"Incorrect Error Code")</f>
        <v>Yaw speed high</v>
      </c>
      <c r="M1246" s="35" t="s">
        <v>278</v>
      </c>
      <c r="N1246" s="264"/>
      <c r="O1246" s="265">
        <v>0.98611111111111116</v>
      </c>
      <c r="P1246" s="265">
        <v>0.98611111111111116</v>
      </c>
      <c r="Q1246" s="266">
        <v>0.99097222222222225</v>
      </c>
      <c r="R1246" s="261">
        <f>IF(Table6[[#This Row],[Work Start TimeStamp]]="","",(Table6[[#This Row],[Work Start TimeStamp]]-Table6[[#This Row],[Fault Start TimeStamp]])*24)</f>
        <v>0</v>
      </c>
      <c r="S1246" s="261">
        <f>(Table6[[#This Row],[Fault Clearance time]]-Table6[[#This Row],[Work Start TimeStamp]])*24</f>
        <v>0.11666666666666625</v>
      </c>
      <c r="T1246" s="261">
        <f>(Table6[[#This Row],[Fault Clearance time]]-Table6[[#This Row],[Fault Start TimeStamp]])*24</f>
        <v>0.11666666666666625</v>
      </c>
      <c r="U1246" s="35" t="s">
        <v>277</v>
      </c>
      <c r="V1246" s="102" t="s">
        <v>268</v>
      </c>
      <c r="W1246" s="267">
        <f>IFERROR(Table6[[#This Row],[Breakdown Time]]*Table6[[#This Row],[Plant Equivalent Weightage]],"")</f>
        <v>4.4871794871794695E-3</v>
      </c>
      <c r="X1246" s="262" t="s">
        <v>269</v>
      </c>
      <c r="Y1246" s="263" t="s">
        <v>121</v>
      </c>
      <c r="Z1246" s="102">
        <v>26899</v>
      </c>
      <c r="AA1246" s="257">
        <f>(Table6[[#This Row],[Paired WTG Generation for loss calculation]]/24)*Table6[[#This Row],[Breakdown Time]]</f>
        <v>130.75902777777733</v>
      </c>
      <c r="AB1246" s="102"/>
      <c r="AC1246" s="35"/>
      <c r="AD1246" s="35"/>
    </row>
    <row r="1247" spans="1:30">
      <c r="A1247" s="102">
        <f t="shared" si="20"/>
        <v>1246</v>
      </c>
      <c r="B1247" s="257">
        <f>YEAR(Table6[[#This Row],[Date]])+IF(MONTH(Table6[[#This Row],[Date]])&gt;=4,1,0)</f>
        <v>2026</v>
      </c>
      <c r="C1247" s="102">
        <f>YEAR(Table6[[#This Row],[Date]])</f>
        <v>2025</v>
      </c>
      <c r="D1247" s="102" t="s">
        <v>265</v>
      </c>
      <c r="E1247" s="258">
        <f>Table6[[#This Row],[Date]]-DAY(Table6[[#This Row],[Date]])+1</f>
        <v>45809</v>
      </c>
      <c r="F1247" s="259">
        <v>45828</v>
      </c>
      <c r="G1247" s="35" t="s">
        <v>120</v>
      </c>
      <c r="H1247" s="35" t="str">
        <f>IFERROR(_xlfn.XLOOKUP(Table6[[#This Row],[Affected WTG]],'Basic Data'!$A:$A,'Basic Data'!$B:$B),"")</f>
        <v>TQGXIIPL</v>
      </c>
      <c r="I1247" s="35" t="str">
        <f>IFERROR(_xlfn.XLOOKUP(Table6[[#This Row],[Affected WTG]],'Basic Data'!$A:$A,'Basic Data'!$C:$C),"")</f>
        <v>GEDA</v>
      </c>
      <c r="J1247" s="260">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266</v>
      </c>
      <c r="N1247" s="264"/>
      <c r="O1247" s="265">
        <v>0.82638888888888884</v>
      </c>
      <c r="P1247" s="265">
        <v>0.82638888888888884</v>
      </c>
      <c r="Q1247" s="266">
        <v>0.85833333333333328</v>
      </c>
      <c r="R1247" s="261">
        <f>IF(Table6[[#This Row],[Work Start TimeStamp]]="","",(Table6[[#This Row],[Work Start TimeStamp]]-Table6[[#This Row],[Fault Start TimeStamp]])*24)</f>
        <v>0</v>
      </c>
      <c r="S1247" s="261">
        <f>(Table6[[#This Row],[Fault Clearance time]]-Table6[[#This Row],[Work Start TimeStamp]])*24</f>
        <v>0.76666666666666661</v>
      </c>
      <c r="T1247" s="261">
        <f>(Table6[[#This Row],[Fault Clearance time]]-Table6[[#This Row],[Fault Start TimeStamp]])*24</f>
        <v>0.76666666666666661</v>
      </c>
      <c r="U1247" s="35" t="s">
        <v>541</v>
      </c>
      <c r="V1247" s="102" t="s">
        <v>268</v>
      </c>
      <c r="W1247" s="267">
        <f>IFERROR(Table6[[#This Row],[Breakdown Time]]*Table6[[#This Row],[Plant Equivalent Weightage]],"")</f>
        <v>2.9487179487179476E-2</v>
      </c>
      <c r="X1247" s="262" t="s">
        <v>269</v>
      </c>
      <c r="Y1247" s="263" t="s">
        <v>135</v>
      </c>
      <c r="Z1247" s="102">
        <v>26386</v>
      </c>
      <c r="AA1247" s="257">
        <f>(Table6[[#This Row],[Paired WTG Generation for loss calculation]]/24)*Table6[[#This Row],[Breakdown Time]]</f>
        <v>842.88611111111106</v>
      </c>
      <c r="AB1247" s="102"/>
      <c r="AC1247" s="35"/>
      <c r="AD1247" s="35"/>
    </row>
    <row r="1248" spans="1:30">
      <c r="A1248" s="102">
        <f t="shared" si="20"/>
        <v>1247</v>
      </c>
      <c r="B1248" s="257">
        <f>YEAR(Table6[[#This Row],[Date]])+IF(MONTH(Table6[[#This Row],[Date]])&gt;=4,1,0)</f>
        <v>2026</v>
      </c>
      <c r="C1248" s="102">
        <f>YEAR(Table6[[#This Row],[Date]])</f>
        <v>2025</v>
      </c>
      <c r="D1248" s="102" t="s">
        <v>265</v>
      </c>
      <c r="E1248" s="258">
        <f>Table6[[#This Row],[Date]]-DAY(Table6[[#This Row],[Date]])+1</f>
        <v>45809</v>
      </c>
      <c r="F1248" s="259">
        <v>45828</v>
      </c>
      <c r="G1248" s="35" t="s">
        <v>121</v>
      </c>
      <c r="H1248" s="35" t="str">
        <f>IFERROR(_xlfn.XLOOKUP(Table6[[#This Row],[Affected WTG]],'Basic Data'!$A:$A,'Basic Data'!$B:$B),"")</f>
        <v>TQGXIIPL</v>
      </c>
      <c r="I1248" s="35" t="str">
        <f>IFERROR(_xlfn.XLOOKUP(Table6[[#This Row],[Affected WTG]],'Basic Data'!$A:$A,'Basic Data'!$C:$C),"")</f>
        <v>GEDA</v>
      </c>
      <c r="J1248" s="260">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266</v>
      </c>
      <c r="N1248" s="264"/>
      <c r="O1248" s="265">
        <v>0.50486111111111109</v>
      </c>
      <c r="P1248" s="265">
        <v>0.50486111111111109</v>
      </c>
      <c r="Q1248" s="266">
        <v>0.50902777777777775</v>
      </c>
      <c r="R1248" s="261">
        <f>IF(Table6[[#This Row],[Work Start TimeStamp]]="","",(Table6[[#This Row],[Work Start TimeStamp]]-Table6[[#This Row],[Fault Start TimeStamp]])*24)</f>
        <v>0</v>
      </c>
      <c r="S1248" s="261">
        <f>(Table6[[#This Row],[Fault Clearance time]]-Table6[[#This Row],[Work Start TimeStamp]])*24</f>
        <v>9.9999999999999645E-2</v>
      </c>
      <c r="T1248" s="261">
        <f>(Table6[[#This Row],[Fault Clearance time]]-Table6[[#This Row],[Fault Start TimeStamp]])*24</f>
        <v>9.9999999999999645E-2</v>
      </c>
      <c r="U1248" s="35" t="s">
        <v>483</v>
      </c>
      <c r="V1248" s="102" t="s">
        <v>268</v>
      </c>
      <c r="W1248" s="267">
        <f>IFERROR(Table6[[#This Row],[Breakdown Time]]*Table6[[#This Row],[Plant Equivalent Weightage]],"")</f>
        <v>3.8461538461538312E-3</v>
      </c>
      <c r="X1248" s="262" t="s">
        <v>269</v>
      </c>
      <c r="Y1248" s="263" t="s">
        <v>118</v>
      </c>
      <c r="Z1248" s="102">
        <v>28462</v>
      </c>
      <c r="AA1248" s="257">
        <f>(Table6[[#This Row],[Paired WTG Generation for loss calculation]]/24)*Table6[[#This Row],[Breakdown Time]]</f>
        <v>118.59166666666626</v>
      </c>
      <c r="AB1248" s="102"/>
      <c r="AC1248" s="35"/>
      <c r="AD1248" s="35"/>
    </row>
    <row r="1249" spans="1:30">
      <c r="A1249" s="102">
        <f t="shared" si="20"/>
        <v>1248</v>
      </c>
      <c r="B1249" s="257">
        <f>YEAR(Table6[[#This Row],[Date]])+IF(MONTH(Table6[[#This Row],[Date]])&gt;=4,1,0)</f>
        <v>2026</v>
      </c>
      <c r="C1249" s="102">
        <f>YEAR(Table6[[#This Row],[Date]])</f>
        <v>2025</v>
      </c>
      <c r="D1249" s="102" t="s">
        <v>265</v>
      </c>
      <c r="E1249" s="258">
        <f>Table6[[#This Row],[Date]]-DAY(Table6[[#This Row],[Date]])+1</f>
        <v>45809</v>
      </c>
      <c r="F1249" s="259">
        <v>45828</v>
      </c>
      <c r="G1249" s="35" t="s">
        <v>122</v>
      </c>
      <c r="H1249" s="35" t="str">
        <f>IFERROR(_xlfn.XLOOKUP(Table6[[#This Row],[Affected WTG]],'Basic Data'!$A:$A,'Basic Data'!$B:$B),"")</f>
        <v>TQGXIIPL</v>
      </c>
      <c r="I1249" s="35" t="str">
        <f>IFERROR(_xlfn.XLOOKUP(Table6[[#This Row],[Affected WTG]],'Basic Data'!$A:$A,'Basic Data'!$C:$C),"")</f>
        <v>GEDA</v>
      </c>
      <c r="J1249" s="260">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266</v>
      </c>
      <c r="N1249" s="264"/>
      <c r="O1249" s="265">
        <v>3.6805555555555557E-2</v>
      </c>
      <c r="P1249" s="265">
        <v>3.6805555555555557E-2</v>
      </c>
      <c r="Q1249" s="266">
        <v>3.888888888888889E-2</v>
      </c>
      <c r="R1249" s="261">
        <f>IF(Table6[[#This Row],[Work Start TimeStamp]]="","",(Table6[[#This Row],[Work Start TimeStamp]]-Table6[[#This Row],[Fault Start TimeStamp]])*24)</f>
        <v>0</v>
      </c>
      <c r="S1249" s="261">
        <f>(Table6[[#This Row],[Fault Clearance time]]-Table6[[#This Row],[Work Start TimeStamp]])*24</f>
        <v>4.9999999999999989E-2</v>
      </c>
      <c r="T1249" s="261">
        <f>(Table6[[#This Row],[Fault Clearance time]]-Table6[[#This Row],[Fault Start TimeStamp]])*24</f>
        <v>4.9999999999999989E-2</v>
      </c>
      <c r="U1249" s="35" t="s">
        <v>483</v>
      </c>
      <c r="V1249" s="102" t="s">
        <v>268</v>
      </c>
      <c r="W1249" s="267">
        <f>IFERROR(Table6[[#This Row],[Breakdown Time]]*Table6[[#This Row],[Plant Equivalent Weightage]],"")</f>
        <v>1.9230769230769221E-3</v>
      </c>
      <c r="X1249" s="262" t="s">
        <v>269</v>
      </c>
      <c r="Y1249" s="263" t="s">
        <v>140</v>
      </c>
      <c r="Z1249" s="102">
        <v>26295</v>
      </c>
      <c r="AA1249" s="257">
        <f>(Table6[[#This Row],[Paired WTG Generation for loss calculation]]/24)*Table6[[#This Row],[Breakdown Time]]</f>
        <v>54.781249999999986</v>
      </c>
      <c r="AB1249" s="102"/>
      <c r="AC1249" s="35"/>
      <c r="AD1249" s="35"/>
    </row>
    <row r="1250" spans="1:30">
      <c r="A1250" s="102">
        <f t="shared" si="20"/>
        <v>1249</v>
      </c>
      <c r="B1250" s="257">
        <f>YEAR(Table6[[#This Row],[Date]])+IF(MONTH(Table6[[#This Row],[Date]])&gt;=4,1,0)</f>
        <v>2026</v>
      </c>
      <c r="C1250" s="102">
        <f>YEAR(Table6[[#This Row],[Date]])</f>
        <v>2025</v>
      </c>
      <c r="D1250" s="102" t="s">
        <v>265</v>
      </c>
      <c r="E1250" s="258">
        <f>Table6[[#This Row],[Date]]-DAY(Table6[[#This Row],[Date]])+1</f>
        <v>45809</v>
      </c>
      <c r="F1250" s="259">
        <v>45828</v>
      </c>
      <c r="G1250" s="35" t="s">
        <v>122</v>
      </c>
      <c r="H1250" s="35" t="str">
        <f>IFERROR(_xlfn.XLOOKUP(Table6[[#This Row],[Affected WTG]],'Basic Data'!$A:$A,'Basic Data'!$B:$B),"")</f>
        <v>TQGXIIPL</v>
      </c>
      <c r="I1250" s="35" t="str">
        <f>IFERROR(_xlfn.XLOOKUP(Table6[[#This Row],[Affected WTG]],'Basic Data'!$A:$A,'Basic Data'!$C:$C),"")</f>
        <v>GEDA</v>
      </c>
      <c r="J1250" s="260">
        <f>IFERROR(_xlfn.XLOOKUP(Table6[[#This Row],[Affected WTG]],'Basic Data'!$A:$A,'Basic Data'!$E:$E),"")</f>
        <v>3.846153846153845E-2</v>
      </c>
      <c r="K1250" s="102">
        <v>55</v>
      </c>
      <c r="L1250" s="35" t="str">
        <f>IFERROR(_xlfn.XLOOKUP(Table6[[#This Row],[Error Code]],'Basic Data'!$AA:$AA,'Basic Data'!$AB:$AB),"Incorrect Error Code")</f>
        <v>WTG shut down</v>
      </c>
      <c r="M1250" s="35" t="s">
        <v>266</v>
      </c>
      <c r="N1250" s="264"/>
      <c r="O1250" s="265">
        <v>0.1076388888888889</v>
      </c>
      <c r="P1250" s="265">
        <v>0.1076388888888889</v>
      </c>
      <c r="Q1250" s="266">
        <v>0.21458333333333332</v>
      </c>
      <c r="R1250" s="261">
        <f>IF(Table6[[#This Row],[Work Start TimeStamp]]="","",(Table6[[#This Row],[Work Start TimeStamp]]-Table6[[#This Row],[Fault Start TimeStamp]])*24)</f>
        <v>0</v>
      </c>
      <c r="S1250" s="261">
        <f>(Table6[[#This Row],[Fault Clearance time]]-Table6[[#This Row],[Work Start TimeStamp]])*24</f>
        <v>2.5666666666666664</v>
      </c>
      <c r="T1250" s="261">
        <f>(Table6[[#This Row],[Fault Clearance time]]-Table6[[#This Row],[Fault Start TimeStamp]])*24</f>
        <v>2.5666666666666664</v>
      </c>
      <c r="U1250" s="35" t="s">
        <v>542</v>
      </c>
      <c r="V1250" s="102" t="s">
        <v>268</v>
      </c>
      <c r="W1250" s="267">
        <f>IFERROR(Table6[[#This Row],[Breakdown Time]]*Table6[[#This Row],[Plant Equivalent Weightage]],"")</f>
        <v>9.8717948717948673E-2</v>
      </c>
      <c r="X1250" s="262" t="s">
        <v>296</v>
      </c>
      <c r="Y1250" s="263" t="s">
        <v>140</v>
      </c>
      <c r="Z1250" s="102">
        <v>26295</v>
      </c>
      <c r="AA1250" s="257">
        <f>(Table6[[#This Row],[Paired WTG Generation for loss calculation]]/24)*Table6[[#This Row],[Breakdown Time]]</f>
        <v>2812.1041666666665</v>
      </c>
      <c r="AB1250" s="102"/>
      <c r="AC1250" s="35"/>
      <c r="AD1250" s="35"/>
    </row>
    <row r="1251" spans="1:30">
      <c r="A1251" s="102">
        <f t="shared" si="20"/>
        <v>1250</v>
      </c>
      <c r="B1251" s="257">
        <f>YEAR(Table6[[#This Row],[Date]])+IF(MONTH(Table6[[#This Row],[Date]])&gt;=4,1,0)</f>
        <v>2026</v>
      </c>
      <c r="C1251" s="102">
        <f>YEAR(Table6[[#This Row],[Date]])</f>
        <v>2025</v>
      </c>
      <c r="D1251" s="102" t="s">
        <v>265</v>
      </c>
      <c r="E1251" s="258">
        <f>Table6[[#This Row],[Date]]-DAY(Table6[[#This Row],[Date]])+1</f>
        <v>45809</v>
      </c>
      <c r="F1251" s="259">
        <v>45828</v>
      </c>
      <c r="G1251" s="35" t="s">
        <v>122</v>
      </c>
      <c r="H1251" s="35" t="str">
        <f>IFERROR(_xlfn.XLOOKUP(Table6[[#This Row],[Affected WTG]],'Basic Data'!$A:$A,'Basic Data'!$B:$B),"")</f>
        <v>TQGXIIPL</v>
      </c>
      <c r="I1251" s="35" t="str">
        <f>IFERROR(_xlfn.XLOOKUP(Table6[[#This Row],[Affected WTG]],'Basic Data'!$A:$A,'Basic Data'!$C:$C),"")</f>
        <v>GEDA</v>
      </c>
      <c r="J1251" s="260">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266</v>
      </c>
      <c r="N1251" s="264"/>
      <c r="O1251" s="265">
        <v>0.40416666666666667</v>
      </c>
      <c r="P1251" s="265">
        <v>0.40416666666666667</v>
      </c>
      <c r="Q1251" s="266">
        <v>0.40902777777777777</v>
      </c>
      <c r="R1251" s="261">
        <f>IF(Table6[[#This Row],[Work Start TimeStamp]]="","",(Table6[[#This Row],[Work Start TimeStamp]]-Table6[[#This Row],[Fault Start TimeStamp]])*24)</f>
        <v>0</v>
      </c>
      <c r="S1251" s="261">
        <f>(Table6[[#This Row],[Fault Clearance time]]-Table6[[#This Row],[Work Start TimeStamp]])*24</f>
        <v>0.11666666666666625</v>
      </c>
      <c r="T1251" s="261">
        <f>(Table6[[#This Row],[Fault Clearance time]]-Table6[[#This Row],[Fault Start TimeStamp]])*24</f>
        <v>0.11666666666666625</v>
      </c>
      <c r="U1251" s="35" t="s">
        <v>483</v>
      </c>
      <c r="V1251" s="102" t="s">
        <v>268</v>
      </c>
      <c r="W1251" s="267">
        <f>IFERROR(Table6[[#This Row],[Breakdown Time]]*Table6[[#This Row],[Plant Equivalent Weightage]],"")</f>
        <v>4.4871794871794695E-3</v>
      </c>
      <c r="X1251" s="262" t="s">
        <v>269</v>
      </c>
      <c r="Y1251" s="263" t="s">
        <v>140</v>
      </c>
      <c r="Z1251" s="102">
        <v>26295</v>
      </c>
      <c r="AA1251" s="257">
        <f>(Table6[[#This Row],[Paired WTG Generation for loss calculation]]/24)*Table6[[#This Row],[Breakdown Time]]</f>
        <v>127.82291666666622</v>
      </c>
      <c r="AB1251" s="102"/>
      <c r="AC1251" s="35"/>
      <c r="AD1251" s="35"/>
    </row>
    <row r="1252" spans="1:30">
      <c r="A1252" s="102">
        <f t="shared" si="20"/>
        <v>1251</v>
      </c>
      <c r="B1252" s="257">
        <f>YEAR(Table6[[#This Row],[Date]])+IF(MONTH(Table6[[#This Row],[Date]])&gt;=4,1,0)</f>
        <v>2026</v>
      </c>
      <c r="C1252" s="102">
        <f>YEAR(Table6[[#This Row],[Date]])</f>
        <v>2025</v>
      </c>
      <c r="D1252" s="102" t="s">
        <v>265</v>
      </c>
      <c r="E1252" s="258">
        <f>Table6[[#This Row],[Date]]-DAY(Table6[[#This Row],[Date]])+1</f>
        <v>45809</v>
      </c>
      <c r="F1252" s="259">
        <v>45828</v>
      </c>
      <c r="G1252" s="35" t="s">
        <v>122</v>
      </c>
      <c r="H1252" s="35" t="str">
        <f>IFERROR(_xlfn.XLOOKUP(Table6[[#This Row],[Affected WTG]],'Basic Data'!$A:$A,'Basic Data'!$B:$B),"")</f>
        <v>TQGXIIPL</v>
      </c>
      <c r="I1252" s="35" t="str">
        <f>IFERROR(_xlfn.XLOOKUP(Table6[[#This Row],[Affected WTG]],'Basic Data'!$A:$A,'Basic Data'!$C:$C),"")</f>
        <v>GEDA</v>
      </c>
      <c r="J1252" s="260">
        <f>IFERROR(_xlfn.XLOOKUP(Table6[[#This Row],[Affected WTG]],'Basic Data'!$A:$A,'Basic Data'!$E:$E),"")</f>
        <v>3.846153846153845E-2</v>
      </c>
      <c r="K1252" s="102">
        <v>665</v>
      </c>
      <c r="L1252" s="35" t="str">
        <f>IFERROR(_xlfn.XLOOKUP(Table6[[#This Row],[Error Code]],'Basic Data'!$AA:$AA,'Basic Data'!$AB:$AB),"Incorrect Error Code")</f>
        <v>Pitch error</v>
      </c>
      <c r="M1252" s="35" t="s">
        <v>266</v>
      </c>
      <c r="N1252" s="264"/>
      <c r="O1252" s="265">
        <v>0.93194444444444446</v>
      </c>
      <c r="P1252" s="265">
        <v>0.93194444444444446</v>
      </c>
      <c r="Q1252" s="266">
        <v>0.9375</v>
      </c>
      <c r="R1252" s="261">
        <f>IF(Table6[[#This Row],[Work Start TimeStamp]]="","",(Table6[[#This Row],[Work Start TimeStamp]]-Table6[[#This Row],[Fault Start TimeStamp]])*24)</f>
        <v>0</v>
      </c>
      <c r="S1252" s="261">
        <f>(Table6[[#This Row],[Fault Clearance time]]-Table6[[#This Row],[Work Start TimeStamp]])*24</f>
        <v>0.13333333333333286</v>
      </c>
      <c r="T1252" s="261">
        <f>(Table6[[#This Row],[Fault Clearance time]]-Table6[[#This Row],[Fault Start TimeStamp]])*24</f>
        <v>0.13333333333333286</v>
      </c>
      <c r="U1252" s="35" t="s">
        <v>483</v>
      </c>
      <c r="V1252" s="102" t="s">
        <v>268</v>
      </c>
      <c r="W1252" s="267">
        <f>IFERROR(Table6[[#This Row],[Breakdown Time]]*Table6[[#This Row],[Plant Equivalent Weightage]],"")</f>
        <v>5.1282051282051083E-3</v>
      </c>
      <c r="X1252" s="262" t="s">
        <v>269</v>
      </c>
      <c r="Y1252" s="263" t="s">
        <v>140</v>
      </c>
      <c r="Z1252" s="102">
        <v>26295</v>
      </c>
      <c r="AA1252" s="257">
        <f>(Table6[[#This Row],[Paired WTG Generation for loss calculation]]/24)*Table6[[#This Row],[Breakdown Time]]</f>
        <v>146.0833333333328</v>
      </c>
      <c r="AB1252" s="102"/>
      <c r="AC1252" s="35"/>
      <c r="AD1252" s="35"/>
    </row>
    <row r="1253" spans="1:30">
      <c r="A1253" s="102">
        <f t="shared" si="20"/>
        <v>1252</v>
      </c>
      <c r="B1253" s="257">
        <f>YEAR(Table6[[#This Row],[Date]])+IF(MONTH(Table6[[#This Row],[Date]])&gt;=4,1,0)</f>
        <v>2026</v>
      </c>
      <c r="C1253" s="102">
        <f>YEAR(Table6[[#This Row],[Date]])</f>
        <v>2025</v>
      </c>
      <c r="D1253" s="102" t="s">
        <v>265</v>
      </c>
      <c r="E1253" s="258">
        <f>Table6[[#This Row],[Date]]-DAY(Table6[[#This Row],[Date]])+1</f>
        <v>45809</v>
      </c>
      <c r="F1253" s="259">
        <v>45828</v>
      </c>
      <c r="G1253" s="35" t="s">
        <v>122</v>
      </c>
      <c r="H1253" s="35" t="str">
        <f>IFERROR(_xlfn.XLOOKUP(Table6[[#This Row],[Affected WTG]],'Basic Data'!$A:$A,'Basic Data'!$B:$B),"")</f>
        <v>TQGXIIPL</v>
      </c>
      <c r="I1253" s="35" t="str">
        <f>IFERROR(_xlfn.XLOOKUP(Table6[[#This Row],[Affected WTG]],'Basic Data'!$A:$A,'Basic Data'!$C:$C),"")</f>
        <v>GEDA</v>
      </c>
      <c r="J1253" s="260">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266</v>
      </c>
      <c r="N1253" s="264"/>
      <c r="O1253" s="265">
        <v>0.96388888888888891</v>
      </c>
      <c r="P1253" s="265">
        <v>0.96388888888888891</v>
      </c>
      <c r="Q1253" s="266">
        <v>0.97013888888888888</v>
      </c>
      <c r="R1253" s="261">
        <f>IF(Table6[[#This Row],[Work Start TimeStamp]]="","",(Table6[[#This Row],[Work Start TimeStamp]]-Table6[[#This Row],[Fault Start TimeStamp]])*24)</f>
        <v>0</v>
      </c>
      <c r="S1253" s="261">
        <f>(Table6[[#This Row],[Fault Clearance time]]-Table6[[#This Row],[Work Start TimeStamp]])*24</f>
        <v>0.14999999999999947</v>
      </c>
      <c r="T1253" s="261">
        <f>(Table6[[#This Row],[Fault Clearance time]]-Table6[[#This Row],[Fault Start TimeStamp]])*24</f>
        <v>0.14999999999999947</v>
      </c>
      <c r="U1253" s="35" t="s">
        <v>483</v>
      </c>
      <c r="V1253" s="102" t="s">
        <v>268</v>
      </c>
      <c r="W1253" s="267">
        <f>IFERROR(Table6[[#This Row],[Breakdown Time]]*Table6[[#This Row],[Plant Equivalent Weightage]],"")</f>
        <v>5.769230769230747E-3</v>
      </c>
      <c r="X1253" s="262" t="s">
        <v>269</v>
      </c>
      <c r="Y1253" s="263" t="s">
        <v>140</v>
      </c>
      <c r="Z1253" s="102">
        <v>26295</v>
      </c>
      <c r="AA1253" s="257">
        <f>(Table6[[#This Row],[Paired WTG Generation for loss calculation]]/24)*Table6[[#This Row],[Breakdown Time]]</f>
        <v>164.3437499999994</v>
      </c>
      <c r="AB1253" s="102"/>
      <c r="AC1253" s="35"/>
      <c r="AD1253" s="35"/>
    </row>
    <row r="1254" spans="1:30">
      <c r="A1254" s="102">
        <f t="shared" si="20"/>
        <v>1253</v>
      </c>
      <c r="B1254" s="257">
        <f>YEAR(Table6[[#This Row],[Date]])+IF(MONTH(Table6[[#This Row],[Date]])&gt;=4,1,0)</f>
        <v>2026</v>
      </c>
      <c r="C1254" s="102">
        <f>YEAR(Table6[[#This Row],[Date]])</f>
        <v>2025</v>
      </c>
      <c r="D1254" s="102" t="s">
        <v>265</v>
      </c>
      <c r="E1254" s="258">
        <f>Table6[[#This Row],[Date]]-DAY(Table6[[#This Row],[Date]])+1</f>
        <v>45809</v>
      </c>
      <c r="F1254" s="259">
        <v>45828</v>
      </c>
      <c r="G1254" s="35" t="s">
        <v>124</v>
      </c>
      <c r="H1254" s="35" t="str">
        <f>IFERROR(_xlfn.XLOOKUP(Table6[[#This Row],[Affected WTG]],'Basic Data'!$A:$A,'Basic Data'!$B:$B),"")</f>
        <v>TQGXIIPL</v>
      </c>
      <c r="I1254" s="35" t="str">
        <f>IFERROR(_xlfn.XLOOKUP(Table6[[#This Row],[Affected WTG]],'Basic Data'!$A:$A,'Basic Data'!$C:$C),"")</f>
        <v>GEDA</v>
      </c>
      <c r="J1254" s="260">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278</v>
      </c>
      <c r="N1254" s="264"/>
      <c r="O1254" s="265">
        <v>0.6479166666666667</v>
      </c>
      <c r="P1254" s="265">
        <v>0.6479166666666667</v>
      </c>
      <c r="Q1254" s="266">
        <v>0.64861111111111114</v>
      </c>
      <c r="R1254" s="261">
        <f>IF(Table6[[#This Row],[Work Start TimeStamp]]="","",(Table6[[#This Row],[Work Start TimeStamp]]-Table6[[#This Row],[Fault Start TimeStamp]])*24)</f>
        <v>0</v>
      </c>
      <c r="S1254" s="261">
        <f>(Table6[[#This Row],[Fault Clearance time]]-Table6[[#This Row],[Work Start TimeStamp]])*24</f>
        <v>1.6666666666666607E-2</v>
      </c>
      <c r="T1254" s="261">
        <f>(Table6[[#This Row],[Fault Clearance time]]-Table6[[#This Row],[Fault Start TimeStamp]])*24</f>
        <v>1.6666666666666607E-2</v>
      </c>
      <c r="U1254" s="35" t="s">
        <v>277</v>
      </c>
      <c r="V1254" s="102" t="s">
        <v>268</v>
      </c>
      <c r="W1254" s="267">
        <f>IFERROR(Table6[[#This Row],[Breakdown Time]]*Table6[[#This Row],[Plant Equivalent Weightage]],"")</f>
        <v>6.4102564102563853E-4</v>
      </c>
      <c r="X1254" s="262" t="s">
        <v>269</v>
      </c>
      <c r="Y1254" s="263" t="s">
        <v>129</v>
      </c>
      <c r="Z1254" s="102">
        <v>48939</v>
      </c>
      <c r="AA1254" s="257">
        <f>(Table6[[#This Row],[Paired WTG Generation for loss calculation]]/24)*Table6[[#This Row],[Breakdown Time]]</f>
        <v>33.985416666666545</v>
      </c>
      <c r="AB1254" s="102"/>
      <c r="AC1254" s="35"/>
      <c r="AD1254" s="35"/>
    </row>
    <row r="1255" spans="1:30">
      <c r="A1255" s="102">
        <f t="shared" si="20"/>
        <v>1254</v>
      </c>
      <c r="B1255" s="257">
        <f>YEAR(Table6[[#This Row],[Date]])+IF(MONTH(Table6[[#This Row],[Date]])&gt;=4,1,0)</f>
        <v>2026</v>
      </c>
      <c r="C1255" s="102">
        <f>YEAR(Table6[[#This Row],[Date]])</f>
        <v>2025</v>
      </c>
      <c r="D1255" s="102" t="s">
        <v>265</v>
      </c>
      <c r="E1255" s="258">
        <f>Table6[[#This Row],[Date]]-DAY(Table6[[#This Row],[Date]])+1</f>
        <v>45809</v>
      </c>
      <c r="F1255" s="259">
        <v>45828</v>
      </c>
      <c r="G1255" s="35" t="s">
        <v>126</v>
      </c>
      <c r="H1255" s="35" t="str">
        <f>IFERROR(_xlfn.XLOOKUP(Table6[[#This Row],[Affected WTG]],'Basic Data'!$A:$A,'Basic Data'!$B:$B),"")</f>
        <v>TQGXIIPL</v>
      </c>
      <c r="I1255" s="35" t="str">
        <f>IFERROR(_xlfn.XLOOKUP(Table6[[#This Row],[Affected WTG]],'Basic Data'!$A:$A,'Basic Data'!$C:$C),"")</f>
        <v>GEDA</v>
      </c>
      <c r="J1255" s="260">
        <f>IFERROR(_xlfn.XLOOKUP(Table6[[#This Row],[Affected WTG]],'Basic Data'!$A:$A,'Basic Data'!$E:$E),"")</f>
        <v>3.846153846153845E-2</v>
      </c>
      <c r="K1255" s="102">
        <v>55</v>
      </c>
      <c r="L1255" s="35" t="str">
        <f>IFERROR(_xlfn.XLOOKUP(Table6[[#This Row],[Error Code]],'Basic Data'!$AA:$AA,'Basic Data'!$AB:$AB),"Incorrect Error Code")</f>
        <v>WTG shut down</v>
      </c>
      <c r="M1255" s="35" t="s">
        <v>291</v>
      </c>
      <c r="N1255" s="264"/>
      <c r="O1255" s="265">
        <v>0</v>
      </c>
      <c r="P1255" s="265">
        <v>0</v>
      </c>
      <c r="Q1255" s="266">
        <v>0.5131944444444444</v>
      </c>
      <c r="R1255" s="261">
        <f>IF(Table6[[#This Row],[Work Start TimeStamp]]="","",(Table6[[#This Row],[Work Start TimeStamp]]-Table6[[#This Row],[Fault Start TimeStamp]])*24)</f>
        <v>0</v>
      </c>
      <c r="S1255" s="261">
        <f>(Table6[[#This Row],[Fault Clearance time]]-Table6[[#This Row],[Work Start TimeStamp]])*24</f>
        <v>12.316666666666666</v>
      </c>
      <c r="T1255" s="261">
        <f>(Table6[[#This Row],[Fault Clearance time]]-Table6[[#This Row],[Fault Start TimeStamp]])*24</f>
        <v>12.316666666666666</v>
      </c>
      <c r="U1255" s="35" t="s">
        <v>536</v>
      </c>
      <c r="V1255" s="102" t="s">
        <v>289</v>
      </c>
      <c r="W1255" s="267">
        <f>IFERROR(Table6[[#This Row],[Breakdown Time]]*Table6[[#This Row],[Plant Equivalent Weightage]],"")</f>
        <v>0.47371794871794859</v>
      </c>
      <c r="X1255" s="262" t="s">
        <v>531</v>
      </c>
      <c r="Y1255" s="263" t="s">
        <v>128</v>
      </c>
      <c r="Z1255" s="102">
        <v>53088</v>
      </c>
      <c r="AA1255" s="257">
        <f>(Table6[[#This Row],[Paired WTG Generation for loss calculation]]/24)*Table6[[#This Row],[Breakdown Time]]</f>
        <v>27244.466666666667</v>
      </c>
      <c r="AB1255" s="102"/>
      <c r="AC1255" s="35"/>
      <c r="AD1255" s="35"/>
    </row>
    <row r="1256" spans="1:30">
      <c r="A1256" s="102">
        <f t="shared" si="20"/>
        <v>1255</v>
      </c>
      <c r="B1256" s="257">
        <f>YEAR(Table6[[#This Row],[Date]])+IF(MONTH(Table6[[#This Row],[Date]])&gt;=4,1,0)</f>
        <v>2026</v>
      </c>
      <c r="C1256" s="102">
        <f>YEAR(Table6[[#This Row],[Date]])</f>
        <v>2025</v>
      </c>
      <c r="D1256" s="102" t="s">
        <v>265</v>
      </c>
      <c r="E1256" s="258">
        <f>Table6[[#This Row],[Date]]-DAY(Table6[[#This Row],[Date]])+1</f>
        <v>45809</v>
      </c>
      <c r="F1256" s="259">
        <v>45828</v>
      </c>
      <c r="G1256" s="35" t="s">
        <v>126</v>
      </c>
      <c r="H1256" s="35" t="str">
        <f>IFERROR(_xlfn.XLOOKUP(Table6[[#This Row],[Affected WTG]],'Basic Data'!$A:$A,'Basic Data'!$B:$B),"")</f>
        <v>TQGXIIPL</v>
      </c>
      <c r="I1256" s="35" t="str">
        <f>IFERROR(_xlfn.XLOOKUP(Table6[[#This Row],[Affected WTG]],'Basic Data'!$A:$A,'Basic Data'!$C:$C),"")</f>
        <v>GEDA</v>
      </c>
      <c r="J1256" s="260">
        <f>IFERROR(_xlfn.XLOOKUP(Table6[[#This Row],[Affected WTG]],'Basic Data'!$A:$A,'Basic Data'!$E:$E),"")</f>
        <v>3.846153846153845E-2</v>
      </c>
      <c r="K1256" s="102">
        <v>55</v>
      </c>
      <c r="L1256" s="35" t="str">
        <f>IFERROR(_xlfn.XLOOKUP(Table6[[#This Row],[Error Code]],'Basic Data'!$AA:$AA,'Basic Data'!$AB:$AB),"Incorrect Error Code")</f>
        <v>WTG shut down</v>
      </c>
      <c r="M1256" s="35" t="s">
        <v>291</v>
      </c>
      <c r="N1256" s="264"/>
      <c r="O1256" s="265">
        <v>0.82638888888888884</v>
      </c>
      <c r="P1256" s="265">
        <v>0.82638888888888884</v>
      </c>
      <c r="Q1256" s="266">
        <v>0.99998842592592596</v>
      </c>
      <c r="R1256" s="261">
        <f>IF(Table6[[#This Row],[Work Start TimeStamp]]="","",(Table6[[#This Row],[Work Start TimeStamp]]-Table6[[#This Row],[Fault Start TimeStamp]])*24)</f>
        <v>0</v>
      </c>
      <c r="S1256" s="261">
        <f>(Table6[[#This Row],[Fault Clearance time]]-Table6[[#This Row],[Work Start TimeStamp]])*24</f>
        <v>4.1663888888888909</v>
      </c>
      <c r="T1256" s="261">
        <f>(Table6[[#This Row],[Fault Clearance time]]-Table6[[#This Row],[Fault Start TimeStamp]])*24</f>
        <v>4.1663888888888909</v>
      </c>
      <c r="U1256" s="35" t="s">
        <v>536</v>
      </c>
      <c r="V1256" s="102" t="s">
        <v>289</v>
      </c>
      <c r="W1256" s="267">
        <f>IFERROR(Table6[[#This Row],[Breakdown Time]]*Table6[[#This Row],[Plant Equivalent Weightage]],"")</f>
        <v>0.16024572649572652</v>
      </c>
      <c r="X1256" s="262" t="s">
        <v>269</v>
      </c>
      <c r="Y1256" s="263" t="s">
        <v>128</v>
      </c>
      <c r="Z1256" s="102">
        <v>53088</v>
      </c>
      <c r="AA1256" s="257">
        <f>(Table6[[#This Row],[Paired WTG Generation for loss calculation]]/24)*Table6[[#This Row],[Breakdown Time]]</f>
        <v>9216.0522222222262</v>
      </c>
      <c r="AB1256" s="102"/>
      <c r="AC1256" s="35"/>
      <c r="AD1256" s="35"/>
    </row>
    <row r="1257" spans="1:30">
      <c r="A1257" s="102">
        <f t="shared" si="20"/>
        <v>1256</v>
      </c>
      <c r="B1257" s="257">
        <f>YEAR(Table6[[#This Row],[Date]])+IF(MONTH(Table6[[#This Row],[Date]])&gt;=4,1,0)</f>
        <v>2026</v>
      </c>
      <c r="C1257" s="102">
        <f>YEAR(Table6[[#This Row],[Date]])</f>
        <v>2025</v>
      </c>
      <c r="D1257" s="102" t="s">
        <v>265</v>
      </c>
      <c r="E1257" s="258">
        <f>Table6[[#This Row],[Date]]-DAY(Table6[[#This Row],[Date]])+1</f>
        <v>45809</v>
      </c>
      <c r="F1257" s="259">
        <v>45828</v>
      </c>
      <c r="G1257" s="35" t="s">
        <v>132</v>
      </c>
      <c r="H1257" s="35" t="str">
        <f>IFERROR(_xlfn.XLOOKUP(Table6[[#This Row],[Affected WTG]],'Basic Data'!$A:$A,'Basic Data'!$B:$B),"")</f>
        <v>TQGXIIPL</v>
      </c>
      <c r="I1257" s="35" t="str">
        <f>IFERROR(_xlfn.XLOOKUP(Table6[[#This Row],[Affected WTG]],'Basic Data'!$A:$A,'Basic Data'!$C:$C),"")</f>
        <v>GEDA</v>
      </c>
      <c r="J1257" s="260">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266</v>
      </c>
      <c r="N1257" s="264"/>
      <c r="O1257" s="265">
        <v>0.82638888888888884</v>
      </c>
      <c r="P1257" s="265">
        <v>0.82638888888888884</v>
      </c>
      <c r="Q1257" s="266">
        <v>0.85624999999999996</v>
      </c>
      <c r="R1257" s="261">
        <f>IF(Table6[[#This Row],[Work Start TimeStamp]]="","",(Table6[[#This Row],[Work Start TimeStamp]]-Table6[[#This Row],[Fault Start TimeStamp]])*24)</f>
        <v>0</v>
      </c>
      <c r="S1257" s="261">
        <f>(Table6[[#This Row],[Fault Clearance time]]-Table6[[#This Row],[Work Start TimeStamp]])*24</f>
        <v>0.71666666666666679</v>
      </c>
      <c r="T1257" s="261">
        <f>(Table6[[#This Row],[Fault Clearance time]]-Table6[[#This Row],[Fault Start TimeStamp]])*24</f>
        <v>0.71666666666666679</v>
      </c>
      <c r="U1257" s="35" t="s">
        <v>541</v>
      </c>
      <c r="V1257" s="102" t="s">
        <v>268</v>
      </c>
      <c r="W1257" s="267">
        <f>IFERROR(Table6[[#This Row],[Breakdown Time]]*Table6[[#This Row],[Plant Equivalent Weightage]],"")</f>
        <v>2.756410256410256E-2</v>
      </c>
      <c r="X1257" s="262" t="s">
        <v>269</v>
      </c>
      <c r="Y1257" s="263" t="s">
        <v>120</v>
      </c>
      <c r="Z1257" s="102">
        <v>25348</v>
      </c>
      <c r="AA1257" s="257">
        <f>(Table6[[#This Row],[Paired WTG Generation for loss calculation]]/24)*Table6[[#This Row],[Breakdown Time]]</f>
        <v>756.91944444444459</v>
      </c>
      <c r="AB1257" s="102"/>
      <c r="AC1257" s="35"/>
      <c r="AD1257" s="35"/>
    </row>
    <row r="1258" spans="1:30">
      <c r="A1258" s="102">
        <f t="shared" si="20"/>
        <v>1257</v>
      </c>
      <c r="B1258" s="257">
        <f>YEAR(Table6[[#This Row],[Date]])+IF(MONTH(Table6[[#This Row],[Date]])&gt;=4,1,0)</f>
        <v>2026</v>
      </c>
      <c r="C1258" s="102">
        <f>YEAR(Table6[[#This Row],[Date]])</f>
        <v>2025</v>
      </c>
      <c r="D1258" s="102" t="s">
        <v>265</v>
      </c>
      <c r="E1258" s="258">
        <f>Table6[[#This Row],[Date]]-DAY(Table6[[#This Row],[Date]])+1</f>
        <v>45809</v>
      </c>
      <c r="F1258" s="259">
        <v>45828</v>
      </c>
      <c r="G1258" s="35" t="s">
        <v>133</v>
      </c>
      <c r="H1258" s="35" t="str">
        <f>IFERROR(_xlfn.XLOOKUP(Table6[[#This Row],[Affected WTG]],'Basic Data'!$A:$A,'Basic Data'!$B:$B),"")</f>
        <v>TQGXIIPL</v>
      </c>
      <c r="I1258" s="35" t="str">
        <f>IFERROR(_xlfn.XLOOKUP(Table6[[#This Row],[Affected WTG]],'Basic Data'!$A:$A,'Basic Data'!$C:$C),"")</f>
        <v>GEDA</v>
      </c>
      <c r="J1258" s="260">
        <f>IFERROR(_xlfn.XLOOKUP(Table6[[#This Row],[Affected WTG]],'Basic Data'!$A:$A,'Basic Data'!$E:$E),"")</f>
        <v>3.846153846153845E-2</v>
      </c>
      <c r="K1258" s="102">
        <v>665</v>
      </c>
      <c r="L1258" s="35" t="str">
        <f>IFERROR(_xlfn.XLOOKUP(Table6[[#This Row],[Error Code]],'Basic Data'!$AA:$AA,'Basic Data'!$AB:$AB),"Incorrect Error Code")</f>
        <v>Pitch error</v>
      </c>
      <c r="M1258" s="35" t="s">
        <v>266</v>
      </c>
      <c r="N1258" s="264"/>
      <c r="O1258" s="265">
        <v>0.82638888888888884</v>
      </c>
      <c r="P1258" s="265">
        <v>0.89166666666666672</v>
      </c>
      <c r="Q1258" s="266">
        <v>0.95416666666666672</v>
      </c>
      <c r="R1258" s="261">
        <f>IF(Table6[[#This Row],[Work Start TimeStamp]]="","",(Table6[[#This Row],[Work Start TimeStamp]]-Table6[[#This Row],[Fault Start TimeStamp]])*24)</f>
        <v>1.5666666666666691</v>
      </c>
      <c r="S1258" s="261">
        <f>(Table6[[#This Row],[Fault Clearance time]]-Table6[[#This Row],[Work Start TimeStamp]])*24</f>
        <v>1.5</v>
      </c>
      <c r="T1258" s="261">
        <f>(Table6[[#This Row],[Fault Clearance time]]-Table6[[#This Row],[Fault Start TimeStamp]])*24</f>
        <v>3.0666666666666691</v>
      </c>
      <c r="U1258" s="35" t="s">
        <v>543</v>
      </c>
      <c r="V1258" s="102" t="s">
        <v>268</v>
      </c>
      <c r="W1258" s="267">
        <f>IFERROR(Table6[[#This Row],[Breakdown Time]]*Table6[[#This Row],[Plant Equivalent Weightage]],"")</f>
        <v>0.117948717948718</v>
      </c>
      <c r="X1258" s="262" t="s">
        <v>296</v>
      </c>
      <c r="Y1258" s="263" t="s">
        <v>121</v>
      </c>
      <c r="Z1258" s="102">
        <v>26899</v>
      </c>
      <c r="AA1258" s="257">
        <f>(Table6[[#This Row],[Paired WTG Generation for loss calculation]]/24)*Table6[[#This Row],[Breakdown Time]]</f>
        <v>3437.0944444444476</v>
      </c>
      <c r="AB1258" s="102"/>
      <c r="AC1258" s="35"/>
      <c r="AD1258" s="35"/>
    </row>
    <row r="1259" spans="1:30">
      <c r="A1259" s="102">
        <f t="shared" si="20"/>
        <v>1258</v>
      </c>
      <c r="B1259" s="257">
        <f>YEAR(Table6[[#This Row],[Date]])+IF(MONTH(Table6[[#This Row],[Date]])&gt;=4,1,0)</f>
        <v>2026</v>
      </c>
      <c r="C1259" s="102">
        <f>YEAR(Table6[[#This Row],[Date]])</f>
        <v>2025</v>
      </c>
      <c r="D1259" s="102" t="s">
        <v>265</v>
      </c>
      <c r="E1259" s="258">
        <f>Table6[[#This Row],[Date]]-DAY(Table6[[#This Row],[Date]])+1</f>
        <v>45809</v>
      </c>
      <c r="F1259" s="259">
        <v>45828</v>
      </c>
      <c r="G1259" s="35" t="s">
        <v>135</v>
      </c>
      <c r="H1259" s="35" t="str">
        <f>IFERROR(_xlfn.XLOOKUP(Table6[[#This Row],[Affected WTG]],'Basic Data'!$A:$A,'Basic Data'!$B:$B),"")</f>
        <v>TQGXIIPL</v>
      </c>
      <c r="I1259" s="35" t="str">
        <f>IFERROR(_xlfn.XLOOKUP(Table6[[#This Row],[Affected WTG]],'Basic Data'!$A:$A,'Basic Data'!$C:$C),"")</f>
        <v>GEDA</v>
      </c>
      <c r="J1259" s="260">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266</v>
      </c>
      <c r="N1259" s="264"/>
      <c r="O1259" s="265">
        <v>0.82638888888888884</v>
      </c>
      <c r="P1259" s="265">
        <v>0.82638888888888884</v>
      </c>
      <c r="Q1259" s="266">
        <v>0.88472222222222219</v>
      </c>
      <c r="R1259" s="261">
        <f>IF(Table6[[#This Row],[Work Start TimeStamp]]="","",(Table6[[#This Row],[Work Start TimeStamp]]-Table6[[#This Row],[Fault Start TimeStamp]])*24)</f>
        <v>0</v>
      </c>
      <c r="S1259" s="261">
        <f>(Table6[[#This Row],[Fault Clearance time]]-Table6[[#This Row],[Work Start TimeStamp]])*24</f>
        <v>1.4000000000000004</v>
      </c>
      <c r="T1259" s="261">
        <f>(Table6[[#This Row],[Fault Clearance time]]-Table6[[#This Row],[Fault Start TimeStamp]])*24</f>
        <v>1.4000000000000004</v>
      </c>
      <c r="U1259" s="35" t="s">
        <v>541</v>
      </c>
      <c r="V1259" s="102" t="s">
        <v>268</v>
      </c>
      <c r="W1259" s="267">
        <f>IFERROR(Table6[[#This Row],[Breakdown Time]]*Table6[[#This Row],[Plant Equivalent Weightage]],"")</f>
        <v>5.3846153846153842E-2</v>
      </c>
      <c r="X1259" s="262" t="s">
        <v>269</v>
      </c>
      <c r="Y1259" s="263" t="s">
        <v>120</v>
      </c>
      <c r="Z1259" s="102">
        <v>25348</v>
      </c>
      <c r="AA1259" s="257">
        <f>(Table6[[#This Row],[Paired WTG Generation for loss calculation]]/24)*Table6[[#This Row],[Breakdown Time]]</f>
        <v>1478.6333333333339</v>
      </c>
      <c r="AB1259" s="102"/>
      <c r="AC1259" s="35"/>
      <c r="AD1259" s="35"/>
    </row>
    <row r="1260" spans="1:30">
      <c r="A1260" s="102">
        <f t="shared" si="20"/>
        <v>1259</v>
      </c>
      <c r="B1260" s="257">
        <f>YEAR(Table6[[#This Row],[Date]])+IF(MONTH(Table6[[#This Row],[Date]])&gt;=4,1,0)</f>
        <v>2026</v>
      </c>
      <c r="C1260" s="102">
        <f>YEAR(Table6[[#This Row],[Date]])</f>
        <v>2025</v>
      </c>
      <c r="D1260" s="102" t="s">
        <v>265</v>
      </c>
      <c r="E1260" s="258">
        <f>Table6[[#This Row],[Date]]-DAY(Table6[[#This Row],[Date]])+1</f>
        <v>45809</v>
      </c>
      <c r="F1260" s="259">
        <v>45828</v>
      </c>
      <c r="G1260" s="35" t="s">
        <v>137</v>
      </c>
      <c r="H1260" s="35" t="str">
        <f>IFERROR(_xlfn.XLOOKUP(Table6[[#This Row],[Affected WTG]],'Basic Data'!$A:$A,'Basic Data'!$B:$B),"")</f>
        <v>TQGXIIPL</v>
      </c>
      <c r="I1260" s="35" t="str">
        <f>IFERROR(_xlfn.XLOOKUP(Table6[[#This Row],[Affected WTG]],'Basic Data'!$A:$A,'Basic Data'!$C:$C),"")</f>
        <v>GEDA</v>
      </c>
      <c r="J1260" s="260">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266</v>
      </c>
      <c r="N1260" s="264"/>
      <c r="O1260" s="265">
        <v>5.8333333333333334E-2</v>
      </c>
      <c r="P1260" s="265">
        <v>5.8333333333333334E-2</v>
      </c>
      <c r="Q1260" s="266">
        <v>5.9722222222222225E-2</v>
      </c>
      <c r="R1260" s="261">
        <f>IF(Table6[[#This Row],[Work Start TimeStamp]]="","",(Table6[[#This Row],[Work Start TimeStamp]]-Table6[[#This Row],[Fault Start TimeStamp]])*24)</f>
        <v>0</v>
      </c>
      <c r="S1260" s="261">
        <f>(Table6[[#This Row],[Fault Clearance time]]-Table6[[#This Row],[Work Start TimeStamp]])*24</f>
        <v>3.3333333333333381E-2</v>
      </c>
      <c r="T1260" s="261">
        <f>(Table6[[#This Row],[Fault Clearance time]]-Table6[[#This Row],[Fault Start TimeStamp]])*24</f>
        <v>3.3333333333333381E-2</v>
      </c>
      <c r="U1260" s="35" t="s">
        <v>483</v>
      </c>
      <c r="V1260" s="102" t="s">
        <v>268</v>
      </c>
      <c r="W1260" s="267">
        <f>IFERROR(Table6[[#This Row],[Breakdown Time]]*Table6[[#This Row],[Plant Equivalent Weightage]],"")</f>
        <v>1.2820512820512836E-3</v>
      </c>
      <c r="X1260" s="262" t="s">
        <v>269</v>
      </c>
      <c r="Y1260" s="263" t="s">
        <v>125</v>
      </c>
      <c r="Z1260" s="102">
        <v>52720</v>
      </c>
      <c r="AA1260" s="257">
        <f>(Table6[[#This Row],[Paired WTG Generation for loss calculation]]/24)*Table6[[#This Row],[Breakdown Time]]</f>
        <v>73.222222222222328</v>
      </c>
      <c r="AB1260" s="102"/>
      <c r="AC1260" s="35"/>
      <c r="AD1260" s="35"/>
    </row>
    <row r="1261" spans="1:30">
      <c r="A1261" s="102">
        <f t="shared" si="20"/>
        <v>1260</v>
      </c>
      <c r="B1261" s="257">
        <f>YEAR(Table6[[#This Row],[Date]])+IF(MONTH(Table6[[#This Row],[Date]])&gt;=4,1,0)</f>
        <v>2026</v>
      </c>
      <c r="C1261" s="102">
        <f>YEAR(Table6[[#This Row],[Date]])</f>
        <v>2025</v>
      </c>
      <c r="D1261" s="102" t="s">
        <v>265</v>
      </c>
      <c r="E1261" s="258">
        <f>Table6[[#This Row],[Date]]-DAY(Table6[[#This Row],[Date]])+1</f>
        <v>45809</v>
      </c>
      <c r="F1261" s="259">
        <v>45828</v>
      </c>
      <c r="G1261" s="35" t="s">
        <v>137</v>
      </c>
      <c r="H1261" s="35" t="str">
        <f>IFERROR(_xlfn.XLOOKUP(Table6[[#This Row],[Affected WTG]],'Basic Data'!$A:$A,'Basic Data'!$B:$B),"")</f>
        <v>TQGXIIPL</v>
      </c>
      <c r="I1261" s="35" t="str">
        <f>IFERROR(_xlfn.XLOOKUP(Table6[[#This Row],[Affected WTG]],'Basic Data'!$A:$A,'Basic Data'!$C:$C),"")</f>
        <v>GEDA</v>
      </c>
      <c r="J1261" s="260">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266</v>
      </c>
      <c r="N1261" s="264"/>
      <c r="O1261" s="265">
        <v>7.6388888888888895E-2</v>
      </c>
      <c r="P1261" s="265">
        <v>7.6388888888888895E-2</v>
      </c>
      <c r="Q1261" s="266">
        <v>8.611111111111111E-2</v>
      </c>
      <c r="R1261" s="261">
        <f>IF(Table6[[#This Row],[Work Start TimeStamp]]="","",(Table6[[#This Row],[Work Start TimeStamp]]-Table6[[#This Row],[Fault Start TimeStamp]])*24)</f>
        <v>0</v>
      </c>
      <c r="S1261" s="261">
        <f>(Table6[[#This Row],[Fault Clearance time]]-Table6[[#This Row],[Work Start TimeStamp]])*24</f>
        <v>0.23333333333333317</v>
      </c>
      <c r="T1261" s="261">
        <f>(Table6[[#This Row],[Fault Clearance time]]-Table6[[#This Row],[Fault Start TimeStamp]])*24</f>
        <v>0.23333333333333317</v>
      </c>
      <c r="U1261" s="35" t="s">
        <v>544</v>
      </c>
      <c r="V1261" s="102" t="s">
        <v>268</v>
      </c>
      <c r="W1261" s="267">
        <f>IFERROR(Table6[[#This Row],[Breakdown Time]]*Table6[[#This Row],[Plant Equivalent Weightage]],"")</f>
        <v>8.974358974358965E-3</v>
      </c>
      <c r="X1261" s="262" t="s">
        <v>269</v>
      </c>
      <c r="Y1261" s="263" t="s">
        <v>125</v>
      </c>
      <c r="Z1261" s="102">
        <v>52720</v>
      </c>
      <c r="AA1261" s="257">
        <f>(Table6[[#This Row],[Paired WTG Generation for loss calculation]]/24)*Table6[[#This Row],[Breakdown Time]]</f>
        <v>512.5555555555552</v>
      </c>
      <c r="AB1261" s="102"/>
      <c r="AC1261" s="35"/>
      <c r="AD1261" s="35"/>
    </row>
    <row r="1262" spans="1:30">
      <c r="A1262" s="102">
        <f t="shared" si="20"/>
        <v>1261</v>
      </c>
      <c r="B1262" s="257">
        <f>YEAR(Table6[[#This Row],[Date]])+IF(MONTH(Table6[[#This Row],[Date]])&gt;=4,1,0)</f>
        <v>2026</v>
      </c>
      <c r="C1262" s="102">
        <f>YEAR(Table6[[#This Row],[Date]])</f>
        <v>2025</v>
      </c>
      <c r="D1262" s="102" t="s">
        <v>265</v>
      </c>
      <c r="E1262" s="258">
        <f>Table6[[#This Row],[Date]]-DAY(Table6[[#This Row],[Date]])+1</f>
        <v>45809</v>
      </c>
      <c r="F1262" s="259">
        <v>45828</v>
      </c>
      <c r="G1262" s="35" t="s">
        <v>140</v>
      </c>
      <c r="H1262" s="35" t="str">
        <f>IFERROR(_xlfn.XLOOKUP(Table6[[#This Row],[Affected WTG]],'Basic Data'!$A:$A,'Basic Data'!$B:$B),"")</f>
        <v>TQGXIIPL</v>
      </c>
      <c r="I1262" s="35" t="str">
        <f>IFERROR(_xlfn.XLOOKUP(Table6[[#This Row],[Affected WTG]],'Basic Data'!$A:$A,'Basic Data'!$C:$C),"")</f>
        <v>GEDA</v>
      </c>
      <c r="J1262" s="260">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266</v>
      </c>
      <c r="N1262" s="264"/>
      <c r="O1262" s="265">
        <v>0.87569444444444444</v>
      </c>
      <c r="P1262" s="265">
        <v>0.87569444444444444</v>
      </c>
      <c r="Q1262" s="266">
        <v>0.92222222222222228</v>
      </c>
      <c r="R1262" s="261">
        <f>IF(Table6[[#This Row],[Work Start TimeStamp]]="","",(Table6[[#This Row],[Work Start TimeStamp]]-Table6[[#This Row],[Fault Start TimeStamp]])*24)</f>
        <v>0</v>
      </c>
      <c r="S1262" s="261">
        <f>(Table6[[#This Row],[Fault Clearance time]]-Table6[[#This Row],[Work Start TimeStamp]])*24</f>
        <v>1.116666666666668</v>
      </c>
      <c r="T1262" s="261">
        <f>(Table6[[#This Row],[Fault Clearance time]]-Table6[[#This Row],[Fault Start TimeStamp]])*24</f>
        <v>1.116666666666668</v>
      </c>
      <c r="U1262" s="35" t="s">
        <v>541</v>
      </c>
      <c r="V1262" s="102" t="s">
        <v>268</v>
      </c>
      <c r="W1262" s="267">
        <f>IFERROR(Table6[[#This Row],[Breakdown Time]]*Table6[[#This Row],[Plant Equivalent Weightage]],"")</f>
        <v>4.294871794871799E-2</v>
      </c>
      <c r="X1262" s="262" t="s">
        <v>269</v>
      </c>
      <c r="Y1262" s="263" t="s">
        <v>115</v>
      </c>
      <c r="Z1262" s="102">
        <v>53793</v>
      </c>
      <c r="AA1262" s="257">
        <f>(Table6[[#This Row],[Paired WTG Generation for loss calculation]]/24)*Table6[[#This Row],[Breakdown Time]]</f>
        <v>2502.8687500000033</v>
      </c>
      <c r="AB1262" s="102"/>
      <c r="AC1262" s="35"/>
      <c r="AD1262" s="35"/>
    </row>
    <row r="1263" spans="1:30">
      <c r="A1263" s="102">
        <f t="shared" si="20"/>
        <v>1262</v>
      </c>
      <c r="B1263" s="257">
        <f>YEAR(Table6[[#This Row],[Date]])+IF(MONTH(Table6[[#This Row],[Date]])&gt;=4,1,0)</f>
        <v>2026</v>
      </c>
      <c r="C1263" s="102">
        <f>YEAR(Table6[[#This Row],[Date]])</f>
        <v>2025</v>
      </c>
      <c r="D1263" s="102" t="s">
        <v>265</v>
      </c>
      <c r="E1263" s="258">
        <f>Table6[[#This Row],[Date]]-DAY(Table6[[#This Row],[Date]])+1</f>
        <v>45809</v>
      </c>
      <c r="F1263" s="259">
        <v>45829</v>
      </c>
      <c r="G1263" s="35" t="s">
        <v>118</v>
      </c>
      <c r="H1263" s="35" t="str">
        <f>IFERROR(_xlfn.XLOOKUP(Table6[[#This Row],[Affected WTG]],'Basic Data'!$A:$A,'Basic Data'!$B:$B),"")</f>
        <v>TQGXIIPL</v>
      </c>
      <c r="I1263" s="35" t="str">
        <f>IFERROR(_xlfn.XLOOKUP(Table6[[#This Row],[Affected WTG]],'Basic Data'!$A:$A,'Basic Data'!$C:$C),"")</f>
        <v>GEDA</v>
      </c>
      <c r="J1263" s="260">
        <f>IFERROR(_xlfn.XLOOKUP(Table6[[#This Row],[Affected WTG]],'Basic Data'!$A:$A,'Basic Data'!$E:$E),"")</f>
        <v>3.846153846153845E-2</v>
      </c>
      <c r="K1263" s="102">
        <v>6130</v>
      </c>
      <c r="L1263" s="35" t="str">
        <f>IFERROR(_xlfn.XLOOKUP(Table6[[#This Row],[Error Code]],'Basic Data'!$AA:$AA,'Basic Data'!$AB:$AB),"Incorrect Error Code")</f>
        <v>Yaw speed high</v>
      </c>
      <c r="M1263" s="35" t="s">
        <v>278</v>
      </c>
      <c r="N1263" s="264"/>
      <c r="O1263" s="265">
        <v>0.20694444444444443</v>
      </c>
      <c r="P1263" s="265">
        <v>0.20694444444444443</v>
      </c>
      <c r="Q1263" s="266">
        <v>0.2076388888888889</v>
      </c>
      <c r="R1263" s="261">
        <f>IF(Table6[[#This Row],[Work Start TimeStamp]]="","",(Table6[[#This Row],[Work Start TimeStamp]]-Table6[[#This Row],[Fault Start TimeStamp]])*24)</f>
        <v>0</v>
      </c>
      <c r="S1263" s="261">
        <f>(Table6[[#This Row],[Fault Clearance time]]-Table6[[#This Row],[Work Start TimeStamp]])*24</f>
        <v>1.6666666666667274E-2</v>
      </c>
      <c r="T1263" s="261">
        <f>(Table6[[#This Row],[Fault Clearance time]]-Table6[[#This Row],[Fault Start TimeStamp]])*24</f>
        <v>1.6666666666667274E-2</v>
      </c>
      <c r="U1263" s="35" t="s">
        <v>277</v>
      </c>
      <c r="V1263" s="102" t="s">
        <v>268</v>
      </c>
      <c r="W1263" s="267">
        <f>IFERROR(Table6[[#This Row],[Breakdown Time]]*Table6[[#This Row],[Plant Equivalent Weightage]],"")</f>
        <v>6.4102564102566423E-4</v>
      </c>
      <c r="X1263" s="262" t="s">
        <v>269</v>
      </c>
      <c r="Y1263" s="263" t="s">
        <v>121</v>
      </c>
      <c r="Z1263" s="102">
        <v>48182</v>
      </c>
      <c r="AA1263" s="257">
        <f>(Table6[[#This Row],[Paired WTG Generation for loss calculation]]/24)*Table6[[#This Row],[Breakdown Time]]</f>
        <v>33.459722222223441</v>
      </c>
      <c r="AB1263" s="102"/>
      <c r="AC1263" s="35"/>
      <c r="AD1263" s="35"/>
    </row>
    <row r="1264" spans="1:30">
      <c r="A1264" s="102">
        <f t="shared" si="20"/>
        <v>1263</v>
      </c>
      <c r="B1264" s="257">
        <f>YEAR(Table6[[#This Row],[Date]])+IF(MONTH(Table6[[#This Row],[Date]])&gt;=4,1,0)</f>
        <v>2026</v>
      </c>
      <c r="C1264" s="102">
        <f>YEAR(Table6[[#This Row],[Date]])</f>
        <v>2025</v>
      </c>
      <c r="D1264" s="102" t="s">
        <v>265</v>
      </c>
      <c r="E1264" s="258">
        <f>Table6[[#This Row],[Date]]-DAY(Table6[[#This Row],[Date]])+1</f>
        <v>45809</v>
      </c>
      <c r="F1264" s="259">
        <v>45829</v>
      </c>
      <c r="G1264" s="35" t="s">
        <v>118</v>
      </c>
      <c r="H1264" s="35" t="str">
        <f>IFERROR(_xlfn.XLOOKUP(Table6[[#This Row],[Affected WTG]],'Basic Data'!$A:$A,'Basic Data'!$B:$B),"")</f>
        <v>TQGXIIPL</v>
      </c>
      <c r="I1264" s="35" t="str">
        <f>IFERROR(_xlfn.XLOOKUP(Table6[[#This Row],[Affected WTG]],'Basic Data'!$A:$A,'Basic Data'!$C:$C),"")</f>
        <v>GEDA</v>
      </c>
      <c r="J1264" s="260">
        <f>IFERROR(_xlfn.XLOOKUP(Table6[[#This Row],[Affected WTG]],'Basic Data'!$A:$A,'Basic Data'!$E:$E),"")</f>
        <v>3.846153846153845E-2</v>
      </c>
      <c r="K1264" s="102">
        <v>6130</v>
      </c>
      <c r="L1264" s="35" t="str">
        <f>IFERROR(_xlfn.XLOOKUP(Table6[[#This Row],[Error Code]],'Basic Data'!$AA:$AA,'Basic Data'!$AB:$AB),"Incorrect Error Code")</f>
        <v>Yaw speed high</v>
      </c>
      <c r="M1264" s="35" t="s">
        <v>278</v>
      </c>
      <c r="N1264" s="264"/>
      <c r="O1264" s="265">
        <v>0.24097222222222223</v>
      </c>
      <c r="P1264" s="265">
        <v>0.24097222222222223</v>
      </c>
      <c r="Q1264" s="266">
        <v>0.24305555555555555</v>
      </c>
      <c r="R1264" s="261">
        <f>IF(Table6[[#This Row],[Work Start TimeStamp]]="","",(Table6[[#This Row],[Work Start TimeStamp]]-Table6[[#This Row],[Fault Start TimeStamp]])*24)</f>
        <v>0</v>
      </c>
      <c r="S1264" s="261">
        <f>(Table6[[#This Row],[Fault Clearance time]]-Table6[[#This Row],[Work Start TimeStamp]])*24</f>
        <v>4.9999999999999822E-2</v>
      </c>
      <c r="T1264" s="261">
        <f>(Table6[[#This Row],[Fault Clearance time]]-Table6[[#This Row],[Fault Start TimeStamp]])*24</f>
        <v>4.9999999999999822E-2</v>
      </c>
      <c r="U1264" s="35" t="s">
        <v>277</v>
      </c>
      <c r="V1264" s="102" t="s">
        <v>268</v>
      </c>
      <c r="W1264" s="267">
        <f>IFERROR(Table6[[#This Row],[Breakdown Time]]*Table6[[#This Row],[Plant Equivalent Weightage]],"")</f>
        <v>1.9230769230769156E-3</v>
      </c>
      <c r="X1264" s="262" t="s">
        <v>269</v>
      </c>
      <c r="Y1264" s="263" t="s">
        <v>121</v>
      </c>
      <c r="Z1264" s="102">
        <v>48182</v>
      </c>
      <c r="AA1264" s="257">
        <f>(Table6[[#This Row],[Paired WTG Generation for loss calculation]]/24)*Table6[[#This Row],[Breakdown Time]]</f>
        <v>100.37916666666631</v>
      </c>
      <c r="AB1264" s="102"/>
      <c r="AC1264" s="35"/>
      <c r="AD1264" s="35"/>
    </row>
    <row r="1265" spans="1:30">
      <c r="A1265" s="102">
        <f t="shared" si="20"/>
        <v>1264</v>
      </c>
      <c r="B1265" s="257">
        <f>YEAR(Table6[[#This Row],[Date]])+IF(MONTH(Table6[[#This Row],[Date]])&gt;=4,1,0)</f>
        <v>2026</v>
      </c>
      <c r="C1265" s="102">
        <f>YEAR(Table6[[#This Row],[Date]])</f>
        <v>2025</v>
      </c>
      <c r="D1265" s="102" t="s">
        <v>265</v>
      </c>
      <c r="E1265" s="258">
        <f>Table6[[#This Row],[Date]]-DAY(Table6[[#This Row],[Date]])+1</f>
        <v>45809</v>
      </c>
      <c r="F1265" s="259">
        <v>45829</v>
      </c>
      <c r="G1265" s="35" t="s">
        <v>118</v>
      </c>
      <c r="H1265" s="35" t="str">
        <f>IFERROR(_xlfn.XLOOKUP(Table6[[#This Row],[Affected WTG]],'Basic Data'!$A:$A,'Basic Data'!$B:$B),"")</f>
        <v>TQGXIIPL</v>
      </c>
      <c r="I1265" s="35" t="str">
        <f>IFERROR(_xlfn.XLOOKUP(Table6[[#This Row],[Affected WTG]],'Basic Data'!$A:$A,'Basic Data'!$C:$C),"")</f>
        <v>GEDA</v>
      </c>
      <c r="J1265" s="260">
        <f>IFERROR(_xlfn.XLOOKUP(Table6[[#This Row],[Affected WTG]],'Basic Data'!$A:$A,'Basic Data'!$E:$E),"")</f>
        <v>3.846153846153845E-2</v>
      </c>
      <c r="K1265" s="102">
        <v>6130</v>
      </c>
      <c r="L1265" s="35" t="str">
        <f>IFERROR(_xlfn.XLOOKUP(Table6[[#This Row],[Error Code]],'Basic Data'!$AA:$AA,'Basic Data'!$AB:$AB),"Incorrect Error Code")</f>
        <v>Yaw speed high</v>
      </c>
      <c r="M1265" s="35" t="s">
        <v>278</v>
      </c>
      <c r="N1265" s="264"/>
      <c r="O1265" s="265">
        <v>0.49305555555555558</v>
      </c>
      <c r="P1265" s="265">
        <v>0.49305555555555558</v>
      </c>
      <c r="Q1265" s="266">
        <v>0.49444444444444446</v>
      </c>
      <c r="R1265" s="261">
        <f>IF(Table6[[#This Row],[Work Start TimeStamp]]="","",(Table6[[#This Row],[Work Start TimeStamp]]-Table6[[#This Row],[Fault Start TimeStamp]])*24)</f>
        <v>0</v>
      </c>
      <c r="S1265" s="261">
        <f>(Table6[[#This Row],[Fault Clearance time]]-Table6[[#This Row],[Work Start TimeStamp]])*24</f>
        <v>3.3333333333333215E-2</v>
      </c>
      <c r="T1265" s="261">
        <f>(Table6[[#This Row],[Fault Clearance time]]-Table6[[#This Row],[Fault Start TimeStamp]])*24</f>
        <v>3.3333333333333215E-2</v>
      </c>
      <c r="U1265" s="35" t="s">
        <v>277</v>
      </c>
      <c r="V1265" s="102" t="s">
        <v>268</v>
      </c>
      <c r="W1265" s="267">
        <f>IFERROR(Table6[[#This Row],[Breakdown Time]]*Table6[[#This Row],[Plant Equivalent Weightage]],"")</f>
        <v>1.2820512820512771E-3</v>
      </c>
      <c r="X1265" s="262" t="s">
        <v>269</v>
      </c>
      <c r="Y1265" s="263" t="s">
        <v>121</v>
      </c>
      <c r="Z1265" s="102">
        <v>48182</v>
      </c>
      <c r="AA1265" s="257">
        <f>(Table6[[#This Row],[Paired WTG Generation for loss calculation]]/24)*Table6[[#This Row],[Breakdown Time]]</f>
        <v>66.91944444444421</v>
      </c>
      <c r="AB1265" s="102"/>
      <c r="AC1265" s="35"/>
      <c r="AD1265" s="35"/>
    </row>
    <row r="1266" spans="1:30">
      <c r="A1266" s="102">
        <f t="shared" si="20"/>
        <v>1265</v>
      </c>
      <c r="B1266" s="257">
        <f>YEAR(Table6[[#This Row],[Date]])+IF(MONTH(Table6[[#This Row],[Date]])&gt;=4,1,0)</f>
        <v>2026</v>
      </c>
      <c r="C1266" s="102">
        <f>YEAR(Table6[[#This Row],[Date]])</f>
        <v>2025</v>
      </c>
      <c r="D1266" s="102" t="s">
        <v>265</v>
      </c>
      <c r="E1266" s="258">
        <f>Table6[[#This Row],[Date]]-DAY(Table6[[#This Row],[Date]])+1</f>
        <v>45809</v>
      </c>
      <c r="F1266" s="259">
        <v>45829</v>
      </c>
      <c r="G1266" s="35" t="s">
        <v>118</v>
      </c>
      <c r="H1266" s="35" t="str">
        <f>IFERROR(_xlfn.XLOOKUP(Table6[[#This Row],[Affected WTG]],'Basic Data'!$A:$A,'Basic Data'!$B:$B),"")</f>
        <v>TQGXIIPL</v>
      </c>
      <c r="I1266" s="35" t="str">
        <f>IFERROR(_xlfn.XLOOKUP(Table6[[#This Row],[Affected WTG]],'Basic Data'!$A:$A,'Basic Data'!$C:$C),"")</f>
        <v>GEDA</v>
      </c>
      <c r="J1266" s="260">
        <f>IFERROR(_xlfn.XLOOKUP(Table6[[#This Row],[Affected WTG]],'Basic Data'!$A:$A,'Basic Data'!$E:$E),"")</f>
        <v>3.846153846153845E-2</v>
      </c>
      <c r="K1266" s="102">
        <v>6130</v>
      </c>
      <c r="L1266" s="35" t="str">
        <f>IFERROR(_xlfn.XLOOKUP(Table6[[#This Row],[Error Code]],'Basic Data'!$AA:$AA,'Basic Data'!$AB:$AB),"Incorrect Error Code")</f>
        <v>Yaw speed high</v>
      </c>
      <c r="M1266" s="35" t="s">
        <v>278</v>
      </c>
      <c r="N1266" s="264"/>
      <c r="O1266" s="265">
        <v>0.68819444444444444</v>
      </c>
      <c r="P1266" s="265">
        <v>0.68819444444444444</v>
      </c>
      <c r="Q1266" s="266">
        <v>0.68958333333333333</v>
      </c>
      <c r="R1266" s="261">
        <f>IF(Table6[[#This Row],[Work Start TimeStamp]]="","",(Table6[[#This Row],[Work Start TimeStamp]]-Table6[[#This Row],[Fault Start TimeStamp]])*24)</f>
        <v>0</v>
      </c>
      <c r="S1266" s="261">
        <f>(Table6[[#This Row],[Fault Clearance time]]-Table6[[#This Row],[Work Start TimeStamp]])*24</f>
        <v>3.3333333333333215E-2</v>
      </c>
      <c r="T1266" s="261">
        <f>(Table6[[#This Row],[Fault Clearance time]]-Table6[[#This Row],[Fault Start TimeStamp]])*24</f>
        <v>3.3333333333333215E-2</v>
      </c>
      <c r="U1266" s="35" t="s">
        <v>277</v>
      </c>
      <c r="V1266" s="102" t="s">
        <v>268</v>
      </c>
      <c r="W1266" s="267">
        <f>IFERROR(Table6[[#This Row],[Breakdown Time]]*Table6[[#This Row],[Plant Equivalent Weightage]],"")</f>
        <v>1.2820512820512771E-3</v>
      </c>
      <c r="X1266" s="262" t="s">
        <v>269</v>
      </c>
      <c r="Y1266" s="263" t="s">
        <v>121</v>
      </c>
      <c r="Z1266" s="102">
        <v>48182</v>
      </c>
      <c r="AA1266" s="257">
        <f>(Table6[[#This Row],[Paired WTG Generation for loss calculation]]/24)*Table6[[#This Row],[Breakdown Time]]</f>
        <v>66.91944444444421</v>
      </c>
      <c r="AB1266" s="102"/>
      <c r="AC1266" s="35"/>
      <c r="AD1266" s="35"/>
    </row>
    <row r="1267" spans="1:30">
      <c r="A1267" s="102">
        <f t="shared" si="20"/>
        <v>1266</v>
      </c>
      <c r="B1267" s="257">
        <f>YEAR(Table6[[#This Row],[Date]])+IF(MONTH(Table6[[#This Row],[Date]])&gt;=4,1,0)</f>
        <v>2026</v>
      </c>
      <c r="C1267" s="102">
        <f>YEAR(Table6[[#This Row],[Date]])</f>
        <v>2025</v>
      </c>
      <c r="D1267" s="102" t="s">
        <v>265</v>
      </c>
      <c r="E1267" s="258">
        <f>Table6[[#This Row],[Date]]-DAY(Table6[[#This Row],[Date]])+1</f>
        <v>45809</v>
      </c>
      <c r="F1267" s="259">
        <v>45829</v>
      </c>
      <c r="G1267" s="35" t="s">
        <v>119</v>
      </c>
      <c r="H1267" s="35" t="str">
        <f>IFERROR(_xlfn.XLOOKUP(Table6[[#This Row],[Affected WTG]],'Basic Data'!$A:$A,'Basic Data'!$B:$B),"")</f>
        <v>TQGXIIPL</v>
      </c>
      <c r="I1267" s="35" t="str">
        <f>IFERROR(_xlfn.XLOOKUP(Table6[[#This Row],[Affected WTG]],'Basic Data'!$A:$A,'Basic Data'!$C:$C),"")</f>
        <v>GEDA</v>
      </c>
      <c r="J1267" s="260">
        <f>IFERROR(_xlfn.XLOOKUP(Table6[[#This Row],[Affected WTG]],'Basic Data'!$A:$A,'Basic Data'!$E:$E),"")</f>
        <v>3.846153846153845E-2</v>
      </c>
      <c r="K1267" s="102">
        <v>175</v>
      </c>
      <c r="L1267" s="35" t="str">
        <f>IFERROR(_xlfn.XLOOKUP(Table6[[#This Row],[Error Code]],'Basic Data'!$AA:$AA,'Basic Data'!$AB:$AB),"Incorrect Error Code")</f>
        <v>SLC error</v>
      </c>
      <c r="M1267" s="35" t="s">
        <v>266</v>
      </c>
      <c r="N1267" s="264"/>
      <c r="O1267" s="265">
        <v>0.5</v>
      </c>
      <c r="P1267" s="265">
        <v>0.5</v>
      </c>
      <c r="Q1267" s="266">
        <v>0.50138888888888888</v>
      </c>
      <c r="R1267" s="261">
        <f>IF(Table6[[#This Row],[Work Start TimeStamp]]="","",(Table6[[#This Row],[Work Start TimeStamp]]-Table6[[#This Row],[Fault Start TimeStamp]])*24)</f>
        <v>0</v>
      </c>
      <c r="S1267" s="261">
        <f>(Table6[[#This Row],[Fault Clearance time]]-Table6[[#This Row],[Work Start TimeStamp]])*24</f>
        <v>3.3333333333333215E-2</v>
      </c>
      <c r="T1267" s="261">
        <f>(Table6[[#This Row],[Fault Clearance time]]-Table6[[#This Row],[Fault Start TimeStamp]])*24</f>
        <v>3.3333333333333215E-2</v>
      </c>
      <c r="U1267" s="35" t="s">
        <v>483</v>
      </c>
      <c r="V1267" s="102" t="s">
        <v>268</v>
      </c>
      <c r="W1267" s="267">
        <f>IFERROR(Table6[[#This Row],[Breakdown Time]]*Table6[[#This Row],[Plant Equivalent Weightage]],"")</f>
        <v>1.2820512820512771E-3</v>
      </c>
      <c r="X1267" s="262" t="s">
        <v>269</v>
      </c>
      <c r="Y1267" s="263" t="s">
        <v>116</v>
      </c>
      <c r="Z1267" s="102">
        <v>52214</v>
      </c>
      <c r="AA1267" s="257">
        <f>(Table6[[#This Row],[Paired WTG Generation for loss calculation]]/24)*Table6[[#This Row],[Breakdown Time]]</f>
        <v>72.51944444444419</v>
      </c>
      <c r="AB1267" s="102"/>
      <c r="AC1267" s="35"/>
      <c r="AD1267" s="35"/>
    </row>
    <row r="1268" spans="1:30">
      <c r="A1268" s="102">
        <f t="shared" si="20"/>
        <v>1267</v>
      </c>
      <c r="B1268" s="257">
        <f>YEAR(Table6[[#This Row],[Date]])+IF(MONTH(Table6[[#This Row],[Date]])&gt;=4,1,0)</f>
        <v>2026</v>
      </c>
      <c r="C1268" s="102">
        <f>YEAR(Table6[[#This Row],[Date]])</f>
        <v>2025</v>
      </c>
      <c r="D1268" s="102" t="s">
        <v>265</v>
      </c>
      <c r="E1268" s="258">
        <f>Table6[[#This Row],[Date]]-DAY(Table6[[#This Row],[Date]])+1</f>
        <v>45809</v>
      </c>
      <c r="F1268" s="259">
        <v>45829</v>
      </c>
      <c r="G1268" s="35" t="s">
        <v>121</v>
      </c>
      <c r="H1268" s="35" t="str">
        <f>IFERROR(_xlfn.XLOOKUP(Table6[[#This Row],[Affected WTG]],'Basic Data'!$A:$A,'Basic Data'!$B:$B),"")</f>
        <v>TQGXIIPL</v>
      </c>
      <c r="I1268" s="35" t="str">
        <f>IFERROR(_xlfn.XLOOKUP(Table6[[#This Row],[Affected WTG]],'Basic Data'!$A:$A,'Basic Data'!$C:$C),"")</f>
        <v>GEDA</v>
      </c>
      <c r="J1268" s="260">
        <f>IFERROR(_xlfn.XLOOKUP(Table6[[#This Row],[Affected WTG]],'Basic Data'!$A:$A,'Basic Data'!$E:$E),"")</f>
        <v>3.846153846153845E-2</v>
      </c>
      <c r="K1268" s="102">
        <v>4970</v>
      </c>
      <c r="L1268" s="35" t="str">
        <f>IFERROR(_xlfn.XLOOKUP(Table6[[#This Row],[Error Code]],'Basic Data'!$AA:$AA,'Basic Data'!$AB:$AB),"Incorrect Error Code")</f>
        <v>Tower oscillation XF</v>
      </c>
      <c r="M1268" s="35" t="s">
        <v>266</v>
      </c>
      <c r="N1268" s="264"/>
      <c r="O1268" s="265">
        <v>0.24097222222222223</v>
      </c>
      <c r="P1268" s="265">
        <v>0.24097222222222223</v>
      </c>
      <c r="Q1268" s="266">
        <v>0.25208333333333333</v>
      </c>
      <c r="R1268" s="261">
        <f>IF(Table6[[#This Row],[Work Start TimeStamp]]="","",(Table6[[#This Row],[Work Start TimeStamp]]-Table6[[#This Row],[Fault Start TimeStamp]])*24)</f>
        <v>0</v>
      </c>
      <c r="S1268" s="261">
        <f>(Table6[[#This Row],[Fault Clearance time]]-Table6[[#This Row],[Work Start TimeStamp]])*24</f>
        <v>0.26666666666666639</v>
      </c>
      <c r="T1268" s="261">
        <f>(Table6[[#This Row],[Fault Clearance time]]-Table6[[#This Row],[Fault Start TimeStamp]])*24</f>
        <v>0.26666666666666639</v>
      </c>
      <c r="U1268" s="35" t="s">
        <v>483</v>
      </c>
      <c r="V1268" s="102" t="s">
        <v>268</v>
      </c>
      <c r="W1268" s="267">
        <f>IFERROR(Table6[[#This Row],[Breakdown Time]]*Table6[[#This Row],[Plant Equivalent Weightage]],"")</f>
        <v>1.0256410256410243E-2</v>
      </c>
      <c r="X1268" s="262" t="s">
        <v>269</v>
      </c>
      <c r="Y1268" s="263" t="s">
        <v>118</v>
      </c>
      <c r="Z1268" s="102">
        <v>46630</v>
      </c>
      <c r="AA1268" s="257">
        <f>(Table6[[#This Row],[Paired WTG Generation for loss calculation]]/24)*Table6[[#This Row],[Breakdown Time]]</f>
        <v>518.11111111111063</v>
      </c>
      <c r="AB1268" s="102"/>
      <c r="AC1268" s="35"/>
      <c r="AD1268" s="35"/>
    </row>
    <row r="1269" spans="1:30">
      <c r="A1269" s="102">
        <f t="shared" si="20"/>
        <v>1268</v>
      </c>
      <c r="B1269" s="257">
        <f>YEAR(Table6[[#This Row],[Date]])+IF(MONTH(Table6[[#This Row],[Date]])&gt;=4,1,0)</f>
        <v>2026</v>
      </c>
      <c r="C1269" s="102">
        <f>YEAR(Table6[[#This Row],[Date]])</f>
        <v>2025</v>
      </c>
      <c r="D1269" s="102" t="s">
        <v>265</v>
      </c>
      <c r="E1269" s="258">
        <f>Table6[[#This Row],[Date]]-DAY(Table6[[#This Row],[Date]])+1</f>
        <v>45809</v>
      </c>
      <c r="F1269" s="259">
        <v>45829</v>
      </c>
      <c r="G1269" s="35" t="s">
        <v>122</v>
      </c>
      <c r="H1269" s="35" t="str">
        <f>IFERROR(_xlfn.XLOOKUP(Table6[[#This Row],[Affected WTG]],'Basic Data'!$A:$A,'Basic Data'!$B:$B),"")</f>
        <v>TQGXIIPL</v>
      </c>
      <c r="I1269" s="35" t="str">
        <f>IFERROR(_xlfn.XLOOKUP(Table6[[#This Row],[Affected WTG]],'Basic Data'!$A:$A,'Basic Data'!$C:$C),"")</f>
        <v>GEDA</v>
      </c>
      <c r="J1269" s="260">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266</v>
      </c>
      <c r="N1269" s="264"/>
      <c r="O1269" s="265">
        <v>0.98472222222222228</v>
      </c>
      <c r="P1269" s="265">
        <v>0.98472222222222228</v>
      </c>
      <c r="Q1269" s="266">
        <v>0.99097222222222225</v>
      </c>
      <c r="R1269" s="261">
        <f>IF(Table6[[#This Row],[Work Start TimeStamp]]="","",(Table6[[#This Row],[Work Start TimeStamp]]-Table6[[#This Row],[Fault Start TimeStamp]])*24)</f>
        <v>0</v>
      </c>
      <c r="S1269" s="261">
        <f>(Table6[[#This Row],[Fault Clearance time]]-Table6[[#This Row],[Work Start TimeStamp]])*24</f>
        <v>0.14999999999999947</v>
      </c>
      <c r="T1269" s="261">
        <f>(Table6[[#This Row],[Fault Clearance time]]-Table6[[#This Row],[Fault Start TimeStamp]])*24</f>
        <v>0.14999999999999947</v>
      </c>
      <c r="U1269" s="35" t="s">
        <v>483</v>
      </c>
      <c r="V1269" s="102" t="s">
        <v>268</v>
      </c>
      <c r="W1269" s="267">
        <f>IFERROR(Table6[[#This Row],[Breakdown Time]]*Table6[[#This Row],[Plant Equivalent Weightage]],"")</f>
        <v>5.769230769230747E-3</v>
      </c>
      <c r="X1269" s="262" t="s">
        <v>269</v>
      </c>
      <c r="Y1269" s="263" t="s">
        <v>140</v>
      </c>
      <c r="Z1269" s="102">
        <v>52790</v>
      </c>
      <c r="AA1269" s="257">
        <f>(Table6[[#This Row],[Paired WTG Generation for loss calculation]]/24)*Table6[[#This Row],[Breakdown Time]]</f>
        <v>329.93749999999886</v>
      </c>
      <c r="AB1269" s="102"/>
      <c r="AC1269" s="35"/>
      <c r="AD1269" s="35"/>
    </row>
    <row r="1270" spans="1:30">
      <c r="A1270" s="102">
        <f t="shared" si="20"/>
        <v>1269</v>
      </c>
      <c r="B1270" s="257">
        <f>YEAR(Table6[[#This Row],[Date]])+IF(MONTH(Table6[[#This Row],[Date]])&gt;=4,1,0)</f>
        <v>2026</v>
      </c>
      <c r="C1270" s="102">
        <f>YEAR(Table6[[#This Row],[Date]])</f>
        <v>2025</v>
      </c>
      <c r="D1270" s="102" t="s">
        <v>265</v>
      </c>
      <c r="E1270" s="258">
        <f>Table6[[#This Row],[Date]]-DAY(Table6[[#This Row],[Date]])+1</f>
        <v>45809</v>
      </c>
      <c r="F1270" s="259">
        <v>45829</v>
      </c>
      <c r="G1270" s="35" t="s">
        <v>123</v>
      </c>
      <c r="H1270" s="35" t="str">
        <f>IFERROR(_xlfn.XLOOKUP(Table6[[#This Row],[Affected WTG]],'Basic Data'!$A:$A,'Basic Data'!$B:$B),"")</f>
        <v>TQGXIIPL</v>
      </c>
      <c r="I1270" s="35" t="str">
        <f>IFERROR(_xlfn.XLOOKUP(Table6[[#This Row],[Affected WTG]],'Basic Data'!$A:$A,'Basic Data'!$C:$C),"")</f>
        <v>GEDA</v>
      </c>
      <c r="J1270" s="260">
        <f>IFERROR(_xlfn.XLOOKUP(Table6[[#This Row],[Affected WTG]],'Basic Data'!$A:$A,'Basic Data'!$E:$E),"")</f>
        <v>3.846153846153845E-2</v>
      </c>
      <c r="K1270" s="102">
        <v>4970</v>
      </c>
      <c r="L1270" s="35" t="str">
        <f>IFERROR(_xlfn.XLOOKUP(Table6[[#This Row],[Error Code]],'Basic Data'!$AA:$AA,'Basic Data'!$AB:$AB),"Incorrect Error Code")</f>
        <v>Tower oscillation XF</v>
      </c>
      <c r="M1270" s="35" t="s">
        <v>266</v>
      </c>
      <c r="N1270" s="264"/>
      <c r="O1270" s="265">
        <v>0.62569444444444444</v>
      </c>
      <c r="P1270" s="265">
        <v>0.62569444444444444</v>
      </c>
      <c r="Q1270" s="266">
        <v>0.62986111111111109</v>
      </c>
      <c r="R1270" s="261">
        <f>IF(Table6[[#This Row],[Work Start TimeStamp]]="","",(Table6[[#This Row],[Work Start TimeStamp]]-Table6[[#This Row],[Fault Start TimeStamp]])*24)</f>
        <v>0</v>
      </c>
      <c r="S1270" s="261">
        <f>(Table6[[#This Row],[Fault Clearance time]]-Table6[[#This Row],[Work Start TimeStamp]])*24</f>
        <v>9.9999999999999645E-2</v>
      </c>
      <c r="T1270" s="261">
        <f>(Table6[[#This Row],[Fault Clearance time]]-Table6[[#This Row],[Fault Start TimeStamp]])*24</f>
        <v>9.9999999999999645E-2</v>
      </c>
      <c r="U1270" s="35" t="s">
        <v>483</v>
      </c>
      <c r="V1270" s="102" t="s">
        <v>268</v>
      </c>
      <c r="W1270" s="267">
        <f>IFERROR(Table6[[#This Row],[Breakdown Time]]*Table6[[#This Row],[Plant Equivalent Weightage]],"")</f>
        <v>3.8461538461538312E-3</v>
      </c>
      <c r="X1270" s="262" t="s">
        <v>269</v>
      </c>
      <c r="Y1270" s="263" t="s">
        <v>117</v>
      </c>
      <c r="Z1270" s="102">
        <v>49894</v>
      </c>
      <c r="AA1270" s="257">
        <f>(Table6[[#This Row],[Paired WTG Generation for loss calculation]]/24)*Table6[[#This Row],[Breakdown Time]]</f>
        <v>207.89166666666591</v>
      </c>
      <c r="AB1270" s="102"/>
      <c r="AC1270" s="35"/>
      <c r="AD1270" s="35"/>
    </row>
    <row r="1271" spans="1:30">
      <c r="A1271" s="102">
        <f t="shared" si="20"/>
        <v>1270</v>
      </c>
      <c r="B1271" s="257">
        <f>YEAR(Table6[[#This Row],[Date]])+IF(MONTH(Table6[[#This Row],[Date]])&gt;=4,1,0)</f>
        <v>2026</v>
      </c>
      <c r="C1271" s="102">
        <f>YEAR(Table6[[#This Row],[Date]])</f>
        <v>2025</v>
      </c>
      <c r="D1271" s="102" t="s">
        <v>265</v>
      </c>
      <c r="E1271" s="258">
        <f>Table6[[#This Row],[Date]]-DAY(Table6[[#This Row],[Date]])+1</f>
        <v>45809</v>
      </c>
      <c r="F1271" s="259">
        <v>45829</v>
      </c>
      <c r="G1271" s="35" t="s">
        <v>125</v>
      </c>
      <c r="H1271" s="35" t="str">
        <f>IFERROR(_xlfn.XLOOKUP(Table6[[#This Row],[Affected WTG]],'Basic Data'!$A:$A,'Basic Data'!$B:$B),"")</f>
        <v>TQGXIIPL</v>
      </c>
      <c r="I1271" s="35" t="str">
        <f>IFERROR(_xlfn.XLOOKUP(Table6[[#This Row],[Affected WTG]],'Basic Data'!$A:$A,'Basic Data'!$C:$C),"")</f>
        <v>GEDA</v>
      </c>
      <c r="J1271" s="260">
        <f>IFERROR(_xlfn.XLOOKUP(Table6[[#This Row],[Affected WTG]],'Basic Data'!$A:$A,'Basic Data'!$E:$E),"")</f>
        <v>3.846153846153845E-2</v>
      </c>
      <c r="K1271" s="102">
        <v>4970</v>
      </c>
      <c r="L1271" s="35" t="str">
        <f>IFERROR(_xlfn.XLOOKUP(Table6[[#This Row],[Error Code]],'Basic Data'!$AA:$AA,'Basic Data'!$AB:$AB),"Incorrect Error Code")</f>
        <v>Tower oscillation XF</v>
      </c>
      <c r="M1271" s="35" t="s">
        <v>266</v>
      </c>
      <c r="N1271" s="264"/>
      <c r="O1271" s="265">
        <v>0.92708333333333337</v>
      </c>
      <c r="P1271" s="265">
        <v>0.92708333333333337</v>
      </c>
      <c r="Q1271" s="266">
        <v>0.93194444444444446</v>
      </c>
      <c r="R1271" s="261">
        <f>IF(Table6[[#This Row],[Work Start TimeStamp]]="","",(Table6[[#This Row],[Work Start TimeStamp]]-Table6[[#This Row],[Fault Start TimeStamp]])*24)</f>
        <v>0</v>
      </c>
      <c r="S1271" s="261">
        <f>(Table6[[#This Row],[Fault Clearance time]]-Table6[[#This Row],[Work Start TimeStamp]])*24</f>
        <v>0.11666666666666625</v>
      </c>
      <c r="T1271" s="261">
        <f>(Table6[[#This Row],[Fault Clearance time]]-Table6[[#This Row],[Fault Start TimeStamp]])*24</f>
        <v>0.11666666666666625</v>
      </c>
      <c r="U1271" s="35" t="s">
        <v>483</v>
      </c>
      <c r="V1271" s="102" t="s">
        <v>268</v>
      </c>
      <c r="W1271" s="267">
        <f>IFERROR(Table6[[#This Row],[Breakdown Time]]*Table6[[#This Row],[Plant Equivalent Weightage]],"")</f>
        <v>4.4871794871794695E-3</v>
      </c>
      <c r="X1271" s="262" t="s">
        <v>269</v>
      </c>
      <c r="Y1271" s="263" t="s">
        <v>127</v>
      </c>
      <c r="Z1271" s="102">
        <v>49448</v>
      </c>
      <c r="AA1271" s="257">
        <f>(Table6[[#This Row],[Paired WTG Generation for loss calculation]]/24)*Table6[[#This Row],[Breakdown Time]]</f>
        <v>240.37222222222138</v>
      </c>
      <c r="AB1271" s="102"/>
      <c r="AC1271" s="35"/>
      <c r="AD1271" s="35"/>
    </row>
    <row r="1272" spans="1:30">
      <c r="A1272" s="102">
        <f t="shared" si="20"/>
        <v>1271</v>
      </c>
      <c r="B1272" s="257">
        <f>YEAR(Table6[[#This Row],[Date]])+IF(MONTH(Table6[[#This Row],[Date]])&gt;=4,1,0)</f>
        <v>2026</v>
      </c>
      <c r="C1272" s="102">
        <f>YEAR(Table6[[#This Row],[Date]])</f>
        <v>2025</v>
      </c>
      <c r="D1272" s="102" t="s">
        <v>265</v>
      </c>
      <c r="E1272" s="258">
        <f>Table6[[#This Row],[Date]]-DAY(Table6[[#This Row],[Date]])+1</f>
        <v>45809</v>
      </c>
      <c r="F1272" s="259">
        <v>45829</v>
      </c>
      <c r="G1272" s="35" t="s">
        <v>126</v>
      </c>
      <c r="H1272" s="35" t="str">
        <f>IFERROR(_xlfn.XLOOKUP(Table6[[#This Row],[Affected WTG]],'Basic Data'!$A:$A,'Basic Data'!$B:$B),"")</f>
        <v>TQGXIIPL</v>
      </c>
      <c r="I1272" s="35" t="str">
        <f>IFERROR(_xlfn.XLOOKUP(Table6[[#This Row],[Affected WTG]],'Basic Data'!$A:$A,'Basic Data'!$C:$C),"")</f>
        <v>GEDA</v>
      </c>
      <c r="J1272" s="260">
        <f>IFERROR(_xlfn.XLOOKUP(Table6[[#This Row],[Affected WTG]],'Basic Data'!$A:$A,'Basic Data'!$E:$E),"")</f>
        <v>3.846153846153845E-2</v>
      </c>
      <c r="K1272" s="102">
        <v>55</v>
      </c>
      <c r="L1272" s="35" t="str">
        <f>IFERROR(_xlfn.XLOOKUP(Table6[[#This Row],[Error Code]],'Basic Data'!$AA:$AA,'Basic Data'!$AB:$AB),"Incorrect Error Code")</f>
        <v>WTG shut down</v>
      </c>
      <c r="M1272" s="35" t="s">
        <v>291</v>
      </c>
      <c r="N1272" s="264"/>
      <c r="O1272" s="265">
        <v>0</v>
      </c>
      <c r="P1272" s="265">
        <v>0</v>
      </c>
      <c r="Q1272" s="266">
        <v>0.63888888888888884</v>
      </c>
      <c r="R1272" s="261">
        <f>IF(Table6[[#This Row],[Work Start TimeStamp]]="","",(Table6[[#This Row],[Work Start TimeStamp]]-Table6[[#This Row],[Fault Start TimeStamp]])*24)</f>
        <v>0</v>
      </c>
      <c r="S1272" s="261">
        <f>(Table6[[#This Row],[Fault Clearance time]]-Table6[[#This Row],[Work Start TimeStamp]])*24</f>
        <v>15.333333333333332</v>
      </c>
      <c r="T1272" s="261">
        <f>(Table6[[#This Row],[Fault Clearance time]]-Table6[[#This Row],[Fault Start TimeStamp]])*24</f>
        <v>15.333333333333332</v>
      </c>
      <c r="U1272" s="35" t="s">
        <v>536</v>
      </c>
      <c r="V1272" s="102" t="s">
        <v>289</v>
      </c>
      <c r="W1272" s="267">
        <f>IFERROR(Table6[[#This Row],[Breakdown Time]]*Table6[[#This Row],[Plant Equivalent Weightage]],"")</f>
        <v>0.58974358974358954</v>
      </c>
      <c r="X1272" s="262" t="s">
        <v>531</v>
      </c>
      <c r="Y1272" s="263" t="s">
        <v>128</v>
      </c>
      <c r="Z1272" s="102">
        <v>48944</v>
      </c>
      <c r="AA1272" s="257">
        <f>(Table6[[#This Row],[Paired WTG Generation for loss calculation]]/24)*Table6[[#This Row],[Breakdown Time]]</f>
        <v>31269.777777777774</v>
      </c>
      <c r="AB1272" s="102"/>
      <c r="AC1272" s="35"/>
      <c r="AD1272" s="35"/>
    </row>
    <row r="1273" spans="1:30">
      <c r="A1273" s="102">
        <f t="shared" si="20"/>
        <v>1272</v>
      </c>
      <c r="B1273" s="257">
        <f>YEAR(Table6[[#This Row],[Date]])+IF(MONTH(Table6[[#This Row],[Date]])&gt;=4,1,0)</f>
        <v>2026</v>
      </c>
      <c r="C1273" s="102">
        <f>YEAR(Table6[[#This Row],[Date]])</f>
        <v>2025</v>
      </c>
      <c r="D1273" s="102" t="s">
        <v>265</v>
      </c>
      <c r="E1273" s="258">
        <f>Table6[[#This Row],[Date]]-DAY(Table6[[#This Row],[Date]])+1</f>
        <v>45809</v>
      </c>
      <c r="F1273" s="259">
        <v>45829</v>
      </c>
      <c r="G1273" s="35" t="s">
        <v>126</v>
      </c>
      <c r="H1273" s="35" t="str">
        <f>IFERROR(_xlfn.XLOOKUP(Table6[[#This Row],[Affected WTG]],'Basic Data'!$A:$A,'Basic Data'!$B:$B),"")</f>
        <v>TQGXIIPL</v>
      </c>
      <c r="I1273" s="35" t="str">
        <f>IFERROR(_xlfn.XLOOKUP(Table6[[#This Row],[Affected WTG]],'Basic Data'!$A:$A,'Basic Data'!$C:$C),"")</f>
        <v>GEDA</v>
      </c>
      <c r="J1273" s="260">
        <f>IFERROR(_xlfn.XLOOKUP(Table6[[#This Row],[Affected WTG]],'Basic Data'!$A:$A,'Basic Data'!$E:$E),"")</f>
        <v>3.846153846153845E-2</v>
      </c>
      <c r="K1273" s="102">
        <v>55</v>
      </c>
      <c r="L1273" s="35" t="str">
        <f>IFERROR(_xlfn.XLOOKUP(Table6[[#This Row],[Error Code]],'Basic Data'!$AA:$AA,'Basic Data'!$AB:$AB),"Incorrect Error Code")</f>
        <v>WTG shut down</v>
      </c>
      <c r="M1273" s="35" t="s">
        <v>291</v>
      </c>
      <c r="N1273" s="264"/>
      <c r="O1273" s="265">
        <v>0.63888888888888884</v>
      </c>
      <c r="P1273" s="265">
        <v>0.63888888888888884</v>
      </c>
      <c r="Q1273" s="266">
        <v>0.99998842592592596</v>
      </c>
      <c r="R1273" s="261">
        <f>IF(Table6[[#This Row],[Work Start TimeStamp]]="","",(Table6[[#This Row],[Work Start TimeStamp]]-Table6[[#This Row],[Fault Start TimeStamp]])*24)</f>
        <v>0</v>
      </c>
      <c r="S1273" s="261">
        <f>(Table6[[#This Row],[Fault Clearance time]]-Table6[[#This Row],[Work Start TimeStamp]])*24</f>
        <v>8.6663888888888909</v>
      </c>
      <c r="T1273" s="261">
        <f>(Table6[[#This Row],[Fault Clearance time]]-Table6[[#This Row],[Fault Start TimeStamp]])*24</f>
        <v>8.6663888888888909</v>
      </c>
      <c r="U1273" s="35" t="s">
        <v>536</v>
      </c>
      <c r="V1273" s="102" t="s">
        <v>289</v>
      </c>
      <c r="W1273" s="267">
        <f>IFERROR(Table6[[#This Row],[Breakdown Time]]*Table6[[#This Row],[Plant Equivalent Weightage]],"")</f>
        <v>0.33332264957264957</v>
      </c>
      <c r="X1273" s="262" t="s">
        <v>269</v>
      </c>
      <c r="Y1273" s="263" t="s">
        <v>128</v>
      </c>
      <c r="Z1273" s="102">
        <v>48944</v>
      </c>
      <c r="AA1273" s="257">
        <f>(Table6[[#This Row],[Paired WTG Generation for loss calculation]]/24)*Table6[[#This Row],[Breakdown Time]]</f>
        <v>17673.655740740745</v>
      </c>
      <c r="AB1273" s="102"/>
      <c r="AC1273" s="35"/>
      <c r="AD1273" s="35"/>
    </row>
    <row r="1274" spans="1:30">
      <c r="A1274" s="102">
        <f t="shared" si="20"/>
        <v>1273</v>
      </c>
      <c r="B1274" s="257">
        <f>YEAR(Table6[[#This Row],[Date]])+IF(MONTH(Table6[[#This Row],[Date]])&gt;=4,1,0)</f>
        <v>2026</v>
      </c>
      <c r="C1274" s="102">
        <f>YEAR(Table6[[#This Row],[Date]])</f>
        <v>2025</v>
      </c>
      <c r="D1274" s="102" t="s">
        <v>265</v>
      </c>
      <c r="E1274" s="258">
        <f>Table6[[#This Row],[Date]]-DAY(Table6[[#This Row],[Date]])+1</f>
        <v>45809</v>
      </c>
      <c r="F1274" s="259">
        <v>45829</v>
      </c>
      <c r="G1274" s="35" t="s">
        <v>129</v>
      </c>
      <c r="H1274" s="35" t="str">
        <f>IFERROR(_xlfn.XLOOKUP(Table6[[#This Row],[Affected WTG]],'Basic Data'!$A:$A,'Basic Data'!$B:$B),"")</f>
        <v>TQGXIIPL</v>
      </c>
      <c r="I1274" s="35" t="str">
        <f>IFERROR(_xlfn.XLOOKUP(Table6[[#This Row],[Affected WTG]],'Basic Data'!$A:$A,'Basic Data'!$C:$C),"")</f>
        <v>GEDA</v>
      </c>
      <c r="J1274" s="260">
        <f>IFERROR(_xlfn.XLOOKUP(Table6[[#This Row],[Affected WTG]],'Basic Data'!$A:$A,'Basic Data'!$E:$E),"")</f>
        <v>3.846153846153845E-2</v>
      </c>
      <c r="K1274" s="102">
        <v>55</v>
      </c>
      <c r="L1274" s="35" t="str">
        <f>IFERROR(_xlfn.XLOOKUP(Table6[[#This Row],[Error Code]],'Basic Data'!$AA:$AA,'Basic Data'!$AB:$AB),"Incorrect Error Code")</f>
        <v>WTG shut down</v>
      </c>
      <c r="M1274" s="35" t="s">
        <v>266</v>
      </c>
      <c r="N1274" s="264"/>
      <c r="O1274" s="265">
        <v>0.47916666666666669</v>
      </c>
      <c r="P1274" s="265">
        <v>0.47916666666666669</v>
      </c>
      <c r="Q1274" s="266">
        <v>0.5131944444444444</v>
      </c>
      <c r="R1274" s="261">
        <f>IF(Table6[[#This Row],[Work Start TimeStamp]]="","",(Table6[[#This Row],[Work Start TimeStamp]]-Table6[[#This Row],[Fault Start TimeStamp]])*24)</f>
        <v>0</v>
      </c>
      <c r="S1274" s="261">
        <f>(Table6[[#This Row],[Fault Clearance time]]-Table6[[#This Row],[Work Start TimeStamp]])*24</f>
        <v>0.8166666666666651</v>
      </c>
      <c r="T1274" s="261">
        <f>(Table6[[#This Row],[Fault Clearance time]]-Table6[[#This Row],[Fault Start TimeStamp]])*24</f>
        <v>0.8166666666666651</v>
      </c>
      <c r="U1274" s="35" t="s">
        <v>545</v>
      </c>
      <c r="V1274" s="102" t="s">
        <v>268</v>
      </c>
      <c r="W1274" s="267">
        <f>IFERROR(Table6[[#This Row],[Breakdown Time]]*Table6[[#This Row],[Plant Equivalent Weightage]],"")</f>
        <v>3.141025641025634E-2</v>
      </c>
      <c r="X1274" s="262" t="s">
        <v>296</v>
      </c>
      <c r="Y1274" s="263" t="s">
        <v>124</v>
      </c>
      <c r="Z1274" s="102">
        <v>50278</v>
      </c>
      <c r="AA1274" s="257">
        <f>(Table6[[#This Row],[Paired WTG Generation for loss calculation]]/24)*Table6[[#This Row],[Breakdown Time]]</f>
        <v>1710.8486111111076</v>
      </c>
      <c r="AB1274" s="102"/>
      <c r="AC1274" s="35"/>
      <c r="AD1274" s="35"/>
    </row>
    <row r="1275" spans="1:30">
      <c r="A1275" s="102">
        <f t="shared" si="20"/>
        <v>1274</v>
      </c>
      <c r="B1275" s="257">
        <f>YEAR(Table6[[#This Row],[Date]])+IF(MONTH(Table6[[#This Row],[Date]])&gt;=4,1,0)</f>
        <v>2026</v>
      </c>
      <c r="C1275" s="102">
        <f>YEAR(Table6[[#This Row],[Date]])</f>
        <v>2025</v>
      </c>
      <c r="D1275" s="102" t="s">
        <v>265</v>
      </c>
      <c r="E1275" s="258">
        <f>Table6[[#This Row],[Date]]-DAY(Table6[[#This Row],[Date]])+1</f>
        <v>45809</v>
      </c>
      <c r="F1275" s="259">
        <v>45829</v>
      </c>
      <c r="G1275" s="35" t="s">
        <v>134</v>
      </c>
      <c r="H1275" s="35" t="str">
        <f>IFERROR(_xlfn.XLOOKUP(Table6[[#This Row],[Affected WTG]],'Basic Data'!$A:$A,'Basic Data'!$B:$B),"")</f>
        <v>TQGXIIPL</v>
      </c>
      <c r="I1275" s="35" t="str">
        <f>IFERROR(_xlfn.XLOOKUP(Table6[[#This Row],[Affected WTG]],'Basic Data'!$A:$A,'Basic Data'!$C:$C),"")</f>
        <v>GEDA</v>
      </c>
      <c r="J1275" s="260">
        <f>IFERROR(_xlfn.XLOOKUP(Table6[[#This Row],[Affected WTG]],'Basic Data'!$A:$A,'Basic Data'!$E:$E),"")</f>
        <v>3.846153846153845E-2</v>
      </c>
      <c r="K1275" s="102">
        <v>55</v>
      </c>
      <c r="L1275" s="35" t="str">
        <f>IFERROR(_xlfn.XLOOKUP(Table6[[#This Row],[Error Code]],'Basic Data'!$AA:$AA,'Basic Data'!$AB:$AB),"Incorrect Error Code")</f>
        <v>WTG shut down</v>
      </c>
      <c r="M1275" s="35" t="s">
        <v>266</v>
      </c>
      <c r="N1275" s="264"/>
      <c r="O1275" s="265">
        <v>0.47638888888888886</v>
      </c>
      <c r="P1275" s="265">
        <v>0.47638888888888886</v>
      </c>
      <c r="Q1275" s="266">
        <v>0.51527777777777772</v>
      </c>
      <c r="R1275" s="261">
        <f>IF(Table6[[#This Row],[Work Start TimeStamp]]="","",(Table6[[#This Row],[Work Start TimeStamp]]-Table6[[#This Row],[Fault Start TimeStamp]])*24)</f>
        <v>0</v>
      </c>
      <c r="S1275" s="261">
        <f>(Table6[[#This Row],[Fault Clearance time]]-Table6[[#This Row],[Work Start TimeStamp]])*24</f>
        <v>0.93333333333333268</v>
      </c>
      <c r="T1275" s="261">
        <f>(Table6[[#This Row],[Fault Clearance time]]-Table6[[#This Row],[Fault Start TimeStamp]])*24</f>
        <v>0.93333333333333268</v>
      </c>
      <c r="U1275" s="35" t="s">
        <v>545</v>
      </c>
      <c r="V1275" s="102" t="s">
        <v>268</v>
      </c>
      <c r="W1275" s="267">
        <f>IFERROR(Table6[[#This Row],[Breakdown Time]]*Table6[[#This Row],[Plant Equivalent Weightage]],"")</f>
        <v>3.589743589743586E-2</v>
      </c>
      <c r="X1275" s="262" t="s">
        <v>296</v>
      </c>
      <c r="Y1275" s="263" t="s">
        <v>138</v>
      </c>
      <c r="Z1275" s="102">
        <v>50597</v>
      </c>
      <c r="AA1275" s="257">
        <f>(Table6[[#This Row],[Paired WTG Generation for loss calculation]]/24)*Table6[[#This Row],[Breakdown Time]]</f>
        <v>1967.6611111111099</v>
      </c>
      <c r="AB1275" s="102"/>
      <c r="AC1275" s="35"/>
      <c r="AD1275" s="35"/>
    </row>
    <row r="1276" spans="1:30" ht="15" customHeight="1">
      <c r="A1276" s="102">
        <f t="shared" si="20"/>
        <v>1275</v>
      </c>
      <c r="B1276" s="257">
        <f>YEAR(Table6[[#This Row],[Date]])+IF(MONTH(Table6[[#This Row],[Date]])&gt;=4,1,0)</f>
        <v>2026</v>
      </c>
      <c r="C1276" s="102">
        <f>YEAR(Table6[[#This Row],[Date]])</f>
        <v>2025</v>
      </c>
      <c r="D1276" s="102" t="s">
        <v>265</v>
      </c>
      <c r="E1276" s="258">
        <f>Table6[[#This Row],[Date]]-DAY(Table6[[#This Row],[Date]])+1</f>
        <v>45809</v>
      </c>
      <c r="F1276" s="259">
        <v>45829</v>
      </c>
      <c r="G1276" s="35" t="s">
        <v>137</v>
      </c>
      <c r="H1276" s="35" t="str">
        <f>IFERROR(_xlfn.XLOOKUP(Table6[[#This Row],[Affected WTG]],'Basic Data'!$A:$A,'Basic Data'!$B:$B),"")</f>
        <v>TQGXIIPL</v>
      </c>
      <c r="I1276" s="35" t="str">
        <f>IFERROR(_xlfn.XLOOKUP(Table6[[#This Row],[Affected WTG]],'Basic Data'!$A:$A,'Basic Data'!$C:$C),"")</f>
        <v>GEDA</v>
      </c>
      <c r="J1276" s="260">
        <f>IFERROR(_xlfn.XLOOKUP(Table6[[#This Row],[Affected WTG]],'Basic Data'!$A:$A,'Basic Data'!$E:$E),"")</f>
        <v>3.846153846153845E-2</v>
      </c>
      <c r="K1276" s="102">
        <v>55</v>
      </c>
      <c r="L1276" s="35" t="str">
        <f>IFERROR(_xlfn.XLOOKUP(Table6[[#This Row],[Error Code]],'Basic Data'!$AA:$AA,'Basic Data'!$AB:$AB),"Incorrect Error Code")</f>
        <v>WTG shut down</v>
      </c>
      <c r="M1276" s="35" t="s">
        <v>266</v>
      </c>
      <c r="N1276" s="264"/>
      <c r="O1276" s="265">
        <v>0.5444444444444444</v>
      </c>
      <c r="P1276" s="265">
        <v>0.5444444444444444</v>
      </c>
      <c r="Q1276" s="266">
        <v>0.56805555555555554</v>
      </c>
      <c r="R1276" s="261">
        <f>IF(Table6[[#This Row],[Work Start TimeStamp]]="","",(Table6[[#This Row],[Work Start TimeStamp]]-Table6[[#This Row],[Fault Start TimeStamp]])*24)</f>
        <v>0</v>
      </c>
      <c r="S1276" s="261">
        <f>(Table6[[#This Row],[Fault Clearance time]]-Table6[[#This Row],[Work Start TimeStamp]])*24</f>
        <v>0.56666666666666732</v>
      </c>
      <c r="T1276" s="261">
        <f>(Table6[[#This Row],[Fault Clearance time]]-Table6[[#This Row],[Fault Start TimeStamp]])*24</f>
        <v>0.56666666666666732</v>
      </c>
      <c r="U1276" s="35" t="s">
        <v>545</v>
      </c>
      <c r="V1276" s="102" t="s">
        <v>268</v>
      </c>
      <c r="W1276" s="267">
        <f>IFERROR(Table6[[#This Row],[Breakdown Time]]*Table6[[#This Row],[Plant Equivalent Weightage]],"")</f>
        <v>2.1794871794871815E-2</v>
      </c>
      <c r="X1276" s="262" t="s">
        <v>296</v>
      </c>
      <c r="Y1276" s="263" t="s">
        <v>125</v>
      </c>
      <c r="Z1276" s="102">
        <v>47808</v>
      </c>
      <c r="AA1276" s="257">
        <f>(Table6[[#This Row],[Paired WTG Generation for loss calculation]]/24)*Table6[[#This Row],[Breakdown Time]]</f>
        <v>1128.8000000000013</v>
      </c>
      <c r="AB1276" s="102"/>
      <c r="AC1276" s="35"/>
      <c r="AD1276" s="35"/>
    </row>
    <row r="1277" spans="1:30">
      <c r="A1277" s="102">
        <f t="shared" si="20"/>
        <v>1276</v>
      </c>
      <c r="B1277" s="257">
        <f>YEAR(Table6[[#This Row],[Date]])+IF(MONTH(Table6[[#This Row],[Date]])&gt;=4,1,0)</f>
        <v>2026</v>
      </c>
      <c r="C1277" s="102">
        <f>YEAR(Table6[[#This Row],[Date]])</f>
        <v>2025</v>
      </c>
      <c r="D1277" s="102" t="s">
        <v>265</v>
      </c>
      <c r="E1277" s="258">
        <f>Table6[[#This Row],[Date]]-DAY(Table6[[#This Row],[Date]])+1</f>
        <v>45809</v>
      </c>
      <c r="F1277" s="259">
        <v>45830</v>
      </c>
      <c r="G1277" s="35" t="s">
        <v>115</v>
      </c>
      <c r="H1277" s="35" t="str">
        <f>IFERROR(_xlfn.XLOOKUP(Table6[[#This Row],[Affected WTG]],'Basic Data'!$A:$A,'Basic Data'!$B:$B),"")</f>
        <v>TQGXIIPL</v>
      </c>
      <c r="I1277" s="35" t="str">
        <f>IFERROR(_xlfn.XLOOKUP(Table6[[#This Row],[Affected WTG]],'Basic Data'!$A:$A,'Basic Data'!$C:$C),"")</f>
        <v>GEDA</v>
      </c>
      <c r="J1277" s="260">
        <f>IFERROR(_xlfn.XLOOKUP(Table6[[#This Row],[Affected WTG]],'Basic Data'!$A:$A,'Basic Data'!$E:$E),"")</f>
        <v>3.846153846153845E-2</v>
      </c>
      <c r="K1277" s="102">
        <v>6130</v>
      </c>
      <c r="L1277" s="35" t="str">
        <f>IFERROR(_xlfn.XLOOKUP(Table6[[#This Row],[Error Code]],'Basic Data'!$AA:$AA,'Basic Data'!$AB:$AB),"Incorrect Error Code")</f>
        <v>Yaw speed high</v>
      </c>
      <c r="M1277" s="35" t="s">
        <v>266</v>
      </c>
      <c r="N1277" s="264"/>
      <c r="O1277" s="265">
        <v>0.24722222222222223</v>
      </c>
      <c r="P1277" s="265">
        <v>0.24722222222222223</v>
      </c>
      <c r="Q1277" s="266">
        <v>0.25138888888888888</v>
      </c>
      <c r="R1277" s="261">
        <f>IF(Table6[[#This Row],[Work Start TimeStamp]]="","",(Table6[[#This Row],[Work Start TimeStamp]]-Table6[[#This Row],[Fault Start TimeStamp]])*24)</f>
        <v>0</v>
      </c>
      <c r="S1277" s="261">
        <f>(Table6[[#This Row],[Fault Clearance time]]-Table6[[#This Row],[Work Start TimeStamp]])*24</f>
        <v>9.9999999999999645E-2</v>
      </c>
      <c r="T1277" s="261">
        <f>(Table6[[#This Row],[Fault Clearance time]]-Table6[[#This Row],[Fault Start TimeStamp]])*24</f>
        <v>9.9999999999999645E-2</v>
      </c>
      <c r="U1277" s="35" t="s">
        <v>483</v>
      </c>
      <c r="V1277" s="102" t="s">
        <v>268</v>
      </c>
      <c r="W1277" s="267">
        <f>IFERROR(Table6[[#This Row],[Breakdown Time]]*Table6[[#This Row],[Plant Equivalent Weightage]],"")</f>
        <v>3.8461538461538312E-3</v>
      </c>
      <c r="X1277" s="262" t="s">
        <v>269</v>
      </c>
      <c r="Y1277" s="263" t="s">
        <v>140</v>
      </c>
      <c r="Z1277" s="102">
        <v>31309</v>
      </c>
      <c r="AA1277" s="257">
        <f>(Table6[[#This Row],[Paired WTG Generation for loss calculation]]/24)*Table6[[#This Row],[Breakdown Time]]</f>
        <v>130.4541666666662</v>
      </c>
      <c r="AB1277" s="102"/>
      <c r="AC1277" s="35"/>
      <c r="AD1277" s="35"/>
    </row>
    <row r="1278" spans="1:30">
      <c r="A1278" s="102">
        <f t="shared" si="20"/>
        <v>1277</v>
      </c>
      <c r="B1278" s="257">
        <f>YEAR(Table6[[#This Row],[Date]])+IF(MONTH(Table6[[#This Row],[Date]])&gt;=4,1,0)</f>
        <v>2026</v>
      </c>
      <c r="C1278" s="102">
        <f>YEAR(Table6[[#This Row],[Date]])</f>
        <v>2025</v>
      </c>
      <c r="D1278" s="102" t="s">
        <v>265</v>
      </c>
      <c r="E1278" s="258">
        <f>Table6[[#This Row],[Date]]-DAY(Table6[[#This Row],[Date]])+1</f>
        <v>45809</v>
      </c>
      <c r="F1278" s="259">
        <v>45830</v>
      </c>
      <c r="G1278" s="35" t="s">
        <v>119</v>
      </c>
      <c r="H1278" s="35" t="str">
        <f>IFERROR(_xlfn.XLOOKUP(Table6[[#This Row],[Affected WTG]],'Basic Data'!$A:$A,'Basic Data'!$B:$B),"")</f>
        <v>TQGXIIPL</v>
      </c>
      <c r="I1278" s="35" t="str">
        <f>IFERROR(_xlfn.XLOOKUP(Table6[[#This Row],[Affected WTG]],'Basic Data'!$A:$A,'Basic Data'!$C:$C),"")</f>
        <v>GEDA</v>
      </c>
      <c r="J1278" s="260">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266</v>
      </c>
      <c r="N1278" s="264"/>
      <c r="O1278" s="265">
        <v>0.31944444444444442</v>
      </c>
      <c r="P1278" s="265">
        <v>0.31944444444444442</v>
      </c>
      <c r="Q1278" s="266">
        <v>0.3215277777777778</v>
      </c>
      <c r="R1278" s="261">
        <f>IF(Table6[[#This Row],[Work Start TimeStamp]]="","",(Table6[[#This Row],[Work Start TimeStamp]]-Table6[[#This Row],[Fault Start TimeStamp]])*24)</f>
        <v>0</v>
      </c>
      <c r="S1278" s="261">
        <f>(Table6[[#This Row],[Fault Clearance time]]-Table6[[#This Row],[Work Start TimeStamp]])*24</f>
        <v>5.0000000000001155E-2</v>
      </c>
      <c r="T1278" s="261">
        <f>(Table6[[#This Row],[Fault Clearance time]]-Table6[[#This Row],[Fault Start TimeStamp]])*24</f>
        <v>5.0000000000001155E-2</v>
      </c>
      <c r="U1278" s="35" t="s">
        <v>483</v>
      </c>
      <c r="V1278" s="102" t="s">
        <v>268</v>
      </c>
      <c r="W1278" s="267">
        <f>IFERROR(Table6[[#This Row],[Breakdown Time]]*Table6[[#This Row],[Plant Equivalent Weightage]],"")</f>
        <v>1.923076923076967E-3</v>
      </c>
      <c r="X1278" s="262" t="s">
        <v>269</v>
      </c>
      <c r="Y1278" s="263" t="s">
        <v>116</v>
      </c>
      <c r="Z1278" s="102">
        <v>32913</v>
      </c>
      <c r="AA1278" s="257">
        <f>(Table6[[#This Row],[Paired WTG Generation for loss calculation]]/24)*Table6[[#This Row],[Breakdown Time]]</f>
        <v>68.568750000001586</v>
      </c>
      <c r="AB1278" s="102"/>
      <c r="AC1278" s="35"/>
      <c r="AD1278" s="35"/>
    </row>
    <row r="1279" spans="1:30">
      <c r="A1279" s="102">
        <f t="shared" si="20"/>
        <v>1278</v>
      </c>
      <c r="B1279" s="257">
        <f>YEAR(Table6[[#This Row],[Date]])+IF(MONTH(Table6[[#This Row],[Date]])&gt;=4,1,0)</f>
        <v>2026</v>
      </c>
      <c r="C1279" s="102">
        <f>YEAR(Table6[[#This Row],[Date]])</f>
        <v>2025</v>
      </c>
      <c r="D1279" s="102" t="s">
        <v>265</v>
      </c>
      <c r="E1279" s="258">
        <f>Table6[[#This Row],[Date]]-DAY(Table6[[#This Row],[Date]])+1</f>
        <v>45809</v>
      </c>
      <c r="F1279" s="259">
        <v>45830</v>
      </c>
      <c r="G1279" s="35" t="s">
        <v>126</v>
      </c>
      <c r="H1279" s="35" t="str">
        <f>IFERROR(_xlfn.XLOOKUP(Table6[[#This Row],[Affected WTG]],'Basic Data'!$A:$A,'Basic Data'!$B:$B),"")</f>
        <v>TQGXIIPL</v>
      </c>
      <c r="I1279" s="35" t="str">
        <f>IFERROR(_xlfn.XLOOKUP(Table6[[#This Row],[Affected WTG]],'Basic Data'!$A:$A,'Basic Data'!$C:$C),"")</f>
        <v>GEDA</v>
      </c>
      <c r="J1279" s="260">
        <f>IFERROR(_xlfn.XLOOKUP(Table6[[#This Row],[Affected WTG]],'Basic Data'!$A:$A,'Basic Data'!$E:$E),"")</f>
        <v>3.846153846153845E-2</v>
      </c>
      <c r="K1279" s="102">
        <v>55</v>
      </c>
      <c r="L1279" s="35" t="str">
        <f>IFERROR(_xlfn.XLOOKUP(Table6[[#This Row],[Error Code]],'Basic Data'!$AA:$AA,'Basic Data'!$AB:$AB),"Incorrect Error Code")</f>
        <v>WTG shut down</v>
      </c>
      <c r="M1279" s="35" t="s">
        <v>456</v>
      </c>
      <c r="N1279" s="264"/>
      <c r="O1279" s="265">
        <v>0</v>
      </c>
      <c r="P1279" s="265">
        <v>0</v>
      </c>
      <c r="Q1279" s="266">
        <v>0.33333333333333331</v>
      </c>
      <c r="R1279" s="261">
        <f>IF(Table6[[#This Row],[Work Start TimeStamp]]="","",(Table6[[#This Row],[Work Start TimeStamp]]-Table6[[#This Row],[Fault Start TimeStamp]])*24)</f>
        <v>0</v>
      </c>
      <c r="S1279" s="261">
        <f>(Table6[[#This Row],[Fault Clearance time]]-Table6[[#This Row],[Work Start TimeStamp]])*24</f>
        <v>8</v>
      </c>
      <c r="T1279" s="261">
        <f>(Table6[[#This Row],[Fault Clearance time]]-Table6[[#This Row],[Fault Start TimeStamp]])*24</f>
        <v>8</v>
      </c>
      <c r="U1279" s="35" t="s">
        <v>536</v>
      </c>
      <c r="V1279" s="102" t="s">
        <v>289</v>
      </c>
      <c r="W1279" s="267">
        <f>IFERROR(Table6[[#This Row],[Breakdown Time]]*Table6[[#This Row],[Plant Equivalent Weightage]],"")</f>
        <v>0.3076923076923076</v>
      </c>
      <c r="X1279" s="262" t="s">
        <v>546</v>
      </c>
      <c r="Y1279" s="263" t="s">
        <v>128</v>
      </c>
      <c r="Z1279" s="102">
        <v>31473</v>
      </c>
      <c r="AA1279" s="257">
        <f>(Table6[[#This Row],[Paired WTG Generation for loss calculation]]/24)*Table6[[#This Row],[Breakdown Time]]</f>
        <v>10491</v>
      </c>
      <c r="AB1279" s="102"/>
      <c r="AC1279" s="35"/>
      <c r="AD1279" s="35"/>
    </row>
    <row r="1280" spans="1:30">
      <c r="A1280" s="102">
        <f t="shared" si="20"/>
        <v>1279</v>
      </c>
      <c r="B1280" s="257">
        <f>YEAR(Table6[[#This Row],[Date]])+IF(MONTH(Table6[[#This Row],[Date]])&gt;=4,1,0)</f>
        <v>2026</v>
      </c>
      <c r="C1280" s="102">
        <f>YEAR(Table6[[#This Row],[Date]])</f>
        <v>2025</v>
      </c>
      <c r="D1280" s="102" t="s">
        <v>265</v>
      </c>
      <c r="E1280" s="258">
        <f>Table6[[#This Row],[Date]]-DAY(Table6[[#This Row],[Date]])+1</f>
        <v>45809</v>
      </c>
      <c r="F1280" s="259">
        <v>45830</v>
      </c>
      <c r="G1280" s="35" t="s">
        <v>126</v>
      </c>
      <c r="H1280" s="35" t="str">
        <f>IFERROR(_xlfn.XLOOKUP(Table6[[#This Row],[Affected WTG]],'Basic Data'!$A:$A,'Basic Data'!$B:$B),"")</f>
        <v>TQGXIIPL</v>
      </c>
      <c r="I1280" s="35" t="str">
        <f>IFERROR(_xlfn.XLOOKUP(Table6[[#This Row],[Affected WTG]],'Basic Data'!$A:$A,'Basic Data'!$C:$C),"")</f>
        <v>GEDA</v>
      </c>
      <c r="J1280" s="260">
        <f>IFERROR(_xlfn.XLOOKUP(Table6[[#This Row],[Affected WTG]],'Basic Data'!$A:$A,'Basic Data'!$E:$E),"")</f>
        <v>3.846153846153845E-2</v>
      </c>
      <c r="K1280" s="102">
        <v>55</v>
      </c>
      <c r="L1280" s="35" t="str">
        <f>IFERROR(_xlfn.XLOOKUP(Table6[[#This Row],[Error Code]],'Basic Data'!$AA:$AA,'Basic Data'!$AB:$AB),"Incorrect Error Code")</f>
        <v>WTG shut down</v>
      </c>
      <c r="M1280" s="35" t="s">
        <v>456</v>
      </c>
      <c r="N1280" s="264"/>
      <c r="O1280" s="265">
        <v>0.33333333333333331</v>
      </c>
      <c r="P1280" s="265">
        <v>0.33333333333333331</v>
      </c>
      <c r="Q1280" s="266">
        <v>0.99998842592592596</v>
      </c>
      <c r="R1280" s="261">
        <f>IF(Table6[[#This Row],[Work Start TimeStamp]]="","",(Table6[[#This Row],[Work Start TimeStamp]]-Table6[[#This Row],[Fault Start TimeStamp]])*24)</f>
        <v>0</v>
      </c>
      <c r="S1280" s="261">
        <f>(Table6[[#This Row],[Fault Clearance time]]-Table6[[#This Row],[Work Start TimeStamp]])*24</f>
        <v>15.999722222222225</v>
      </c>
      <c r="T1280" s="261">
        <f>(Table6[[#This Row],[Fault Clearance time]]-Table6[[#This Row],[Fault Start TimeStamp]])*24</f>
        <v>15.999722222222225</v>
      </c>
      <c r="U1280" s="35" t="s">
        <v>536</v>
      </c>
      <c r="V1280" s="102" t="s">
        <v>289</v>
      </c>
      <c r="W1280" s="267">
        <f>IFERROR(Table6[[#This Row],[Breakdown Time]]*Table6[[#This Row],[Plant Equivalent Weightage]],"")</f>
        <v>0.6153739316239315</v>
      </c>
      <c r="X1280" s="262" t="s">
        <v>269</v>
      </c>
      <c r="Y1280" s="263" t="s">
        <v>128</v>
      </c>
      <c r="Z1280" s="102">
        <v>31473</v>
      </c>
      <c r="AA1280" s="257">
        <f>(Table6[[#This Row],[Paired WTG Generation for loss calculation]]/24)*Table6[[#This Row],[Breakdown Time]]</f>
        <v>20981.635729166672</v>
      </c>
      <c r="AB1280" s="102"/>
      <c r="AC1280" s="35"/>
      <c r="AD1280" s="35"/>
    </row>
    <row r="1281" spans="1:30">
      <c r="A1281" s="102">
        <f t="shared" si="20"/>
        <v>1280</v>
      </c>
      <c r="B1281" s="257">
        <f>YEAR(Table6[[#This Row],[Date]])+IF(MONTH(Table6[[#This Row],[Date]])&gt;=4,1,0)</f>
        <v>2026</v>
      </c>
      <c r="C1281" s="102">
        <f>YEAR(Table6[[#This Row],[Date]])</f>
        <v>2025</v>
      </c>
      <c r="D1281" s="102" t="s">
        <v>265</v>
      </c>
      <c r="E1281" s="258">
        <f>Table6[[#This Row],[Date]]-DAY(Table6[[#This Row],[Date]])+1</f>
        <v>45809</v>
      </c>
      <c r="F1281" s="259">
        <v>45830</v>
      </c>
      <c r="G1281" s="35" t="s">
        <v>132</v>
      </c>
      <c r="H1281" s="35" t="str">
        <f>IFERROR(_xlfn.XLOOKUP(Table6[[#This Row],[Affected WTG]],'Basic Data'!$A:$A,'Basic Data'!$B:$B),"")</f>
        <v>TQGXIIPL</v>
      </c>
      <c r="I1281" s="35" t="str">
        <f>IFERROR(_xlfn.XLOOKUP(Table6[[#This Row],[Affected WTG]],'Basic Data'!$A:$A,'Basic Data'!$C:$C),"")</f>
        <v>GEDA</v>
      </c>
      <c r="J1281" s="260">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266</v>
      </c>
      <c r="N1281" s="264"/>
      <c r="O1281" s="265">
        <v>0.25972222222222224</v>
      </c>
      <c r="P1281" s="265">
        <v>0.25972222222222224</v>
      </c>
      <c r="Q1281" s="266">
        <v>0.27500000000000002</v>
      </c>
      <c r="R1281" s="261">
        <f>IF(Table6[[#This Row],[Work Start TimeStamp]]="","",(Table6[[#This Row],[Work Start TimeStamp]]-Table6[[#This Row],[Fault Start TimeStamp]])*24)</f>
        <v>0</v>
      </c>
      <c r="S1281" s="261">
        <f>(Table6[[#This Row],[Fault Clearance time]]-Table6[[#This Row],[Work Start TimeStamp]])*24</f>
        <v>0.3666666666666667</v>
      </c>
      <c r="T1281" s="261">
        <f>(Table6[[#This Row],[Fault Clearance time]]-Table6[[#This Row],[Fault Start TimeStamp]])*24</f>
        <v>0.3666666666666667</v>
      </c>
      <c r="U1281" s="35" t="s">
        <v>547</v>
      </c>
      <c r="V1281" s="102" t="s">
        <v>268</v>
      </c>
      <c r="W1281" s="267">
        <f>IFERROR(Table6[[#This Row],[Breakdown Time]]*Table6[[#This Row],[Plant Equivalent Weightage]],"")</f>
        <v>1.4102564102564099E-2</v>
      </c>
      <c r="X1281" s="262" t="s">
        <v>269</v>
      </c>
      <c r="Y1281" s="263" t="s">
        <v>120</v>
      </c>
      <c r="Z1281" s="102">
        <v>28395</v>
      </c>
      <c r="AA1281" s="257">
        <f>(Table6[[#This Row],[Paired WTG Generation for loss calculation]]/24)*Table6[[#This Row],[Breakdown Time]]</f>
        <v>433.81250000000006</v>
      </c>
      <c r="AB1281" s="102"/>
      <c r="AC1281" s="35"/>
      <c r="AD1281" s="35"/>
    </row>
    <row r="1282" spans="1:30">
      <c r="A1282" s="102">
        <f t="shared" si="20"/>
        <v>1281</v>
      </c>
      <c r="B1282" s="257">
        <f>YEAR(Table6[[#This Row],[Date]])+IF(MONTH(Table6[[#This Row],[Date]])&gt;=4,1,0)</f>
        <v>2026</v>
      </c>
      <c r="C1282" s="102">
        <f>YEAR(Table6[[#This Row],[Date]])</f>
        <v>2025</v>
      </c>
      <c r="D1282" s="102" t="s">
        <v>265</v>
      </c>
      <c r="E1282" s="258">
        <f>Table6[[#This Row],[Date]]-DAY(Table6[[#This Row],[Date]])+1</f>
        <v>45809</v>
      </c>
      <c r="F1282" s="259">
        <v>45830</v>
      </c>
      <c r="G1282" s="35" t="s">
        <v>132</v>
      </c>
      <c r="H1282" s="35" t="str">
        <f>IFERROR(_xlfn.XLOOKUP(Table6[[#This Row],[Affected WTG]],'Basic Data'!$A:$A,'Basic Data'!$B:$B),"")</f>
        <v>TQGXIIPL</v>
      </c>
      <c r="I1282" s="35" t="str">
        <f>IFERROR(_xlfn.XLOOKUP(Table6[[#This Row],[Affected WTG]],'Basic Data'!$A:$A,'Basic Data'!$C:$C),"")</f>
        <v>GEDA</v>
      </c>
      <c r="J1282" s="260">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266</v>
      </c>
      <c r="N1282" s="264"/>
      <c r="O1282" s="265">
        <v>0.8569444444444444</v>
      </c>
      <c r="P1282" s="265">
        <v>0.8569444444444444</v>
      </c>
      <c r="Q1282" s="266">
        <v>0.86319444444444449</v>
      </c>
      <c r="R1282" s="261">
        <f>IF(Table6[[#This Row],[Work Start TimeStamp]]="","",(Table6[[#This Row],[Work Start TimeStamp]]-Table6[[#This Row],[Fault Start TimeStamp]])*24)</f>
        <v>0</v>
      </c>
      <c r="S1282" s="261">
        <f>(Table6[[#This Row],[Fault Clearance time]]-Table6[[#This Row],[Work Start TimeStamp]])*24</f>
        <v>0.15000000000000213</v>
      </c>
      <c r="T1282" s="261">
        <f>(Table6[[#This Row],[Fault Clearance time]]-Table6[[#This Row],[Fault Start TimeStamp]])*24</f>
        <v>0.15000000000000213</v>
      </c>
      <c r="U1282" s="35" t="s">
        <v>547</v>
      </c>
      <c r="V1282" s="102" t="s">
        <v>268</v>
      </c>
      <c r="W1282" s="267">
        <f>IFERROR(Table6[[#This Row],[Breakdown Time]]*Table6[[#This Row],[Plant Equivalent Weightage]],"")</f>
        <v>5.7692307692308493E-3</v>
      </c>
      <c r="X1282" s="262" t="s">
        <v>269</v>
      </c>
      <c r="Y1282" s="263" t="s">
        <v>120</v>
      </c>
      <c r="Z1282" s="102">
        <v>28395</v>
      </c>
      <c r="AA1282" s="257">
        <f>(Table6[[#This Row],[Paired WTG Generation for loss calculation]]/24)*Table6[[#This Row],[Breakdown Time]]</f>
        <v>177.46875000000253</v>
      </c>
      <c r="AB1282" s="102"/>
      <c r="AC1282" s="35"/>
      <c r="AD1282" s="35"/>
    </row>
    <row r="1283" spans="1:30">
      <c r="A1283" s="102">
        <f t="shared" si="20"/>
        <v>1282</v>
      </c>
      <c r="B1283" s="257">
        <f>YEAR(Table6[[#This Row],[Date]])+IF(MONTH(Table6[[#This Row],[Date]])&gt;=4,1,0)</f>
        <v>2026</v>
      </c>
      <c r="C1283" s="102">
        <f>YEAR(Table6[[#This Row],[Date]])</f>
        <v>2025</v>
      </c>
      <c r="D1283" s="102" t="s">
        <v>265</v>
      </c>
      <c r="E1283" s="258">
        <f>Table6[[#This Row],[Date]]-DAY(Table6[[#This Row],[Date]])+1</f>
        <v>45809</v>
      </c>
      <c r="F1283" s="259">
        <v>45830</v>
      </c>
      <c r="G1283" s="35" t="s">
        <v>133</v>
      </c>
      <c r="H1283" s="35" t="str">
        <f>IFERROR(_xlfn.XLOOKUP(Table6[[#This Row],[Affected WTG]],'Basic Data'!$A:$A,'Basic Data'!$B:$B),"")</f>
        <v>TQGXIIPL</v>
      </c>
      <c r="I1283" s="35" t="str">
        <f>IFERROR(_xlfn.XLOOKUP(Table6[[#This Row],[Affected WTG]],'Basic Data'!$A:$A,'Basic Data'!$C:$C),"")</f>
        <v>GEDA</v>
      </c>
      <c r="J1283" s="260">
        <f>IFERROR(_xlfn.XLOOKUP(Table6[[#This Row],[Affected WTG]],'Basic Data'!$A:$A,'Basic Data'!$E:$E),"")</f>
        <v>3.846153846153845E-2</v>
      </c>
      <c r="K1283" s="102">
        <v>55</v>
      </c>
      <c r="L1283" s="35" t="str">
        <f>IFERROR(_xlfn.XLOOKUP(Table6[[#This Row],[Error Code]],'Basic Data'!$AA:$AA,'Basic Data'!$AB:$AB),"Incorrect Error Code")</f>
        <v>WTG shut down</v>
      </c>
      <c r="M1283" s="35" t="s">
        <v>266</v>
      </c>
      <c r="N1283" s="264"/>
      <c r="O1283" s="265">
        <v>0.76388888888888884</v>
      </c>
      <c r="P1283" s="265">
        <v>0.76388888888888884</v>
      </c>
      <c r="Q1283" s="266">
        <v>0.80277777777777781</v>
      </c>
      <c r="R1283" s="261">
        <f>IF(Table6[[#This Row],[Work Start TimeStamp]]="","",(Table6[[#This Row],[Work Start TimeStamp]]-Table6[[#This Row],[Fault Start TimeStamp]])*24)</f>
        <v>0</v>
      </c>
      <c r="S1283" s="261">
        <f>(Table6[[#This Row],[Fault Clearance time]]-Table6[[#This Row],[Work Start TimeStamp]])*24</f>
        <v>0.93333333333333535</v>
      </c>
      <c r="T1283" s="261">
        <f>(Table6[[#This Row],[Fault Clearance time]]-Table6[[#This Row],[Fault Start TimeStamp]])*24</f>
        <v>0.93333333333333535</v>
      </c>
      <c r="U1283" s="35" t="s">
        <v>548</v>
      </c>
      <c r="V1283" s="102" t="s">
        <v>268</v>
      </c>
      <c r="W1283" s="267">
        <f>IFERROR(Table6[[#This Row],[Breakdown Time]]*Table6[[#This Row],[Plant Equivalent Weightage]],"")</f>
        <v>3.5897435897435964E-2</v>
      </c>
      <c r="X1283" s="262" t="s">
        <v>269</v>
      </c>
      <c r="Y1283" s="263" t="s">
        <v>121</v>
      </c>
      <c r="Z1283" s="102">
        <v>25670</v>
      </c>
      <c r="AA1283" s="257">
        <f>(Table6[[#This Row],[Paired WTG Generation for loss calculation]]/24)*Table6[[#This Row],[Breakdown Time]]</f>
        <v>998.27777777777987</v>
      </c>
      <c r="AB1283" s="102"/>
      <c r="AC1283" s="35"/>
      <c r="AD1283" s="35"/>
    </row>
    <row r="1284" spans="1:30">
      <c r="A1284" s="102">
        <f t="shared" si="20"/>
        <v>1283</v>
      </c>
      <c r="B1284" s="257">
        <f>YEAR(Table6[[#This Row],[Date]])+IF(MONTH(Table6[[#This Row],[Date]])&gt;=4,1,0)</f>
        <v>2026</v>
      </c>
      <c r="C1284" s="102">
        <f>YEAR(Table6[[#This Row],[Date]])</f>
        <v>2025</v>
      </c>
      <c r="D1284" s="102" t="s">
        <v>265</v>
      </c>
      <c r="E1284" s="258">
        <f>Table6[[#This Row],[Date]]-DAY(Table6[[#This Row],[Date]])+1</f>
        <v>45809</v>
      </c>
      <c r="F1284" s="259">
        <v>45830</v>
      </c>
      <c r="G1284" s="35" t="s">
        <v>136</v>
      </c>
      <c r="H1284" s="35" t="str">
        <f>IFERROR(_xlfn.XLOOKUP(Table6[[#This Row],[Affected WTG]],'Basic Data'!$A:$A,'Basic Data'!$B:$B),"")</f>
        <v>TQGXIIPL</v>
      </c>
      <c r="I1284" s="35" t="str">
        <f>IFERROR(_xlfn.XLOOKUP(Table6[[#This Row],[Affected WTG]],'Basic Data'!$A:$A,'Basic Data'!$C:$C),"")</f>
        <v>GEDA</v>
      </c>
      <c r="J1284" s="260">
        <f>IFERROR(_xlfn.XLOOKUP(Table6[[#This Row],[Affected WTG]],'Basic Data'!$A:$A,'Basic Data'!$E:$E),"")</f>
        <v>3.846153846153845E-2</v>
      </c>
      <c r="K1284" s="102">
        <v>665</v>
      </c>
      <c r="L1284" s="35" t="str">
        <f>IFERROR(_xlfn.XLOOKUP(Table6[[#This Row],[Error Code]],'Basic Data'!$AA:$AA,'Basic Data'!$AB:$AB),"Incorrect Error Code")</f>
        <v>Pitch error</v>
      </c>
      <c r="M1284" s="35" t="s">
        <v>266</v>
      </c>
      <c r="N1284" s="264"/>
      <c r="O1284" s="265">
        <v>0.7583333333333333</v>
      </c>
      <c r="P1284" s="265">
        <v>0.7583333333333333</v>
      </c>
      <c r="Q1284" s="266">
        <v>0.76041666666666663</v>
      </c>
      <c r="R1284" s="261">
        <f>IF(Table6[[#This Row],[Work Start TimeStamp]]="","",(Table6[[#This Row],[Work Start TimeStamp]]-Table6[[#This Row],[Fault Start TimeStamp]])*24)</f>
        <v>0</v>
      </c>
      <c r="S1284" s="261">
        <f>(Table6[[#This Row],[Fault Clearance time]]-Table6[[#This Row],[Work Start TimeStamp]])*24</f>
        <v>4.9999999999999822E-2</v>
      </c>
      <c r="T1284" s="261">
        <f>(Table6[[#This Row],[Fault Clearance time]]-Table6[[#This Row],[Fault Start TimeStamp]])*24</f>
        <v>4.9999999999999822E-2</v>
      </c>
      <c r="U1284" s="35" t="s">
        <v>483</v>
      </c>
      <c r="V1284" s="102" t="s">
        <v>268</v>
      </c>
      <c r="W1284" s="267">
        <f>IFERROR(Table6[[#This Row],[Breakdown Time]]*Table6[[#This Row],[Plant Equivalent Weightage]],"")</f>
        <v>1.9230769230769156E-3</v>
      </c>
      <c r="X1284" s="262" t="s">
        <v>269</v>
      </c>
      <c r="Y1284" s="263" t="s">
        <v>120</v>
      </c>
      <c r="Z1284" s="102">
        <v>28395</v>
      </c>
      <c r="AA1284" s="257">
        <f>(Table6[[#This Row],[Paired WTG Generation for loss calculation]]/24)*Table6[[#This Row],[Breakdown Time]]</f>
        <v>59.156249999999787</v>
      </c>
      <c r="AB1284" s="102"/>
      <c r="AC1284" s="35"/>
      <c r="AD1284" s="35"/>
    </row>
    <row r="1285" spans="1:30">
      <c r="A1285" s="102">
        <f t="shared" si="20"/>
        <v>1284</v>
      </c>
      <c r="B1285" s="257">
        <f>YEAR(Table6[[#This Row],[Date]])+IF(MONTH(Table6[[#This Row],[Date]])&gt;=4,1,0)</f>
        <v>2026</v>
      </c>
      <c r="C1285" s="102">
        <f>YEAR(Table6[[#This Row],[Date]])</f>
        <v>2025</v>
      </c>
      <c r="D1285" s="102" t="s">
        <v>265</v>
      </c>
      <c r="E1285" s="258">
        <f>Table6[[#This Row],[Date]]-DAY(Table6[[#This Row],[Date]])+1</f>
        <v>45809</v>
      </c>
      <c r="F1285" s="259">
        <v>45831</v>
      </c>
      <c r="G1285" s="35" t="s">
        <v>119</v>
      </c>
      <c r="H1285" s="35" t="str">
        <f>IFERROR(_xlfn.XLOOKUP(Table6[[#This Row],[Affected WTG]],'Basic Data'!$A:$A,'Basic Data'!$B:$B),"")</f>
        <v>TQGXIIPL</v>
      </c>
      <c r="I1285" s="35" t="str">
        <f>IFERROR(_xlfn.XLOOKUP(Table6[[#This Row],[Affected WTG]],'Basic Data'!$A:$A,'Basic Data'!$C:$C),"")</f>
        <v>GEDA</v>
      </c>
      <c r="J1285" s="260">
        <f>IFERROR(_xlfn.XLOOKUP(Table6[[#This Row],[Affected WTG]],'Basic Data'!$A:$A,'Basic Data'!$E:$E),"")</f>
        <v>3.846153846153845E-2</v>
      </c>
      <c r="K1285" s="102">
        <v>175</v>
      </c>
      <c r="L1285" s="35" t="str">
        <f>IFERROR(_xlfn.XLOOKUP(Table6[[#This Row],[Error Code]],'Basic Data'!$AA:$AA,'Basic Data'!$AB:$AB),"Incorrect Error Code")</f>
        <v>SLC error</v>
      </c>
      <c r="M1285" s="35" t="s">
        <v>266</v>
      </c>
      <c r="N1285" s="264"/>
      <c r="O1285" s="265">
        <v>0.25</v>
      </c>
      <c r="P1285" s="265">
        <v>0.25</v>
      </c>
      <c r="Q1285" s="266">
        <v>0.27500000000000002</v>
      </c>
      <c r="R1285" s="261">
        <f>IF(Table6[[#This Row],[Work Start TimeStamp]]="","",(Table6[[#This Row],[Work Start TimeStamp]]-Table6[[#This Row],[Fault Start TimeStamp]])*24)</f>
        <v>0</v>
      </c>
      <c r="S1285" s="261">
        <f>(Table6[[#This Row],[Fault Clearance time]]-Table6[[#This Row],[Work Start TimeStamp]])*24</f>
        <v>0.60000000000000053</v>
      </c>
      <c r="T1285" s="261">
        <f>(Table6[[#This Row],[Fault Clearance time]]-Table6[[#This Row],[Fault Start TimeStamp]])*24</f>
        <v>0.60000000000000053</v>
      </c>
      <c r="U1285" s="35" t="s">
        <v>528</v>
      </c>
      <c r="V1285" s="102" t="s">
        <v>268</v>
      </c>
      <c r="W1285" s="267">
        <f>IFERROR(Table6[[#This Row],[Breakdown Time]]*Table6[[#This Row],[Plant Equivalent Weightage]],"")</f>
        <v>2.3076923076923092E-2</v>
      </c>
      <c r="X1285" s="262" t="s">
        <v>269</v>
      </c>
      <c r="Y1285" s="263" t="s">
        <v>116</v>
      </c>
      <c r="Z1285" s="102">
        <v>36662</v>
      </c>
      <c r="AA1285" s="257">
        <f>(Table6[[#This Row],[Paired WTG Generation for loss calculation]]/24)*Table6[[#This Row],[Breakdown Time]]</f>
        <v>916.55000000000075</v>
      </c>
      <c r="AB1285" s="102"/>
      <c r="AC1285" s="35"/>
      <c r="AD1285" s="35"/>
    </row>
    <row r="1286" spans="1:30">
      <c r="A1286" s="102">
        <f t="shared" si="20"/>
        <v>1285</v>
      </c>
      <c r="B1286" s="257">
        <f>YEAR(Table6[[#This Row],[Date]])+IF(MONTH(Table6[[#This Row],[Date]])&gt;=4,1,0)</f>
        <v>2026</v>
      </c>
      <c r="C1286" s="102">
        <f>YEAR(Table6[[#This Row],[Date]])</f>
        <v>2025</v>
      </c>
      <c r="D1286" s="102" t="s">
        <v>265</v>
      </c>
      <c r="E1286" s="258">
        <f>Table6[[#This Row],[Date]]-DAY(Table6[[#This Row],[Date]])+1</f>
        <v>45809</v>
      </c>
      <c r="F1286" s="259">
        <v>45831</v>
      </c>
      <c r="G1286" s="35" t="s">
        <v>119</v>
      </c>
      <c r="H1286" s="35" t="str">
        <f>IFERROR(_xlfn.XLOOKUP(Table6[[#This Row],[Affected WTG]],'Basic Data'!$A:$A,'Basic Data'!$B:$B),"")</f>
        <v>TQGXIIPL</v>
      </c>
      <c r="I1286" s="35" t="str">
        <f>IFERROR(_xlfn.XLOOKUP(Table6[[#This Row],[Affected WTG]],'Basic Data'!$A:$A,'Basic Data'!$C:$C),"")</f>
        <v>GEDA</v>
      </c>
      <c r="J1286" s="260">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266</v>
      </c>
      <c r="N1286" s="264"/>
      <c r="O1286" s="265">
        <v>0.70347222222222228</v>
      </c>
      <c r="P1286" s="265">
        <v>0.70347222222222228</v>
      </c>
      <c r="Q1286" s="266">
        <v>0.70694444444444449</v>
      </c>
      <c r="R1286" s="261">
        <f>IF(Table6[[#This Row],[Work Start TimeStamp]]="","",(Table6[[#This Row],[Work Start TimeStamp]]-Table6[[#This Row],[Fault Start TimeStamp]])*24)</f>
        <v>0</v>
      </c>
      <c r="S1286" s="261">
        <f>(Table6[[#This Row],[Fault Clearance time]]-Table6[[#This Row],[Work Start TimeStamp]])*24</f>
        <v>8.3333333333333037E-2</v>
      </c>
      <c r="T1286" s="261">
        <f>(Table6[[#This Row],[Fault Clearance time]]-Table6[[#This Row],[Fault Start TimeStamp]])*24</f>
        <v>8.3333333333333037E-2</v>
      </c>
      <c r="U1286" s="35" t="s">
        <v>483</v>
      </c>
      <c r="V1286" s="102" t="s">
        <v>268</v>
      </c>
      <c r="W1286" s="267">
        <f>IFERROR(Table6[[#This Row],[Breakdown Time]]*Table6[[#This Row],[Plant Equivalent Weightage]],"")</f>
        <v>3.2051282051281929E-3</v>
      </c>
      <c r="X1286" s="262" t="s">
        <v>269</v>
      </c>
      <c r="Y1286" s="263" t="s">
        <v>116</v>
      </c>
      <c r="Z1286" s="102">
        <v>36662</v>
      </c>
      <c r="AA1286" s="257">
        <f>(Table6[[#This Row],[Paired WTG Generation for loss calculation]]/24)*Table6[[#This Row],[Breakdown Time]]</f>
        <v>127.29861111111066</v>
      </c>
      <c r="AB1286" s="102"/>
      <c r="AC1286" s="35"/>
      <c r="AD1286" s="35"/>
    </row>
    <row r="1287" spans="1:30">
      <c r="A1287" s="102">
        <f t="shared" si="20"/>
        <v>1286</v>
      </c>
      <c r="B1287" s="257">
        <f>YEAR(Table6[[#This Row],[Date]])+IF(MONTH(Table6[[#This Row],[Date]])&gt;=4,1,0)</f>
        <v>2026</v>
      </c>
      <c r="C1287" s="102">
        <f>YEAR(Table6[[#This Row],[Date]])</f>
        <v>2025</v>
      </c>
      <c r="D1287" s="102" t="s">
        <v>265</v>
      </c>
      <c r="E1287" s="258">
        <f>Table6[[#This Row],[Date]]-DAY(Table6[[#This Row],[Date]])+1</f>
        <v>45809</v>
      </c>
      <c r="F1287" s="259">
        <v>45831</v>
      </c>
      <c r="G1287" s="35" t="s">
        <v>122</v>
      </c>
      <c r="H1287" s="35" t="str">
        <f>IFERROR(_xlfn.XLOOKUP(Table6[[#This Row],[Affected WTG]],'Basic Data'!$A:$A,'Basic Data'!$B:$B),"")</f>
        <v>TQGXIIPL</v>
      </c>
      <c r="I1287" s="35" t="str">
        <f>IFERROR(_xlfn.XLOOKUP(Table6[[#This Row],[Affected WTG]],'Basic Data'!$A:$A,'Basic Data'!$C:$C),"")</f>
        <v>GEDA</v>
      </c>
      <c r="J1287" s="260">
        <f>IFERROR(_xlfn.XLOOKUP(Table6[[#This Row],[Affected WTG]],'Basic Data'!$A:$A,'Basic Data'!$E:$E),"")</f>
        <v>3.846153846153845E-2</v>
      </c>
      <c r="K1287" s="102">
        <v>665</v>
      </c>
      <c r="L1287" s="35" t="str">
        <f>IFERROR(_xlfn.XLOOKUP(Table6[[#This Row],[Error Code]],'Basic Data'!$AA:$AA,'Basic Data'!$AB:$AB),"Incorrect Error Code")</f>
        <v>Pitch error</v>
      </c>
      <c r="M1287" s="35" t="s">
        <v>266</v>
      </c>
      <c r="N1287" s="264"/>
      <c r="O1287" s="265">
        <v>0.72986111111111107</v>
      </c>
      <c r="P1287" s="265">
        <v>0.72986111111111107</v>
      </c>
      <c r="Q1287" s="266">
        <v>0.73333333333333328</v>
      </c>
      <c r="R1287" s="261">
        <f>IF(Table6[[#This Row],[Work Start TimeStamp]]="","",(Table6[[#This Row],[Work Start TimeStamp]]-Table6[[#This Row],[Fault Start TimeStamp]])*24)</f>
        <v>0</v>
      </c>
      <c r="S1287" s="261">
        <f>(Table6[[#This Row],[Fault Clearance time]]-Table6[[#This Row],[Work Start TimeStamp]])*24</f>
        <v>8.3333333333333037E-2</v>
      </c>
      <c r="T1287" s="261">
        <f>(Table6[[#This Row],[Fault Clearance time]]-Table6[[#This Row],[Fault Start TimeStamp]])*24</f>
        <v>8.3333333333333037E-2</v>
      </c>
      <c r="U1287" s="35" t="s">
        <v>483</v>
      </c>
      <c r="V1287" s="102" t="s">
        <v>268</v>
      </c>
      <c r="W1287" s="267">
        <f>IFERROR(Table6[[#This Row],[Breakdown Time]]*Table6[[#This Row],[Plant Equivalent Weightage]],"")</f>
        <v>3.2051282051281929E-3</v>
      </c>
      <c r="X1287" s="262" t="s">
        <v>269</v>
      </c>
      <c r="Y1287" s="263" t="s">
        <v>140</v>
      </c>
      <c r="Z1287" s="102">
        <v>35736</v>
      </c>
      <c r="AA1287" s="257">
        <f>(Table6[[#This Row],[Paired WTG Generation for loss calculation]]/24)*Table6[[#This Row],[Breakdown Time]]</f>
        <v>124.08333333333289</v>
      </c>
      <c r="AB1287" s="102"/>
      <c r="AC1287" s="35"/>
      <c r="AD1287" s="35"/>
    </row>
    <row r="1288" spans="1:30">
      <c r="A1288" s="102">
        <f t="shared" si="20"/>
        <v>1287</v>
      </c>
      <c r="B1288" s="257">
        <f>YEAR(Table6[[#This Row],[Date]])+IF(MONTH(Table6[[#This Row],[Date]])&gt;=4,1,0)</f>
        <v>2026</v>
      </c>
      <c r="C1288" s="102">
        <f>YEAR(Table6[[#This Row],[Date]])</f>
        <v>2025</v>
      </c>
      <c r="D1288" s="102" t="s">
        <v>265</v>
      </c>
      <c r="E1288" s="258">
        <f>Table6[[#This Row],[Date]]-DAY(Table6[[#This Row],[Date]])+1</f>
        <v>45809</v>
      </c>
      <c r="F1288" s="259">
        <v>45831</v>
      </c>
      <c r="G1288" s="35" t="s">
        <v>122</v>
      </c>
      <c r="H1288" s="35" t="str">
        <f>IFERROR(_xlfn.XLOOKUP(Table6[[#This Row],[Affected WTG]],'Basic Data'!$A:$A,'Basic Data'!$B:$B),"")</f>
        <v>TQGXIIPL</v>
      </c>
      <c r="I1288" s="35" t="str">
        <f>IFERROR(_xlfn.XLOOKUP(Table6[[#This Row],[Affected WTG]],'Basic Data'!$A:$A,'Basic Data'!$C:$C),"")</f>
        <v>GEDA</v>
      </c>
      <c r="J1288" s="260">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266</v>
      </c>
      <c r="N1288" s="264"/>
      <c r="O1288" s="265">
        <v>0.77152777777777781</v>
      </c>
      <c r="P1288" s="265">
        <v>0.77152777777777781</v>
      </c>
      <c r="Q1288" s="266">
        <v>0.78055555555555556</v>
      </c>
      <c r="R1288" s="261">
        <f>IF(Table6[[#This Row],[Work Start TimeStamp]]="","",(Table6[[#This Row],[Work Start TimeStamp]]-Table6[[#This Row],[Fault Start TimeStamp]])*24)</f>
        <v>0</v>
      </c>
      <c r="S1288" s="261">
        <f>(Table6[[#This Row],[Fault Clearance time]]-Table6[[#This Row],[Work Start TimeStamp]])*24</f>
        <v>0.2166666666666659</v>
      </c>
      <c r="T1288" s="261">
        <f>(Table6[[#This Row],[Fault Clearance time]]-Table6[[#This Row],[Fault Start TimeStamp]])*24</f>
        <v>0.2166666666666659</v>
      </c>
      <c r="U1288" s="35" t="s">
        <v>483</v>
      </c>
      <c r="V1288" s="102" t="s">
        <v>268</v>
      </c>
      <c r="W1288" s="267">
        <f>IFERROR(Table6[[#This Row],[Breakdown Time]]*Table6[[#This Row],[Plant Equivalent Weightage]],"")</f>
        <v>8.333333333333302E-3</v>
      </c>
      <c r="X1288" s="262" t="s">
        <v>269</v>
      </c>
      <c r="Y1288" s="263" t="s">
        <v>140</v>
      </c>
      <c r="Z1288" s="102">
        <v>35736</v>
      </c>
      <c r="AA1288" s="257">
        <f>(Table6[[#This Row],[Paired WTG Generation for loss calculation]]/24)*Table6[[#This Row],[Breakdown Time]]</f>
        <v>322.61666666666554</v>
      </c>
      <c r="AB1288" s="102"/>
      <c r="AC1288" s="35"/>
      <c r="AD1288" s="35"/>
    </row>
    <row r="1289" spans="1:30">
      <c r="A1289" s="102">
        <f t="shared" si="20"/>
        <v>1288</v>
      </c>
      <c r="B1289" s="257">
        <f>YEAR(Table6[[#This Row],[Date]])+IF(MONTH(Table6[[#This Row],[Date]])&gt;=4,1,0)</f>
        <v>2026</v>
      </c>
      <c r="C1289" s="102">
        <f>YEAR(Table6[[#This Row],[Date]])</f>
        <v>2025</v>
      </c>
      <c r="D1289" s="102" t="s">
        <v>265</v>
      </c>
      <c r="E1289" s="258">
        <f>Table6[[#This Row],[Date]]-DAY(Table6[[#This Row],[Date]])+1</f>
        <v>45809</v>
      </c>
      <c r="F1289" s="259">
        <v>45831</v>
      </c>
      <c r="G1289" s="35" t="s">
        <v>126</v>
      </c>
      <c r="H1289" s="35" t="str">
        <f>IFERROR(_xlfn.XLOOKUP(Table6[[#This Row],[Affected WTG]],'Basic Data'!$A:$A,'Basic Data'!$B:$B),"")</f>
        <v>TQGXIIPL</v>
      </c>
      <c r="I1289" s="35" t="str">
        <f>IFERROR(_xlfn.XLOOKUP(Table6[[#This Row],[Affected WTG]],'Basic Data'!$A:$A,'Basic Data'!$C:$C),"")</f>
        <v>GEDA</v>
      </c>
      <c r="J1289" s="260">
        <f>IFERROR(_xlfn.XLOOKUP(Table6[[#This Row],[Affected WTG]],'Basic Data'!$A:$A,'Basic Data'!$E:$E),"")</f>
        <v>3.846153846153845E-2</v>
      </c>
      <c r="K1289" s="102">
        <v>55</v>
      </c>
      <c r="L1289" s="35" t="str">
        <f>IFERROR(_xlfn.XLOOKUP(Table6[[#This Row],[Error Code]],'Basic Data'!$AA:$AA,'Basic Data'!$AB:$AB),"Incorrect Error Code")</f>
        <v>WTG shut down</v>
      </c>
      <c r="M1289" s="35" t="s">
        <v>291</v>
      </c>
      <c r="N1289" s="264"/>
      <c r="O1289" s="265">
        <v>0</v>
      </c>
      <c r="P1289" s="265">
        <v>0</v>
      </c>
      <c r="Q1289" s="266">
        <v>0.61805555555555558</v>
      </c>
      <c r="R1289" s="261">
        <f>IF(Table6[[#This Row],[Work Start TimeStamp]]="","",(Table6[[#This Row],[Work Start TimeStamp]]-Table6[[#This Row],[Fault Start TimeStamp]])*24)</f>
        <v>0</v>
      </c>
      <c r="S1289" s="261">
        <f>(Table6[[#This Row],[Fault Clearance time]]-Table6[[#This Row],[Work Start TimeStamp]])*24</f>
        <v>14.833333333333334</v>
      </c>
      <c r="T1289" s="261">
        <f>(Table6[[#This Row],[Fault Clearance time]]-Table6[[#This Row],[Fault Start TimeStamp]])*24</f>
        <v>14.833333333333334</v>
      </c>
      <c r="U1289" s="35" t="s">
        <v>536</v>
      </c>
      <c r="V1289" s="102" t="s">
        <v>549</v>
      </c>
      <c r="W1289" s="267">
        <f>IFERROR(Table6[[#This Row],[Breakdown Time]]*Table6[[#This Row],[Plant Equivalent Weightage]],"")</f>
        <v>0.57051282051282037</v>
      </c>
      <c r="X1289" s="262" t="s">
        <v>531</v>
      </c>
      <c r="Y1289" s="263" t="s">
        <v>128</v>
      </c>
      <c r="Z1289" s="102">
        <v>35000</v>
      </c>
      <c r="AA1289" s="257">
        <f>(Table6[[#This Row],[Paired WTG Generation for loss calculation]]/24)*Table6[[#This Row],[Breakdown Time]]</f>
        <v>21631.944444444445</v>
      </c>
      <c r="AB1289" s="102"/>
      <c r="AC1289" s="35"/>
      <c r="AD1289" s="35"/>
    </row>
    <row r="1290" spans="1:30">
      <c r="A1290" s="102">
        <f t="shared" si="20"/>
        <v>1289</v>
      </c>
      <c r="B1290" s="257">
        <f>YEAR(Table6[[#This Row],[Date]])+IF(MONTH(Table6[[#This Row],[Date]])&gt;=4,1,0)</f>
        <v>2026</v>
      </c>
      <c r="C1290" s="102">
        <f>YEAR(Table6[[#This Row],[Date]])</f>
        <v>2025</v>
      </c>
      <c r="D1290" s="102" t="s">
        <v>265</v>
      </c>
      <c r="E1290" s="258">
        <f>Table6[[#This Row],[Date]]-DAY(Table6[[#This Row],[Date]])+1</f>
        <v>45809</v>
      </c>
      <c r="F1290" s="259">
        <v>45831</v>
      </c>
      <c r="G1290" s="35" t="s">
        <v>126</v>
      </c>
      <c r="H1290" s="35" t="str">
        <f>IFERROR(_xlfn.XLOOKUP(Table6[[#This Row],[Affected WTG]],'Basic Data'!$A:$A,'Basic Data'!$B:$B),"")</f>
        <v>TQGXIIPL</v>
      </c>
      <c r="I1290" s="35" t="str">
        <f>IFERROR(_xlfn.XLOOKUP(Table6[[#This Row],[Affected WTG]],'Basic Data'!$A:$A,'Basic Data'!$C:$C),"")</f>
        <v>GEDA</v>
      </c>
      <c r="J1290" s="260">
        <f>IFERROR(_xlfn.XLOOKUP(Table6[[#This Row],[Affected WTG]],'Basic Data'!$A:$A,'Basic Data'!$E:$E),"")</f>
        <v>3.846153846153845E-2</v>
      </c>
      <c r="K1290" s="102">
        <v>55</v>
      </c>
      <c r="L1290" s="35" t="str">
        <f>IFERROR(_xlfn.XLOOKUP(Table6[[#This Row],[Error Code]],'Basic Data'!$AA:$AA,'Basic Data'!$AB:$AB),"Incorrect Error Code")</f>
        <v>WTG shut down</v>
      </c>
      <c r="M1290" s="35" t="s">
        <v>291</v>
      </c>
      <c r="N1290" s="264"/>
      <c r="O1290" s="265">
        <v>0.61805555555555558</v>
      </c>
      <c r="P1290" s="265">
        <v>0.61805555555555558</v>
      </c>
      <c r="Q1290" s="266">
        <v>0.99998842592592596</v>
      </c>
      <c r="R1290" s="261">
        <f>IF(Table6[[#This Row],[Work Start TimeStamp]]="","",(Table6[[#This Row],[Work Start TimeStamp]]-Table6[[#This Row],[Fault Start TimeStamp]])*24)</f>
        <v>0</v>
      </c>
      <c r="S1290" s="261">
        <f>(Table6[[#This Row],[Fault Clearance time]]-Table6[[#This Row],[Work Start TimeStamp]])*24</f>
        <v>9.1663888888888891</v>
      </c>
      <c r="T1290" s="261">
        <f>(Table6[[#This Row],[Fault Clearance time]]-Table6[[#This Row],[Fault Start TimeStamp]])*24</f>
        <v>9.1663888888888891</v>
      </c>
      <c r="U1290" s="35" t="s">
        <v>536</v>
      </c>
      <c r="V1290" s="102" t="s">
        <v>549</v>
      </c>
      <c r="W1290" s="267">
        <f>IFERROR(Table6[[#This Row],[Breakdown Time]]*Table6[[#This Row],[Plant Equivalent Weightage]],"")</f>
        <v>0.35255341880341873</v>
      </c>
      <c r="X1290" s="262" t="s">
        <v>269</v>
      </c>
      <c r="Y1290" s="263" t="s">
        <v>128</v>
      </c>
      <c r="Z1290" s="102">
        <v>35000</v>
      </c>
      <c r="AA1290" s="257">
        <f>(Table6[[#This Row],[Paired WTG Generation for loss calculation]]/24)*Table6[[#This Row],[Breakdown Time]]</f>
        <v>13367.650462962964</v>
      </c>
      <c r="AB1290" s="102"/>
      <c r="AC1290" s="35"/>
      <c r="AD1290" s="35"/>
    </row>
    <row r="1291" spans="1:30">
      <c r="A1291" s="102">
        <f t="shared" si="20"/>
        <v>1290</v>
      </c>
      <c r="B1291" s="257">
        <f>YEAR(Table6[[#This Row],[Date]])+IF(MONTH(Table6[[#This Row],[Date]])&gt;=4,1,0)</f>
        <v>2026</v>
      </c>
      <c r="C1291" s="102">
        <f>YEAR(Table6[[#This Row],[Date]])</f>
        <v>2025</v>
      </c>
      <c r="D1291" s="102" t="s">
        <v>265</v>
      </c>
      <c r="E1291" s="258">
        <f>Table6[[#This Row],[Date]]-DAY(Table6[[#This Row],[Date]])+1</f>
        <v>45809</v>
      </c>
      <c r="F1291" s="259">
        <v>45831</v>
      </c>
      <c r="G1291" s="35" t="s">
        <v>128</v>
      </c>
      <c r="H1291" s="35" t="str">
        <f>IFERROR(_xlfn.XLOOKUP(Table6[[#This Row],[Affected WTG]],'Basic Data'!$A:$A,'Basic Data'!$B:$B),"")</f>
        <v>TQGXIIPL</v>
      </c>
      <c r="I1291" s="35" t="str">
        <f>IFERROR(_xlfn.XLOOKUP(Table6[[#This Row],[Affected WTG]],'Basic Data'!$A:$A,'Basic Data'!$C:$C),"")</f>
        <v>GEDA</v>
      </c>
      <c r="J1291" s="260">
        <f>IFERROR(_xlfn.XLOOKUP(Table6[[#This Row],[Affected WTG]],'Basic Data'!$A:$A,'Basic Data'!$E:$E),"")</f>
        <v>3.846153846153845E-2</v>
      </c>
      <c r="K1291" s="102">
        <v>175</v>
      </c>
      <c r="L1291" s="35" t="str">
        <f>IFERROR(_xlfn.XLOOKUP(Table6[[#This Row],[Error Code]],'Basic Data'!$AA:$AA,'Basic Data'!$AB:$AB),"Incorrect Error Code")</f>
        <v>SLC error</v>
      </c>
      <c r="M1291" s="35" t="s">
        <v>266</v>
      </c>
      <c r="N1291" s="264"/>
      <c r="O1291" s="265">
        <v>0.43125000000000002</v>
      </c>
      <c r="P1291" s="265">
        <v>0.43125000000000002</v>
      </c>
      <c r="Q1291" s="266">
        <v>0.43333333333333335</v>
      </c>
      <c r="R1291" s="261">
        <f>IF(Table6[[#This Row],[Work Start TimeStamp]]="","",(Table6[[#This Row],[Work Start TimeStamp]]-Table6[[#This Row],[Fault Start TimeStamp]])*24)</f>
        <v>0</v>
      </c>
      <c r="S1291" s="261">
        <f>(Table6[[#This Row],[Fault Clearance time]]-Table6[[#This Row],[Work Start TimeStamp]])*24</f>
        <v>4.9999999999999822E-2</v>
      </c>
      <c r="T1291" s="261">
        <f>(Table6[[#This Row],[Fault Clearance time]]-Table6[[#This Row],[Fault Start TimeStamp]])*24</f>
        <v>4.9999999999999822E-2</v>
      </c>
      <c r="U1291" s="35" t="s">
        <v>483</v>
      </c>
      <c r="V1291" s="102" t="s">
        <v>268</v>
      </c>
      <c r="W1291" s="267">
        <f>IFERROR(Table6[[#This Row],[Breakdown Time]]*Table6[[#This Row],[Plant Equivalent Weightage]],"")</f>
        <v>1.9230769230769156E-3</v>
      </c>
      <c r="X1291" s="262" t="s">
        <v>269</v>
      </c>
      <c r="Y1291" s="263" t="s">
        <v>126</v>
      </c>
      <c r="Z1291" s="102">
        <v>0</v>
      </c>
      <c r="AA1291" s="257">
        <f>(Table6[[#This Row],[Paired WTG Generation for loss calculation]]/24)*Table6[[#This Row],[Breakdown Time]]</f>
        <v>0</v>
      </c>
      <c r="AB1291" s="102"/>
      <c r="AC1291" s="35"/>
      <c r="AD1291" s="35"/>
    </row>
    <row r="1292" spans="1:30">
      <c r="A1292" s="102">
        <f t="shared" si="20"/>
        <v>1291</v>
      </c>
      <c r="B1292" s="257">
        <f>YEAR(Table6[[#This Row],[Date]])+IF(MONTH(Table6[[#This Row],[Date]])&gt;=4,1,0)</f>
        <v>2026</v>
      </c>
      <c r="C1292" s="102">
        <f>YEAR(Table6[[#This Row],[Date]])</f>
        <v>2025</v>
      </c>
      <c r="D1292" s="102" t="s">
        <v>265</v>
      </c>
      <c r="E1292" s="258">
        <f>Table6[[#This Row],[Date]]-DAY(Table6[[#This Row],[Date]])+1</f>
        <v>45809</v>
      </c>
      <c r="F1292" s="259">
        <v>45831</v>
      </c>
      <c r="G1292" s="35" t="s">
        <v>130</v>
      </c>
      <c r="H1292" s="35" t="str">
        <f>IFERROR(_xlfn.XLOOKUP(Table6[[#This Row],[Affected WTG]],'Basic Data'!$A:$A,'Basic Data'!$B:$B),"")</f>
        <v>TQGXIIPL</v>
      </c>
      <c r="I1292" s="35" t="str">
        <f>IFERROR(_xlfn.XLOOKUP(Table6[[#This Row],[Affected WTG]],'Basic Data'!$A:$A,'Basic Data'!$C:$C),"")</f>
        <v>GEDA</v>
      </c>
      <c r="J1292" s="260">
        <f>IFERROR(_xlfn.XLOOKUP(Table6[[#This Row],[Affected WTG]],'Basic Data'!$A:$A,'Basic Data'!$E:$E),"")</f>
        <v>3.846153846153845E-2</v>
      </c>
      <c r="K1292" s="102">
        <v>6605</v>
      </c>
      <c r="L1292" s="35" t="str">
        <f>IFERROR(_xlfn.XLOOKUP(Table6[[#This Row],[Error Code]],'Basic Data'!$AA:$AA,'Basic Data'!$AB:$AB),"Incorrect Error Code")</f>
        <v>Wind.dir. diff. level 2</v>
      </c>
      <c r="M1292" s="35" t="s">
        <v>266</v>
      </c>
      <c r="N1292" s="264"/>
      <c r="O1292" s="265">
        <v>0.74375000000000002</v>
      </c>
      <c r="P1292" s="265">
        <v>0.74375000000000002</v>
      </c>
      <c r="Q1292" s="266">
        <v>0.74583333333333335</v>
      </c>
      <c r="R1292" s="261">
        <f>IF(Table6[[#This Row],[Work Start TimeStamp]]="","",(Table6[[#This Row],[Work Start TimeStamp]]-Table6[[#This Row],[Fault Start TimeStamp]])*24)</f>
        <v>0</v>
      </c>
      <c r="S1292" s="261">
        <f>(Table6[[#This Row],[Fault Clearance time]]-Table6[[#This Row],[Work Start TimeStamp]])*24</f>
        <v>4.9999999999999822E-2</v>
      </c>
      <c r="T1292" s="261">
        <f>(Table6[[#This Row],[Fault Clearance time]]-Table6[[#This Row],[Fault Start TimeStamp]])*24</f>
        <v>4.9999999999999822E-2</v>
      </c>
      <c r="U1292" s="35" t="s">
        <v>483</v>
      </c>
      <c r="V1292" s="102" t="s">
        <v>268</v>
      </c>
      <c r="W1292" s="267">
        <f>IFERROR(Table6[[#This Row],[Breakdown Time]]*Table6[[#This Row],[Plant Equivalent Weightage]],"")</f>
        <v>1.9230769230769156E-3</v>
      </c>
      <c r="X1292" s="262" t="s">
        <v>269</v>
      </c>
      <c r="Y1292" s="263" t="s">
        <v>135</v>
      </c>
      <c r="Z1292" s="102">
        <v>32231</v>
      </c>
      <c r="AA1292" s="257">
        <f>(Table6[[#This Row],[Paired WTG Generation for loss calculation]]/24)*Table6[[#This Row],[Breakdown Time]]</f>
        <v>67.147916666666418</v>
      </c>
      <c r="AB1292" s="102"/>
      <c r="AC1292" s="35"/>
      <c r="AD1292" s="35"/>
    </row>
    <row r="1293" spans="1:30">
      <c r="A1293" s="102">
        <f t="shared" si="20"/>
        <v>1292</v>
      </c>
      <c r="B1293" s="257">
        <f>YEAR(Table6[[#This Row],[Date]])+IF(MONTH(Table6[[#This Row],[Date]])&gt;=4,1,0)</f>
        <v>2026</v>
      </c>
      <c r="C1293" s="102">
        <f>YEAR(Table6[[#This Row],[Date]])</f>
        <v>2025</v>
      </c>
      <c r="D1293" s="102" t="s">
        <v>265</v>
      </c>
      <c r="E1293" s="258">
        <f>Table6[[#This Row],[Date]]-DAY(Table6[[#This Row],[Date]])+1</f>
        <v>45809</v>
      </c>
      <c r="F1293" s="259">
        <v>45831</v>
      </c>
      <c r="G1293" s="35" t="s">
        <v>132</v>
      </c>
      <c r="H1293" s="35" t="str">
        <f>IFERROR(_xlfn.XLOOKUP(Table6[[#This Row],[Affected WTG]],'Basic Data'!$A:$A,'Basic Data'!$B:$B),"")</f>
        <v>TQGXIIPL</v>
      </c>
      <c r="I1293" s="35" t="str">
        <f>IFERROR(_xlfn.XLOOKUP(Table6[[#This Row],[Affected WTG]],'Basic Data'!$A:$A,'Basic Data'!$C:$C),"")</f>
        <v>GEDA</v>
      </c>
      <c r="J1293" s="260">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266</v>
      </c>
      <c r="N1293" s="264"/>
      <c r="O1293" s="265">
        <v>0.44583333333333336</v>
      </c>
      <c r="P1293" s="265">
        <v>0.44583333333333336</v>
      </c>
      <c r="Q1293" s="266">
        <v>0.44930555555555557</v>
      </c>
      <c r="R1293" s="261">
        <f>IF(Table6[[#This Row],[Work Start TimeStamp]]="","",(Table6[[#This Row],[Work Start TimeStamp]]-Table6[[#This Row],[Fault Start TimeStamp]])*24)</f>
        <v>0</v>
      </c>
      <c r="S1293" s="261">
        <f>(Table6[[#This Row],[Fault Clearance time]]-Table6[[#This Row],[Work Start TimeStamp]])*24</f>
        <v>8.3333333333333037E-2</v>
      </c>
      <c r="T1293" s="261">
        <f>(Table6[[#This Row],[Fault Clearance time]]-Table6[[#This Row],[Fault Start TimeStamp]])*24</f>
        <v>8.3333333333333037E-2</v>
      </c>
      <c r="U1293" s="35" t="s">
        <v>483</v>
      </c>
      <c r="V1293" s="102" t="s">
        <v>268</v>
      </c>
      <c r="W1293" s="267">
        <f>IFERROR(Table6[[#This Row],[Breakdown Time]]*Table6[[#This Row],[Plant Equivalent Weightage]],"")</f>
        <v>3.2051282051281929E-3</v>
      </c>
      <c r="X1293" s="262" t="s">
        <v>269</v>
      </c>
      <c r="Y1293" s="263" t="s">
        <v>120</v>
      </c>
      <c r="Z1293" s="102">
        <v>32886</v>
      </c>
      <c r="AA1293" s="257">
        <f>(Table6[[#This Row],[Paired WTG Generation for loss calculation]]/24)*Table6[[#This Row],[Breakdown Time]]</f>
        <v>114.18749999999959</v>
      </c>
      <c r="AB1293" s="102"/>
      <c r="AC1293" s="35"/>
      <c r="AD1293" s="35"/>
    </row>
    <row r="1294" spans="1:30">
      <c r="A1294" s="102">
        <f t="shared" si="20"/>
        <v>1293</v>
      </c>
      <c r="B1294" s="257">
        <f>YEAR(Table6[[#This Row],[Date]])+IF(MONTH(Table6[[#This Row],[Date]])&gt;=4,1,0)</f>
        <v>2026</v>
      </c>
      <c r="C1294" s="102">
        <f>YEAR(Table6[[#This Row],[Date]])</f>
        <v>2025</v>
      </c>
      <c r="D1294" s="102" t="s">
        <v>265</v>
      </c>
      <c r="E1294" s="258">
        <f>Table6[[#This Row],[Date]]-DAY(Table6[[#This Row],[Date]])+1</f>
        <v>45809</v>
      </c>
      <c r="F1294" s="259">
        <v>45831</v>
      </c>
      <c r="G1294" s="35" t="s">
        <v>133</v>
      </c>
      <c r="H1294" s="35" t="str">
        <f>IFERROR(_xlfn.XLOOKUP(Table6[[#This Row],[Affected WTG]],'Basic Data'!$A:$A,'Basic Data'!$B:$B),"")</f>
        <v>TQGXIIPL</v>
      </c>
      <c r="I1294" s="35" t="str">
        <f>IFERROR(_xlfn.XLOOKUP(Table6[[#This Row],[Affected WTG]],'Basic Data'!$A:$A,'Basic Data'!$C:$C),"")</f>
        <v>GEDA</v>
      </c>
      <c r="J1294" s="260">
        <f>IFERROR(_xlfn.XLOOKUP(Table6[[#This Row],[Affected WTG]],'Basic Data'!$A:$A,'Basic Data'!$E:$E),"")</f>
        <v>3.846153846153845E-2</v>
      </c>
      <c r="K1294" s="102">
        <v>55</v>
      </c>
      <c r="L1294" s="35" t="str">
        <f>IFERROR(_xlfn.XLOOKUP(Table6[[#This Row],[Error Code]],'Basic Data'!$AA:$AA,'Basic Data'!$AB:$AB),"Incorrect Error Code")</f>
        <v>WTG shut down</v>
      </c>
      <c r="M1294" s="35" t="s">
        <v>266</v>
      </c>
      <c r="N1294" s="264"/>
      <c r="O1294" s="265">
        <v>0.34652777777777777</v>
      </c>
      <c r="P1294" s="265">
        <v>0.34652777777777777</v>
      </c>
      <c r="Q1294" s="266">
        <v>0.3576388888888889</v>
      </c>
      <c r="R1294" s="261">
        <f>IF(Table6[[#This Row],[Work Start TimeStamp]]="","",(Table6[[#This Row],[Work Start TimeStamp]]-Table6[[#This Row],[Fault Start TimeStamp]])*24)</f>
        <v>0</v>
      </c>
      <c r="S1294" s="261">
        <f>(Table6[[#This Row],[Fault Clearance time]]-Table6[[#This Row],[Work Start TimeStamp]])*24</f>
        <v>0.26666666666666705</v>
      </c>
      <c r="T1294" s="261">
        <f>(Table6[[#This Row],[Fault Clearance time]]-Table6[[#This Row],[Fault Start TimeStamp]])*24</f>
        <v>0.26666666666666705</v>
      </c>
      <c r="U1294" s="35" t="s">
        <v>548</v>
      </c>
      <c r="V1294" s="102" t="s">
        <v>268</v>
      </c>
      <c r="W1294" s="267">
        <f>IFERROR(Table6[[#This Row],[Breakdown Time]]*Table6[[#This Row],[Plant Equivalent Weightage]],"")</f>
        <v>1.0256410256410269E-2</v>
      </c>
      <c r="X1294" s="262" t="s">
        <v>296</v>
      </c>
      <c r="Y1294" s="263" t="s">
        <v>121</v>
      </c>
      <c r="Z1294" s="102">
        <v>30932</v>
      </c>
      <c r="AA1294" s="257">
        <f>(Table6[[#This Row],[Paired WTG Generation for loss calculation]]/24)*Table6[[#This Row],[Breakdown Time]]</f>
        <v>343.68888888888938</v>
      </c>
      <c r="AB1294" s="102"/>
      <c r="AC1294" s="35"/>
      <c r="AD1294" s="35"/>
    </row>
    <row r="1295" spans="1:30">
      <c r="A1295" s="102">
        <f t="shared" ref="A1295:A1358" si="21">A1294+1</f>
        <v>1294</v>
      </c>
      <c r="B1295" s="257">
        <f>YEAR(Table6[[#This Row],[Date]])+IF(MONTH(Table6[[#This Row],[Date]])&gt;=4,1,0)</f>
        <v>2026</v>
      </c>
      <c r="C1295" s="102">
        <f>YEAR(Table6[[#This Row],[Date]])</f>
        <v>2025</v>
      </c>
      <c r="D1295" s="102" t="s">
        <v>265</v>
      </c>
      <c r="E1295" s="258">
        <f>Table6[[#This Row],[Date]]-DAY(Table6[[#This Row],[Date]])+1</f>
        <v>45809</v>
      </c>
      <c r="F1295" s="259">
        <v>45832</v>
      </c>
      <c r="G1295" s="35" t="s">
        <v>116</v>
      </c>
      <c r="H1295" s="35" t="str">
        <f>IFERROR(_xlfn.XLOOKUP(Table6[[#This Row],[Affected WTG]],'Basic Data'!$A:$A,'Basic Data'!$B:$B),"")</f>
        <v>TQGXIIPL</v>
      </c>
      <c r="I1295" s="35" t="str">
        <f>IFERROR(_xlfn.XLOOKUP(Table6[[#This Row],[Affected WTG]],'Basic Data'!$A:$A,'Basic Data'!$C:$C),"")</f>
        <v>GEDA</v>
      </c>
      <c r="J1295" s="260">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278</v>
      </c>
      <c r="N1295" s="264"/>
      <c r="O1295" s="265">
        <v>0.24583333333333332</v>
      </c>
      <c r="P1295" s="265">
        <v>0.24583333333333332</v>
      </c>
      <c r="Q1295" s="266">
        <v>0.24652777777777779</v>
      </c>
      <c r="R1295" s="261">
        <f>IF(Table6[[#This Row],[Work Start TimeStamp]]="","",(Table6[[#This Row],[Work Start TimeStamp]]-Table6[[#This Row],[Fault Start TimeStamp]])*24)</f>
        <v>0</v>
      </c>
      <c r="S1295" s="261">
        <f>(Table6[[#This Row],[Fault Clearance time]]-Table6[[#This Row],[Work Start TimeStamp]])*24</f>
        <v>1.6666666666667274E-2</v>
      </c>
      <c r="T1295" s="261">
        <f>(Table6[[#This Row],[Fault Clearance time]]-Table6[[#This Row],[Fault Start TimeStamp]])*24</f>
        <v>1.6666666666667274E-2</v>
      </c>
      <c r="U1295" s="35" t="s">
        <v>277</v>
      </c>
      <c r="V1295" s="102" t="s">
        <v>268</v>
      </c>
      <c r="W1295" s="267">
        <f>IFERROR(Table6[[#This Row],[Breakdown Time]]*Table6[[#This Row],[Plant Equivalent Weightage]],"")</f>
        <v>6.4102564102566423E-4</v>
      </c>
      <c r="X1295" s="262" t="s">
        <v>269</v>
      </c>
      <c r="Y1295" s="263" t="s">
        <v>119</v>
      </c>
      <c r="Z1295" s="102">
        <v>46848</v>
      </c>
      <c r="AA1295" s="257">
        <f>(Table6[[#This Row],[Paired WTG Generation for loss calculation]]/24)*Table6[[#This Row],[Breakdown Time]]</f>
        <v>32.533333333334518</v>
      </c>
      <c r="AB1295" s="102"/>
      <c r="AC1295" s="35"/>
      <c r="AD1295" s="35"/>
    </row>
    <row r="1296" spans="1:30">
      <c r="A1296" s="102">
        <f t="shared" si="21"/>
        <v>1295</v>
      </c>
      <c r="B1296" s="257">
        <f>YEAR(Table6[[#This Row],[Date]])+IF(MONTH(Table6[[#This Row],[Date]])&gt;=4,1,0)</f>
        <v>2026</v>
      </c>
      <c r="C1296" s="102">
        <f>YEAR(Table6[[#This Row],[Date]])</f>
        <v>2025</v>
      </c>
      <c r="D1296" s="102" t="s">
        <v>265</v>
      </c>
      <c r="E1296" s="258">
        <f>Table6[[#This Row],[Date]]-DAY(Table6[[#This Row],[Date]])+1</f>
        <v>45809</v>
      </c>
      <c r="F1296" s="259">
        <v>45832</v>
      </c>
      <c r="G1296" s="35" t="s">
        <v>118</v>
      </c>
      <c r="H1296" s="35" t="str">
        <f>IFERROR(_xlfn.XLOOKUP(Table6[[#This Row],[Affected WTG]],'Basic Data'!$A:$A,'Basic Data'!$B:$B),"")</f>
        <v>TQGXIIPL</v>
      </c>
      <c r="I1296" s="35" t="str">
        <f>IFERROR(_xlfn.XLOOKUP(Table6[[#This Row],[Affected WTG]],'Basic Data'!$A:$A,'Basic Data'!$C:$C),"")</f>
        <v>GEDA</v>
      </c>
      <c r="J1296" s="260">
        <f>IFERROR(_xlfn.XLOOKUP(Table6[[#This Row],[Affected WTG]],'Basic Data'!$A:$A,'Basic Data'!$E:$E),"")</f>
        <v>3.846153846153845E-2</v>
      </c>
      <c r="K1296" s="102">
        <v>6130</v>
      </c>
      <c r="L1296" s="35" t="str">
        <f>IFERROR(_xlfn.XLOOKUP(Table6[[#This Row],[Error Code]],'Basic Data'!$AA:$AA,'Basic Data'!$AB:$AB),"Incorrect Error Code")</f>
        <v>Yaw speed high</v>
      </c>
      <c r="M1296" s="35" t="s">
        <v>278</v>
      </c>
      <c r="N1296" s="264"/>
      <c r="O1296" s="265">
        <v>7.2916666666666671E-2</v>
      </c>
      <c r="P1296" s="265">
        <v>7.2916666666666671E-2</v>
      </c>
      <c r="Q1296" s="266">
        <v>7.4305555555555555E-2</v>
      </c>
      <c r="R1296" s="261">
        <f>IF(Table6[[#This Row],[Work Start TimeStamp]]="","",(Table6[[#This Row],[Work Start TimeStamp]]-Table6[[#This Row],[Fault Start TimeStamp]])*24)</f>
        <v>0</v>
      </c>
      <c r="S1296" s="261">
        <f>(Table6[[#This Row],[Fault Clearance time]]-Table6[[#This Row],[Work Start TimeStamp]])*24</f>
        <v>3.3333333333333215E-2</v>
      </c>
      <c r="T1296" s="261">
        <f>(Table6[[#This Row],[Fault Clearance time]]-Table6[[#This Row],[Fault Start TimeStamp]])*24</f>
        <v>3.3333333333333215E-2</v>
      </c>
      <c r="U1296" s="35" t="s">
        <v>277</v>
      </c>
      <c r="V1296" s="102" t="s">
        <v>268</v>
      </c>
      <c r="W1296" s="267">
        <f>IFERROR(Table6[[#This Row],[Breakdown Time]]*Table6[[#This Row],[Plant Equivalent Weightage]],"")</f>
        <v>1.2820512820512771E-3</v>
      </c>
      <c r="X1296" s="262" t="s">
        <v>269</v>
      </c>
      <c r="Y1296" s="263" t="s">
        <v>121</v>
      </c>
      <c r="Z1296" s="102">
        <v>44567</v>
      </c>
      <c r="AA1296" s="257">
        <f>(Table6[[#This Row],[Paired WTG Generation for loss calculation]]/24)*Table6[[#This Row],[Breakdown Time]]</f>
        <v>61.898611111110888</v>
      </c>
      <c r="AB1296" s="102"/>
      <c r="AC1296" s="35"/>
      <c r="AD1296" s="35"/>
    </row>
    <row r="1297" spans="1:30">
      <c r="A1297" s="102">
        <f t="shared" si="21"/>
        <v>1296</v>
      </c>
      <c r="B1297" s="257">
        <f>YEAR(Table6[[#This Row],[Date]])+IF(MONTH(Table6[[#This Row],[Date]])&gt;=4,1,0)</f>
        <v>2026</v>
      </c>
      <c r="C1297" s="102">
        <f>YEAR(Table6[[#This Row],[Date]])</f>
        <v>2025</v>
      </c>
      <c r="D1297" s="102" t="s">
        <v>265</v>
      </c>
      <c r="E1297" s="258">
        <f>Table6[[#This Row],[Date]]-DAY(Table6[[#This Row],[Date]])+1</f>
        <v>45809</v>
      </c>
      <c r="F1297" s="259">
        <v>45832</v>
      </c>
      <c r="G1297" s="35" t="s">
        <v>118</v>
      </c>
      <c r="H1297" s="35" t="str">
        <f>IFERROR(_xlfn.XLOOKUP(Table6[[#This Row],[Affected WTG]],'Basic Data'!$A:$A,'Basic Data'!$B:$B),"")</f>
        <v>TQGXIIPL</v>
      </c>
      <c r="I1297" s="35" t="str">
        <f>IFERROR(_xlfn.XLOOKUP(Table6[[#This Row],[Affected WTG]],'Basic Data'!$A:$A,'Basic Data'!$C:$C),"")</f>
        <v>GEDA</v>
      </c>
      <c r="J1297" s="260">
        <f>IFERROR(_xlfn.XLOOKUP(Table6[[#This Row],[Affected WTG]],'Basic Data'!$A:$A,'Basic Data'!$E:$E),"")</f>
        <v>3.846153846153845E-2</v>
      </c>
      <c r="K1297" s="102">
        <v>6130</v>
      </c>
      <c r="L1297" s="35" t="str">
        <f>IFERROR(_xlfn.XLOOKUP(Table6[[#This Row],[Error Code]],'Basic Data'!$AA:$AA,'Basic Data'!$AB:$AB),"Incorrect Error Code")</f>
        <v>Yaw speed high</v>
      </c>
      <c r="M1297" s="35" t="s">
        <v>278</v>
      </c>
      <c r="N1297" s="264"/>
      <c r="O1297" s="265">
        <v>0.11041666666666666</v>
      </c>
      <c r="P1297" s="265">
        <v>0.11041666666666666</v>
      </c>
      <c r="Q1297" s="266">
        <v>0.11180555555555556</v>
      </c>
      <c r="R1297" s="261">
        <f>IF(Table6[[#This Row],[Work Start TimeStamp]]="","",(Table6[[#This Row],[Work Start TimeStamp]]-Table6[[#This Row],[Fault Start TimeStamp]])*24)</f>
        <v>0</v>
      </c>
      <c r="S1297" s="261">
        <f>(Table6[[#This Row],[Fault Clearance time]]-Table6[[#This Row],[Work Start TimeStamp]])*24</f>
        <v>3.3333333333333548E-2</v>
      </c>
      <c r="T1297" s="261">
        <f>(Table6[[#This Row],[Fault Clearance time]]-Table6[[#This Row],[Fault Start TimeStamp]])*24</f>
        <v>3.3333333333333548E-2</v>
      </c>
      <c r="U1297" s="35" t="s">
        <v>277</v>
      </c>
      <c r="V1297" s="102" t="s">
        <v>268</v>
      </c>
      <c r="W1297" s="267">
        <f>IFERROR(Table6[[#This Row],[Breakdown Time]]*Table6[[#This Row],[Plant Equivalent Weightage]],"")</f>
        <v>1.2820512820512899E-3</v>
      </c>
      <c r="X1297" s="262" t="s">
        <v>269</v>
      </c>
      <c r="Y1297" s="263" t="s">
        <v>121</v>
      </c>
      <c r="Z1297" s="102">
        <v>44567</v>
      </c>
      <c r="AA1297" s="257">
        <f>(Table6[[#This Row],[Paired WTG Generation for loss calculation]]/24)*Table6[[#This Row],[Breakdown Time]]</f>
        <v>61.898611111111506</v>
      </c>
      <c r="AB1297" s="102"/>
      <c r="AC1297" s="35"/>
      <c r="AD1297" s="35"/>
    </row>
    <row r="1298" spans="1:30">
      <c r="A1298" s="102">
        <f t="shared" si="21"/>
        <v>1297</v>
      </c>
      <c r="B1298" s="257">
        <f>YEAR(Table6[[#This Row],[Date]])+IF(MONTH(Table6[[#This Row],[Date]])&gt;=4,1,0)</f>
        <v>2026</v>
      </c>
      <c r="C1298" s="102">
        <f>YEAR(Table6[[#This Row],[Date]])</f>
        <v>2025</v>
      </c>
      <c r="D1298" s="102" t="s">
        <v>265</v>
      </c>
      <c r="E1298" s="258">
        <f>Table6[[#This Row],[Date]]-DAY(Table6[[#This Row],[Date]])+1</f>
        <v>45809</v>
      </c>
      <c r="F1298" s="259">
        <v>45832</v>
      </c>
      <c r="G1298" s="35" t="s">
        <v>118</v>
      </c>
      <c r="H1298" s="35" t="str">
        <f>IFERROR(_xlfn.XLOOKUP(Table6[[#This Row],[Affected WTG]],'Basic Data'!$A:$A,'Basic Data'!$B:$B),"")</f>
        <v>TQGXIIPL</v>
      </c>
      <c r="I1298" s="35" t="str">
        <f>IFERROR(_xlfn.XLOOKUP(Table6[[#This Row],[Affected WTG]],'Basic Data'!$A:$A,'Basic Data'!$C:$C),"")</f>
        <v>GEDA</v>
      </c>
      <c r="J1298" s="260">
        <f>IFERROR(_xlfn.XLOOKUP(Table6[[#This Row],[Affected WTG]],'Basic Data'!$A:$A,'Basic Data'!$E:$E),"")</f>
        <v>3.846153846153845E-2</v>
      </c>
      <c r="K1298" s="102">
        <v>4970</v>
      </c>
      <c r="L1298" s="35" t="str">
        <f>IFERROR(_xlfn.XLOOKUP(Table6[[#This Row],[Error Code]],'Basic Data'!$AA:$AA,'Basic Data'!$AB:$AB),"Incorrect Error Code")</f>
        <v>Tower oscillation XF</v>
      </c>
      <c r="M1298" s="35" t="s">
        <v>278</v>
      </c>
      <c r="N1298" s="264"/>
      <c r="O1298" s="265">
        <v>0.25208333333333333</v>
      </c>
      <c r="P1298" s="265">
        <v>0.25208333333333333</v>
      </c>
      <c r="Q1298" s="266">
        <v>0.25416666666666665</v>
      </c>
      <c r="R1298" s="261">
        <f>IF(Table6[[#This Row],[Work Start TimeStamp]]="","",(Table6[[#This Row],[Work Start TimeStamp]]-Table6[[#This Row],[Fault Start TimeStamp]])*24)</f>
        <v>0</v>
      </c>
      <c r="S1298" s="261">
        <f>(Table6[[#This Row],[Fault Clearance time]]-Table6[[#This Row],[Work Start TimeStamp]])*24</f>
        <v>4.9999999999999822E-2</v>
      </c>
      <c r="T1298" s="261">
        <f>(Table6[[#This Row],[Fault Clearance time]]-Table6[[#This Row],[Fault Start TimeStamp]])*24</f>
        <v>4.9999999999999822E-2</v>
      </c>
      <c r="U1298" s="35" t="s">
        <v>277</v>
      </c>
      <c r="V1298" s="102" t="s">
        <v>268</v>
      </c>
      <c r="W1298" s="267">
        <f>IFERROR(Table6[[#This Row],[Breakdown Time]]*Table6[[#This Row],[Plant Equivalent Weightage]],"")</f>
        <v>1.9230769230769156E-3</v>
      </c>
      <c r="X1298" s="262" t="s">
        <v>269</v>
      </c>
      <c r="Y1298" s="263" t="s">
        <v>121</v>
      </c>
      <c r="Z1298" s="102">
        <v>44567</v>
      </c>
      <c r="AA1298" s="257">
        <f>(Table6[[#This Row],[Paired WTG Generation for loss calculation]]/24)*Table6[[#This Row],[Breakdown Time]]</f>
        <v>92.847916666666336</v>
      </c>
      <c r="AB1298" s="102"/>
      <c r="AC1298" s="35"/>
      <c r="AD1298" s="35"/>
    </row>
    <row r="1299" spans="1:30">
      <c r="A1299" s="102">
        <f t="shared" si="21"/>
        <v>1298</v>
      </c>
      <c r="B1299" s="257">
        <f>YEAR(Table6[[#This Row],[Date]])+IF(MONTH(Table6[[#This Row],[Date]])&gt;=4,1,0)</f>
        <v>2026</v>
      </c>
      <c r="C1299" s="102">
        <f>YEAR(Table6[[#This Row],[Date]])</f>
        <v>2025</v>
      </c>
      <c r="D1299" s="102" t="s">
        <v>265</v>
      </c>
      <c r="E1299" s="258">
        <f>Table6[[#This Row],[Date]]-DAY(Table6[[#This Row],[Date]])+1</f>
        <v>45809</v>
      </c>
      <c r="F1299" s="259">
        <v>45832</v>
      </c>
      <c r="G1299" s="35" t="s">
        <v>118</v>
      </c>
      <c r="H1299" s="35" t="str">
        <f>IFERROR(_xlfn.XLOOKUP(Table6[[#This Row],[Affected WTG]],'Basic Data'!$A:$A,'Basic Data'!$B:$B),"")</f>
        <v>TQGXIIPL</v>
      </c>
      <c r="I1299" s="35" t="str">
        <f>IFERROR(_xlfn.XLOOKUP(Table6[[#This Row],[Affected WTG]],'Basic Data'!$A:$A,'Basic Data'!$C:$C),"")</f>
        <v>GEDA</v>
      </c>
      <c r="J1299" s="260">
        <f>IFERROR(_xlfn.XLOOKUP(Table6[[#This Row],[Affected WTG]],'Basic Data'!$A:$A,'Basic Data'!$E:$E),"")</f>
        <v>3.846153846153845E-2</v>
      </c>
      <c r="K1299" s="102">
        <v>6130</v>
      </c>
      <c r="L1299" s="35" t="str">
        <f>IFERROR(_xlfn.XLOOKUP(Table6[[#This Row],[Error Code]],'Basic Data'!$AA:$AA,'Basic Data'!$AB:$AB),"Incorrect Error Code")</f>
        <v>Yaw speed high</v>
      </c>
      <c r="M1299" s="35" t="s">
        <v>278</v>
      </c>
      <c r="N1299" s="264"/>
      <c r="O1299" s="265">
        <v>0.31458333333333333</v>
      </c>
      <c r="P1299" s="265">
        <v>0.31458333333333333</v>
      </c>
      <c r="Q1299" s="266">
        <v>0.31527777777777777</v>
      </c>
      <c r="R1299" s="261">
        <f>IF(Table6[[#This Row],[Work Start TimeStamp]]="","",(Table6[[#This Row],[Work Start TimeStamp]]-Table6[[#This Row],[Fault Start TimeStamp]])*24)</f>
        <v>0</v>
      </c>
      <c r="S1299" s="261">
        <f>(Table6[[#This Row],[Fault Clearance time]]-Table6[[#This Row],[Work Start TimeStamp]])*24</f>
        <v>1.6666666666666607E-2</v>
      </c>
      <c r="T1299" s="261">
        <f>(Table6[[#This Row],[Fault Clearance time]]-Table6[[#This Row],[Fault Start TimeStamp]])*24</f>
        <v>1.6666666666666607E-2</v>
      </c>
      <c r="U1299" s="35" t="s">
        <v>277</v>
      </c>
      <c r="V1299" s="102" t="s">
        <v>268</v>
      </c>
      <c r="W1299" s="267">
        <f>IFERROR(Table6[[#This Row],[Breakdown Time]]*Table6[[#This Row],[Plant Equivalent Weightage]],"")</f>
        <v>6.4102564102563853E-4</v>
      </c>
      <c r="X1299" s="262" t="s">
        <v>269</v>
      </c>
      <c r="Y1299" s="263" t="s">
        <v>121</v>
      </c>
      <c r="Z1299" s="102">
        <v>44567</v>
      </c>
      <c r="AA1299" s="257">
        <f>(Table6[[#This Row],[Paired WTG Generation for loss calculation]]/24)*Table6[[#This Row],[Breakdown Time]]</f>
        <v>30.949305555555444</v>
      </c>
      <c r="AB1299" s="102"/>
      <c r="AC1299" s="35"/>
      <c r="AD1299" s="35"/>
    </row>
    <row r="1300" spans="1:30">
      <c r="A1300" s="102">
        <f t="shared" si="21"/>
        <v>1299</v>
      </c>
      <c r="B1300" s="257">
        <f>YEAR(Table6[[#This Row],[Date]])+IF(MONTH(Table6[[#This Row],[Date]])&gt;=4,1,0)</f>
        <v>2026</v>
      </c>
      <c r="C1300" s="102">
        <f>YEAR(Table6[[#This Row],[Date]])</f>
        <v>2025</v>
      </c>
      <c r="D1300" s="102" t="s">
        <v>265</v>
      </c>
      <c r="E1300" s="258">
        <f>Table6[[#This Row],[Date]]-DAY(Table6[[#This Row],[Date]])+1</f>
        <v>45809</v>
      </c>
      <c r="F1300" s="259">
        <v>45832</v>
      </c>
      <c r="G1300" s="35" t="s">
        <v>119</v>
      </c>
      <c r="H1300" s="35" t="str">
        <f>IFERROR(_xlfn.XLOOKUP(Table6[[#This Row],[Affected WTG]],'Basic Data'!$A:$A,'Basic Data'!$B:$B),"")</f>
        <v>TQGXIIPL</v>
      </c>
      <c r="I1300" s="35" t="str">
        <f>IFERROR(_xlfn.XLOOKUP(Table6[[#This Row],[Affected WTG]],'Basic Data'!$A:$A,'Basic Data'!$C:$C),"")</f>
        <v>GEDA</v>
      </c>
      <c r="J1300" s="260">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266</v>
      </c>
      <c r="N1300" s="264"/>
      <c r="O1300" s="265">
        <v>0.16041666666666668</v>
      </c>
      <c r="P1300" s="265">
        <v>0.16041666666666668</v>
      </c>
      <c r="Q1300" s="266">
        <v>0.1736111111111111</v>
      </c>
      <c r="R1300" s="261">
        <f>IF(Table6[[#This Row],[Work Start TimeStamp]]="","",(Table6[[#This Row],[Work Start TimeStamp]]-Table6[[#This Row],[Fault Start TimeStamp]])*24)</f>
        <v>0</v>
      </c>
      <c r="S1300" s="261">
        <f>(Table6[[#This Row],[Fault Clearance time]]-Table6[[#This Row],[Work Start TimeStamp]])*24</f>
        <v>0.31666666666666621</v>
      </c>
      <c r="T1300" s="261">
        <f>(Table6[[#This Row],[Fault Clearance time]]-Table6[[#This Row],[Fault Start TimeStamp]])*24</f>
        <v>0.31666666666666621</v>
      </c>
      <c r="U1300" s="35" t="s">
        <v>483</v>
      </c>
      <c r="V1300" s="102" t="s">
        <v>268</v>
      </c>
      <c r="W1300" s="267">
        <f>IFERROR(Table6[[#This Row],[Breakdown Time]]*Table6[[#This Row],[Plant Equivalent Weightage]],"")</f>
        <v>1.2179487179487159E-2</v>
      </c>
      <c r="X1300" s="262" t="s">
        <v>296</v>
      </c>
      <c r="Y1300" s="263" t="s">
        <v>116</v>
      </c>
      <c r="Z1300" s="102">
        <v>46613</v>
      </c>
      <c r="AA1300" s="257">
        <f>(Table6[[#This Row],[Paired WTG Generation for loss calculation]]/24)*Table6[[#This Row],[Breakdown Time]]</f>
        <v>615.03263888888796</v>
      </c>
      <c r="AB1300" s="102"/>
      <c r="AC1300" s="35"/>
      <c r="AD1300" s="35"/>
    </row>
    <row r="1301" spans="1:30">
      <c r="A1301" s="102">
        <f t="shared" si="21"/>
        <v>1300</v>
      </c>
      <c r="B1301" s="257">
        <f>YEAR(Table6[[#This Row],[Date]])+IF(MONTH(Table6[[#This Row],[Date]])&gt;=4,1,0)</f>
        <v>2026</v>
      </c>
      <c r="C1301" s="102">
        <f>YEAR(Table6[[#This Row],[Date]])</f>
        <v>2025</v>
      </c>
      <c r="D1301" s="102" t="s">
        <v>265</v>
      </c>
      <c r="E1301" s="258">
        <f>Table6[[#This Row],[Date]]-DAY(Table6[[#This Row],[Date]])+1</f>
        <v>45809</v>
      </c>
      <c r="F1301" s="259">
        <v>45832</v>
      </c>
      <c r="G1301" s="35" t="s">
        <v>122</v>
      </c>
      <c r="H1301" s="35" t="str">
        <f>IFERROR(_xlfn.XLOOKUP(Table6[[#This Row],[Affected WTG]],'Basic Data'!$A:$A,'Basic Data'!$B:$B),"")</f>
        <v>TQGXIIPL</v>
      </c>
      <c r="I1301" s="35" t="str">
        <f>IFERROR(_xlfn.XLOOKUP(Table6[[#This Row],[Affected WTG]],'Basic Data'!$A:$A,'Basic Data'!$C:$C),"")</f>
        <v>GEDA</v>
      </c>
      <c r="J1301" s="260">
        <f>IFERROR(_xlfn.XLOOKUP(Table6[[#This Row],[Affected WTG]],'Basic Data'!$A:$A,'Basic Data'!$E:$E),"")</f>
        <v>3.846153846153845E-2</v>
      </c>
      <c r="K1301" s="102">
        <v>665</v>
      </c>
      <c r="L1301" s="35" t="str">
        <f>IFERROR(_xlfn.XLOOKUP(Table6[[#This Row],[Error Code]],'Basic Data'!$AA:$AA,'Basic Data'!$AB:$AB),"Incorrect Error Code")</f>
        <v>Pitch error</v>
      </c>
      <c r="M1301" s="35" t="s">
        <v>278</v>
      </c>
      <c r="N1301" s="264"/>
      <c r="O1301" s="265">
        <v>2.0833333333333333E-3</v>
      </c>
      <c r="P1301" s="265">
        <v>2.0833333333333333E-3</v>
      </c>
      <c r="Q1301" s="266">
        <v>4.1666666666666666E-3</v>
      </c>
      <c r="R1301" s="261">
        <f>IF(Table6[[#This Row],[Work Start TimeStamp]]="","",(Table6[[#This Row],[Work Start TimeStamp]]-Table6[[#This Row],[Fault Start TimeStamp]])*24)</f>
        <v>0</v>
      </c>
      <c r="S1301" s="261">
        <f>(Table6[[#This Row],[Fault Clearance time]]-Table6[[#This Row],[Work Start TimeStamp]])*24</f>
        <v>0.05</v>
      </c>
      <c r="T1301" s="261">
        <f>(Table6[[#This Row],[Fault Clearance time]]-Table6[[#This Row],[Fault Start TimeStamp]])*24</f>
        <v>0.05</v>
      </c>
      <c r="U1301" s="35" t="s">
        <v>277</v>
      </c>
      <c r="V1301" s="102" t="s">
        <v>268</v>
      </c>
      <c r="W1301" s="267">
        <f>IFERROR(Table6[[#This Row],[Breakdown Time]]*Table6[[#This Row],[Plant Equivalent Weightage]],"")</f>
        <v>1.9230769230769225E-3</v>
      </c>
      <c r="X1301" s="262" t="s">
        <v>269</v>
      </c>
      <c r="Y1301" s="263" t="s">
        <v>140</v>
      </c>
      <c r="Z1301" s="102">
        <v>45247</v>
      </c>
      <c r="AA1301" s="257">
        <f>(Table6[[#This Row],[Paired WTG Generation for loss calculation]]/24)*Table6[[#This Row],[Breakdown Time]]</f>
        <v>94.264583333333348</v>
      </c>
      <c r="AB1301" s="102"/>
      <c r="AC1301" s="35"/>
      <c r="AD1301" s="35"/>
    </row>
    <row r="1302" spans="1:30">
      <c r="A1302" s="102">
        <f t="shared" si="21"/>
        <v>1301</v>
      </c>
      <c r="B1302" s="257">
        <f>YEAR(Table6[[#This Row],[Date]])+IF(MONTH(Table6[[#This Row],[Date]])&gt;=4,1,0)</f>
        <v>2026</v>
      </c>
      <c r="C1302" s="102">
        <f>YEAR(Table6[[#This Row],[Date]])</f>
        <v>2025</v>
      </c>
      <c r="D1302" s="102" t="s">
        <v>265</v>
      </c>
      <c r="E1302" s="258">
        <f>Table6[[#This Row],[Date]]-DAY(Table6[[#This Row],[Date]])+1</f>
        <v>45809</v>
      </c>
      <c r="F1302" s="259">
        <v>45832</v>
      </c>
      <c r="G1302" s="35" t="s">
        <v>122</v>
      </c>
      <c r="H1302" s="35" t="str">
        <f>IFERROR(_xlfn.XLOOKUP(Table6[[#This Row],[Affected WTG]],'Basic Data'!$A:$A,'Basic Data'!$B:$B),"")</f>
        <v>TQGXIIPL</v>
      </c>
      <c r="I1302" s="35" t="str">
        <f>IFERROR(_xlfn.XLOOKUP(Table6[[#This Row],[Affected WTG]],'Basic Data'!$A:$A,'Basic Data'!$C:$C),"")</f>
        <v>GEDA</v>
      </c>
      <c r="J1302" s="260">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278</v>
      </c>
      <c r="N1302" s="264"/>
      <c r="O1302" s="265">
        <v>2.7777777777777776E-2</v>
      </c>
      <c r="P1302" s="265">
        <v>2.7777777777777776E-2</v>
      </c>
      <c r="Q1302" s="266">
        <v>2.9166666666666667E-2</v>
      </c>
      <c r="R1302" s="261">
        <f>IF(Table6[[#This Row],[Work Start TimeStamp]]="","",(Table6[[#This Row],[Work Start TimeStamp]]-Table6[[#This Row],[Fault Start TimeStamp]])*24)</f>
        <v>0</v>
      </c>
      <c r="S1302" s="261">
        <f>(Table6[[#This Row],[Fault Clearance time]]-Table6[[#This Row],[Work Start TimeStamp]])*24</f>
        <v>3.3333333333333381E-2</v>
      </c>
      <c r="T1302" s="261">
        <f>(Table6[[#This Row],[Fault Clearance time]]-Table6[[#This Row],[Fault Start TimeStamp]])*24</f>
        <v>3.3333333333333381E-2</v>
      </c>
      <c r="U1302" s="35" t="s">
        <v>277</v>
      </c>
      <c r="V1302" s="102" t="s">
        <v>268</v>
      </c>
      <c r="W1302" s="267">
        <f>IFERROR(Table6[[#This Row],[Breakdown Time]]*Table6[[#This Row],[Plant Equivalent Weightage]],"")</f>
        <v>1.2820512820512836E-3</v>
      </c>
      <c r="X1302" s="262" t="s">
        <v>269</v>
      </c>
      <c r="Y1302" s="263" t="s">
        <v>140</v>
      </c>
      <c r="Z1302" s="102">
        <v>45247</v>
      </c>
      <c r="AA1302" s="257">
        <f>(Table6[[#This Row],[Paired WTG Generation for loss calculation]]/24)*Table6[[#This Row],[Breakdown Time]]</f>
        <v>62.843055555555651</v>
      </c>
      <c r="AB1302" s="102"/>
      <c r="AC1302" s="35"/>
      <c r="AD1302" s="35"/>
    </row>
    <row r="1303" spans="1:30">
      <c r="A1303" s="102">
        <f t="shared" si="21"/>
        <v>1302</v>
      </c>
      <c r="B1303" s="257">
        <f>YEAR(Table6[[#This Row],[Date]])+IF(MONTH(Table6[[#This Row],[Date]])&gt;=4,1,0)</f>
        <v>2026</v>
      </c>
      <c r="C1303" s="102">
        <f>YEAR(Table6[[#This Row],[Date]])</f>
        <v>2025</v>
      </c>
      <c r="D1303" s="102" t="s">
        <v>265</v>
      </c>
      <c r="E1303" s="258">
        <f>Table6[[#This Row],[Date]]-DAY(Table6[[#This Row],[Date]])+1</f>
        <v>45809</v>
      </c>
      <c r="F1303" s="259">
        <v>45832</v>
      </c>
      <c r="G1303" s="35" t="s">
        <v>122</v>
      </c>
      <c r="H1303" s="35" t="str">
        <f>IFERROR(_xlfn.XLOOKUP(Table6[[#This Row],[Affected WTG]],'Basic Data'!$A:$A,'Basic Data'!$B:$B),"")</f>
        <v>TQGXIIPL</v>
      </c>
      <c r="I1303" s="35" t="str">
        <f>IFERROR(_xlfn.XLOOKUP(Table6[[#This Row],[Affected WTG]],'Basic Data'!$A:$A,'Basic Data'!$C:$C),"")</f>
        <v>GEDA</v>
      </c>
      <c r="J1303" s="260">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266</v>
      </c>
      <c r="N1303" s="264"/>
      <c r="O1303" s="265">
        <v>0.05</v>
      </c>
      <c r="P1303" s="265">
        <v>0.05</v>
      </c>
      <c r="Q1303" s="266">
        <v>5.347222222222222E-2</v>
      </c>
      <c r="R1303" s="261">
        <f>IF(Table6[[#This Row],[Work Start TimeStamp]]="","",(Table6[[#This Row],[Work Start TimeStamp]]-Table6[[#This Row],[Fault Start TimeStamp]])*24)</f>
        <v>0</v>
      </c>
      <c r="S1303" s="261">
        <f>(Table6[[#This Row],[Fault Clearance time]]-Table6[[#This Row],[Work Start TimeStamp]])*24</f>
        <v>8.3333333333333204E-2</v>
      </c>
      <c r="T1303" s="261">
        <f>(Table6[[#This Row],[Fault Clearance time]]-Table6[[#This Row],[Fault Start TimeStamp]])*24</f>
        <v>8.3333333333333204E-2</v>
      </c>
      <c r="U1303" s="35" t="s">
        <v>483</v>
      </c>
      <c r="V1303" s="102" t="s">
        <v>268</v>
      </c>
      <c r="W1303" s="267">
        <f>IFERROR(Table6[[#This Row],[Breakdown Time]]*Table6[[#This Row],[Plant Equivalent Weightage]],"")</f>
        <v>3.2051282051281994E-3</v>
      </c>
      <c r="X1303" s="262" t="s">
        <v>296</v>
      </c>
      <c r="Y1303" s="263" t="s">
        <v>140</v>
      </c>
      <c r="Z1303" s="102">
        <v>45247</v>
      </c>
      <c r="AA1303" s="257">
        <f>(Table6[[#This Row],[Paired WTG Generation for loss calculation]]/24)*Table6[[#This Row],[Breakdown Time]]</f>
        <v>157.10763888888866</v>
      </c>
      <c r="AB1303" s="102"/>
      <c r="AC1303" s="35"/>
      <c r="AD1303" s="35"/>
    </row>
    <row r="1304" spans="1:30">
      <c r="A1304" s="102">
        <f t="shared" si="21"/>
        <v>1303</v>
      </c>
      <c r="B1304" s="257">
        <f>YEAR(Table6[[#This Row],[Date]])+IF(MONTH(Table6[[#This Row],[Date]])&gt;=4,1,0)</f>
        <v>2026</v>
      </c>
      <c r="C1304" s="102">
        <f>YEAR(Table6[[#This Row],[Date]])</f>
        <v>2025</v>
      </c>
      <c r="D1304" s="102" t="s">
        <v>265</v>
      </c>
      <c r="E1304" s="258">
        <f>Table6[[#This Row],[Date]]-DAY(Table6[[#This Row],[Date]])+1</f>
        <v>45809</v>
      </c>
      <c r="F1304" s="259">
        <v>45832</v>
      </c>
      <c r="G1304" s="35" t="s">
        <v>122</v>
      </c>
      <c r="H1304" s="35" t="str">
        <f>IFERROR(_xlfn.XLOOKUP(Table6[[#This Row],[Affected WTG]],'Basic Data'!$A:$A,'Basic Data'!$B:$B),"")</f>
        <v>TQGXIIPL</v>
      </c>
      <c r="I1304" s="35" t="str">
        <f>IFERROR(_xlfn.XLOOKUP(Table6[[#This Row],[Affected WTG]],'Basic Data'!$A:$A,'Basic Data'!$C:$C),"")</f>
        <v>GEDA</v>
      </c>
      <c r="J1304" s="260">
        <f>IFERROR(_xlfn.XLOOKUP(Table6[[#This Row],[Affected WTG]],'Basic Data'!$A:$A,'Basic Data'!$E:$E),"")</f>
        <v>3.846153846153845E-2</v>
      </c>
      <c r="K1304" s="102">
        <v>665</v>
      </c>
      <c r="L1304" s="35" t="str">
        <f>IFERROR(_xlfn.XLOOKUP(Table6[[#This Row],[Error Code]],'Basic Data'!$AA:$AA,'Basic Data'!$AB:$AB),"Incorrect Error Code")</f>
        <v>Pitch error</v>
      </c>
      <c r="M1304" s="35" t="s">
        <v>266</v>
      </c>
      <c r="N1304" s="264"/>
      <c r="O1304" s="265">
        <v>6.8750000000000006E-2</v>
      </c>
      <c r="P1304" s="265">
        <v>6.8750000000000006E-2</v>
      </c>
      <c r="Q1304" s="266">
        <v>7.2916666666666671E-2</v>
      </c>
      <c r="R1304" s="261">
        <f>IF(Table6[[#This Row],[Work Start TimeStamp]]="","",(Table6[[#This Row],[Work Start TimeStamp]]-Table6[[#This Row],[Fault Start TimeStamp]])*24)</f>
        <v>0</v>
      </c>
      <c r="S1304" s="261">
        <f>(Table6[[#This Row],[Fault Clearance time]]-Table6[[#This Row],[Work Start TimeStamp]])*24</f>
        <v>9.9999999999999978E-2</v>
      </c>
      <c r="T1304" s="261">
        <f>(Table6[[#This Row],[Fault Clearance time]]-Table6[[#This Row],[Fault Start TimeStamp]])*24</f>
        <v>9.9999999999999978E-2</v>
      </c>
      <c r="U1304" s="35" t="s">
        <v>483</v>
      </c>
      <c r="V1304" s="102" t="s">
        <v>268</v>
      </c>
      <c r="W1304" s="267">
        <f>IFERROR(Table6[[#This Row],[Breakdown Time]]*Table6[[#This Row],[Plant Equivalent Weightage]],"")</f>
        <v>3.8461538461538442E-3</v>
      </c>
      <c r="X1304" s="262" t="s">
        <v>296</v>
      </c>
      <c r="Y1304" s="263" t="s">
        <v>140</v>
      </c>
      <c r="Z1304" s="102">
        <v>45247</v>
      </c>
      <c r="AA1304" s="257">
        <f>(Table6[[#This Row],[Paired WTG Generation for loss calculation]]/24)*Table6[[#This Row],[Breakdown Time]]</f>
        <v>188.52916666666664</v>
      </c>
      <c r="AB1304" s="102"/>
      <c r="AC1304" s="35"/>
      <c r="AD1304" s="35"/>
    </row>
    <row r="1305" spans="1:30">
      <c r="A1305" s="102">
        <f t="shared" si="21"/>
        <v>1304</v>
      </c>
      <c r="B1305" s="257">
        <f>YEAR(Table6[[#This Row],[Date]])+IF(MONTH(Table6[[#This Row],[Date]])&gt;=4,1,0)</f>
        <v>2026</v>
      </c>
      <c r="C1305" s="102">
        <f>YEAR(Table6[[#This Row],[Date]])</f>
        <v>2025</v>
      </c>
      <c r="D1305" s="102" t="s">
        <v>265</v>
      </c>
      <c r="E1305" s="258">
        <f>Table6[[#This Row],[Date]]-DAY(Table6[[#This Row],[Date]])+1</f>
        <v>45809</v>
      </c>
      <c r="F1305" s="259">
        <v>45832</v>
      </c>
      <c r="G1305" s="35" t="s">
        <v>122</v>
      </c>
      <c r="H1305" s="35" t="str">
        <f>IFERROR(_xlfn.XLOOKUP(Table6[[#This Row],[Affected WTG]],'Basic Data'!$A:$A,'Basic Data'!$B:$B),"")</f>
        <v>TQGXIIPL</v>
      </c>
      <c r="I1305" s="35" t="str">
        <f>IFERROR(_xlfn.XLOOKUP(Table6[[#This Row],[Affected WTG]],'Basic Data'!$A:$A,'Basic Data'!$C:$C),"")</f>
        <v>GEDA</v>
      </c>
      <c r="J1305" s="260">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266</v>
      </c>
      <c r="N1305" s="264"/>
      <c r="O1305" s="265">
        <v>0.12777777777777777</v>
      </c>
      <c r="P1305" s="265">
        <v>0.12777777777777777</v>
      </c>
      <c r="Q1305" s="266">
        <v>0.13402777777777777</v>
      </c>
      <c r="R1305" s="261">
        <f>IF(Table6[[#This Row],[Work Start TimeStamp]]="","",(Table6[[#This Row],[Work Start TimeStamp]]-Table6[[#This Row],[Fault Start TimeStamp]])*24)</f>
        <v>0</v>
      </c>
      <c r="S1305" s="261">
        <f>(Table6[[#This Row],[Fault Clearance time]]-Table6[[#This Row],[Work Start TimeStamp]])*24</f>
        <v>0.15000000000000013</v>
      </c>
      <c r="T1305" s="261">
        <f>(Table6[[#This Row],[Fault Clearance time]]-Table6[[#This Row],[Fault Start TimeStamp]])*24</f>
        <v>0.15000000000000013</v>
      </c>
      <c r="U1305" s="35" t="s">
        <v>483</v>
      </c>
      <c r="V1305" s="102" t="s">
        <v>268</v>
      </c>
      <c r="W1305" s="267">
        <f>IFERROR(Table6[[#This Row],[Breakdown Time]]*Table6[[#This Row],[Plant Equivalent Weightage]],"")</f>
        <v>5.769230769230773E-3</v>
      </c>
      <c r="X1305" s="262" t="s">
        <v>296</v>
      </c>
      <c r="Y1305" s="263" t="s">
        <v>140</v>
      </c>
      <c r="Z1305" s="102">
        <v>45247</v>
      </c>
      <c r="AA1305" s="257">
        <f>(Table6[[#This Row],[Paired WTG Generation for loss calculation]]/24)*Table6[[#This Row],[Breakdown Time]]</f>
        <v>282.79375000000027</v>
      </c>
      <c r="AB1305" s="102"/>
      <c r="AC1305" s="35"/>
      <c r="AD1305" s="35"/>
    </row>
    <row r="1306" spans="1:30">
      <c r="A1306" s="102">
        <f t="shared" si="21"/>
        <v>1305</v>
      </c>
      <c r="B1306" s="257">
        <f>YEAR(Table6[[#This Row],[Date]])+IF(MONTH(Table6[[#This Row],[Date]])&gt;=4,1,0)</f>
        <v>2026</v>
      </c>
      <c r="C1306" s="102">
        <f>YEAR(Table6[[#This Row],[Date]])</f>
        <v>2025</v>
      </c>
      <c r="D1306" s="102" t="s">
        <v>265</v>
      </c>
      <c r="E1306" s="258">
        <f>Table6[[#This Row],[Date]]-DAY(Table6[[#This Row],[Date]])+1</f>
        <v>45809</v>
      </c>
      <c r="F1306" s="259">
        <v>45832</v>
      </c>
      <c r="G1306" s="35" t="s">
        <v>122</v>
      </c>
      <c r="H1306" s="35" t="str">
        <f>IFERROR(_xlfn.XLOOKUP(Table6[[#This Row],[Affected WTG]],'Basic Data'!$A:$A,'Basic Data'!$B:$B),"")</f>
        <v>TQGXIIPL</v>
      </c>
      <c r="I1306" s="35" t="str">
        <f>IFERROR(_xlfn.XLOOKUP(Table6[[#This Row],[Affected WTG]],'Basic Data'!$A:$A,'Basic Data'!$C:$C),"")</f>
        <v>GEDA</v>
      </c>
      <c r="J1306" s="260">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266</v>
      </c>
      <c r="N1306" s="264"/>
      <c r="O1306" s="265">
        <v>0.24027777777777778</v>
      </c>
      <c r="P1306" s="265">
        <v>0.24027777777777778</v>
      </c>
      <c r="Q1306" s="266">
        <v>0.25069444444444444</v>
      </c>
      <c r="R1306" s="261">
        <f>IF(Table6[[#This Row],[Work Start TimeStamp]]="","",(Table6[[#This Row],[Work Start TimeStamp]]-Table6[[#This Row],[Fault Start TimeStamp]])*24)</f>
        <v>0</v>
      </c>
      <c r="S1306" s="261">
        <f>(Table6[[#This Row],[Fault Clearance time]]-Table6[[#This Row],[Work Start TimeStamp]])*24</f>
        <v>0.24999999999999978</v>
      </c>
      <c r="T1306" s="261">
        <f>(Table6[[#This Row],[Fault Clearance time]]-Table6[[#This Row],[Fault Start TimeStamp]])*24</f>
        <v>0.24999999999999978</v>
      </c>
      <c r="U1306" s="35" t="s">
        <v>483</v>
      </c>
      <c r="V1306" s="102" t="s">
        <v>268</v>
      </c>
      <c r="W1306" s="267">
        <f>IFERROR(Table6[[#This Row],[Breakdown Time]]*Table6[[#This Row],[Plant Equivalent Weightage]],"")</f>
        <v>9.6153846153846038E-3</v>
      </c>
      <c r="X1306" s="262" t="s">
        <v>296</v>
      </c>
      <c r="Y1306" s="263" t="s">
        <v>140</v>
      </c>
      <c r="Z1306" s="102">
        <v>45247</v>
      </c>
      <c r="AA1306" s="257">
        <f>(Table6[[#This Row],[Paired WTG Generation for loss calculation]]/24)*Table6[[#This Row],[Breakdown Time]]</f>
        <v>471.32291666666629</v>
      </c>
      <c r="AB1306" s="102"/>
      <c r="AC1306" s="35"/>
      <c r="AD1306" s="35"/>
    </row>
    <row r="1307" spans="1:30">
      <c r="A1307" s="102">
        <f t="shared" si="21"/>
        <v>1306</v>
      </c>
      <c r="B1307" s="257">
        <f>YEAR(Table6[[#This Row],[Date]])+IF(MONTH(Table6[[#This Row],[Date]])&gt;=4,1,0)</f>
        <v>2026</v>
      </c>
      <c r="C1307" s="102">
        <f>YEAR(Table6[[#This Row],[Date]])</f>
        <v>2025</v>
      </c>
      <c r="D1307" s="102" t="s">
        <v>265</v>
      </c>
      <c r="E1307" s="258">
        <f>Table6[[#This Row],[Date]]-DAY(Table6[[#This Row],[Date]])+1</f>
        <v>45809</v>
      </c>
      <c r="F1307" s="259">
        <v>45832</v>
      </c>
      <c r="G1307" s="35" t="s">
        <v>122</v>
      </c>
      <c r="H1307" s="35" t="str">
        <f>IFERROR(_xlfn.XLOOKUP(Table6[[#This Row],[Affected WTG]],'Basic Data'!$A:$A,'Basic Data'!$B:$B),"")</f>
        <v>TQGXIIPL</v>
      </c>
      <c r="I1307" s="35" t="str">
        <f>IFERROR(_xlfn.XLOOKUP(Table6[[#This Row],[Affected WTG]],'Basic Data'!$A:$A,'Basic Data'!$C:$C),"")</f>
        <v>GEDA</v>
      </c>
      <c r="J1307" s="260">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266</v>
      </c>
      <c r="N1307" s="264"/>
      <c r="O1307" s="265">
        <v>0.34930555555555554</v>
      </c>
      <c r="P1307" s="265">
        <v>0.34930555555555554</v>
      </c>
      <c r="Q1307" s="266">
        <v>0.3576388888888889</v>
      </c>
      <c r="R1307" s="261">
        <f>IF(Table6[[#This Row],[Work Start TimeStamp]]="","",(Table6[[#This Row],[Work Start TimeStamp]]-Table6[[#This Row],[Fault Start TimeStamp]])*24)</f>
        <v>0</v>
      </c>
      <c r="S1307" s="261">
        <f>(Table6[[#This Row],[Fault Clearance time]]-Table6[[#This Row],[Work Start TimeStamp]])*24</f>
        <v>0.20000000000000062</v>
      </c>
      <c r="T1307" s="261">
        <f>(Table6[[#This Row],[Fault Clearance time]]-Table6[[#This Row],[Fault Start TimeStamp]])*24</f>
        <v>0.20000000000000062</v>
      </c>
      <c r="U1307" s="35" t="s">
        <v>483</v>
      </c>
      <c r="V1307" s="102" t="s">
        <v>268</v>
      </c>
      <c r="W1307" s="267">
        <f>IFERROR(Table6[[#This Row],[Breakdown Time]]*Table6[[#This Row],[Plant Equivalent Weightage]],"")</f>
        <v>7.6923076923077136E-3</v>
      </c>
      <c r="X1307" s="262" t="s">
        <v>296</v>
      </c>
      <c r="Y1307" s="263" t="s">
        <v>140</v>
      </c>
      <c r="Z1307" s="102">
        <v>45247</v>
      </c>
      <c r="AA1307" s="257">
        <f>(Table6[[#This Row],[Paired WTG Generation for loss calculation]]/24)*Table6[[#This Row],[Breakdown Time]]</f>
        <v>377.05833333333453</v>
      </c>
      <c r="AB1307" s="102"/>
      <c r="AC1307" s="35"/>
      <c r="AD1307" s="35"/>
    </row>
    <row r="1308" spans="1:30">
      <c r="A1308" s="102">
        <f t="shared" si="21"/>
        <v>1307</v>
      </c>
      <c r="B1308" s="257">
        <f>YEAR(Table6[[#This Row],[Date]])+IF(MONTH(Table6[[#This Row],[Date]])&gt;=4,1,0)</f>
        <v>2026</v>
      </c>
      <c r="C1308" s="102">
        <f>YEAR(Table6[[#This Row],[Date]])</f>
        <v>2025</v>
      </c>
      <c r="D1308" s="102" t="s">
        <v>265</v>
      </c>
      <c r="E1308" s="258">
        <f>Table6[[#This Row],[Date]]-DAY(Table6[[#This Row],[Date]])+1</f>
        <v>45809</v>
      </c>
      <c r="F1308" s="259">
        <v>45832</v>
      </c>
      <c r="G1308" s="35" t="s">
        <v>131</v>
      </c>
      <c r="H1308" s="35" t="str">
        <f>IFERROR(_xlfn.XLOOKUP(Table6[[#This Row],[Affected WTG]],'Basic Data'!$A:$A,'Basic Data'!$B:$B),"")</f>
        <v>TQGXIIPL</v>
      </c>
      <c r="I1308" s="35" t="str">
        <f>IFERROR(_xlfn.XLOOKUP(Table6[[#This Row],[Affected WTG]],'Basic Data'!$A:$A,'Basic Data'!$C:$C),"")</f>
        <v>GEDA</v>
      </c>
      <c r="J1308" s="260">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266</v>
      </c>
      <c r="N1308" s="264"/>
      <c r="O1308" s="265">
        <v>0.26319444444444445</v>
      </c>
      <c r="P1308" s="265">
        <v>0.26319444444444445</v>
      </c>
      <c r="Q1308" s="266">
        <v>0.26874999999999999</v>
      </c>
      <c r="R1308" s="261">
        <f>IF(Table6[[#This Row],[Work Start TimeStamp]]="","",(Table6[[#This Row],[Work Start TimeStamp]]-Table6[[#This Row],[Fault Start TimeStamp]])*24)</f>
        <v>0</v>
      </c>
      <c r="S1308" s="261">
        <f>(Table6[[#This Row],[Fault Clearance time]]-Table6[[#This Row],[Work Start TimeStamp]])*24</f>
        <v>0.13333333333333286</v>
      </c>
      <c r="T1308" s="261">
        <f>(Table6[[#This Row],[Fault Clearance time]]-Table6[[#This Row],[Fault Start TimeStamp]])*24</f>
        <v>0.13333333333333286</v>
      </c>
      <c r="U1308" s="35" t="s">
        <v>483</v>
      </c>
      <c r="V1308" s="102" t="s">
        <v>268</v>
      </c>
      <c r="W1308" s="267">
        <f>IFERROR(Table6[[#This Row],[Breakdown Time]]*Table6[[#This Row],[Plant Equivalent Weightage]],"")</f>
        <v>5.1282051282051083E-3</v>
      </c>
      <c r="X1308" s="262" t="s">
        <v>296</v>
      </c>
      <c r="Y1308" s="263" t="s">
        <v>136</v>
      </c>
      <c r="Z1308" s="102">
        <v>40585</v>
      </c>
      <c r="AA1308" s="257">
        <f>(Table6[[#This Row],[Paired WTG Generation for loss calculation]]/24)*Table6[[#This Row],[Breakdown Time]]</f>
        <v>225.47222222222143</v>
      </c>
      <c r="AB1308" s="102"/>
      <c r="AC1308" s="35"/>
      <c r="AD1308" s="35"/>
    </row>
    <row r="1309" spans="1:30">
      <c r="A1309" s="102">
        <f t="shared" si="21"/>
        <v>1308</v>
      </c>
      <c r="B1309" s="257">
        <f>YEAR(Table6[[#This Row],[Date]])+IF(MONTH(Table6[[#This Row],[Date]])&gt;=4,1,0)</f>
        <v>2026</v>
      </c>
      <c r="C1309" s="102">
        <f>YEAR(Table6[[#This Row],[Date]])</f>
        <v>2025</v>
      </c>
      <c r="D1309" s="102" t="s">
        <v>265</v>
      </c>
      <c r="E1309" s="258">
        <f>Table6[[#This Row],[Date]]-DAY(Table6[[#This Row],[Date]])+1</f>
        <v>45809</v>
      </c>
      <c r="F1309" s="259">
        <v>45832</v>
      </c>
      <c r="G1309" s="35" t="s">
        <v>132</v>
      </c>
      <c r="H1309" s="35" t="str">
        <f>IFERROR(_xlfn.XLOOKUP(Table6[[#This Row],[Affected WTG]],'Basic Data'!$A:$A,'Basic Data'!$B:$B),"")</f>
        <v>TQGXIIPL</v>
      </c>
      <c r="I1309" s="35" t="str">
        <f>IFERROR(_xlfn.XLOOKUP(Table6[[#This Row],[Affected WTG]],'Basic Data'!$A:$A,'Basic Data'!$C:$C),"")</f>
        <v>GEDA</v>
      </c>
      <c r="J1309" s="260">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266</v>
      </c>
      <c r="N1309" s="264"/>
      <c r="O1309" s="265">
        <v>3.2638888888888891E-2</v>
      </c>
      <c r="P1309" s="265">
        <v>3.2638888888888891E-2</v>
      </c>
      <c r="Q1309" s="266">
        <v>3.7499999999999999E-2</v>
      </c>
      <c r="R1309" s="261">
        <f>IF(Table6[[#This Row],[Work Start TimeStamp]]="","",(Table6[[#This Row],[Work Start TimeStamp]]-Table6[[#This Row],[Fault Start TimeStamp]])*24)</f>
        <v>0</v>
      </c>
      <c r="S1309" s="261">
        <f>(Table6[[#This Row],[Fault Clearance time]]-Table6[[#This Row],[Work Start TimeStamp]])*24</f>
        <v>0.11666666666666659</v>
      </c>
      <c r="T1309" s="261">
        <f>(Table6[[#This Row],[Fault Clearance time]]-Table6[[#This Row],[Fault Start TimeStamp]])*24</f>
        <v>0.11666666666666659</v>
      </c>
      <c r="U1309" s="35" t="s">
        <v>483</v>
      </c>
      <c r="V1309" s="102" t="s">
        <v>268</v>
      </c>
      <c r="W1309" s="267">
        <f>IFERROR(Table6[[#This Row],[Breakdown Time]]*Table6[[#This Row],[Plant Equivalent Weightage]],"")</f>
        <v>4.4871794871794825E-3</v>
      </c>
      <c r="X1309" s="262" t="s">
        <v>296</v>
      </c>
      <c r="Y1309" s="263" t="s">
        <v>120</v>
      </c>
      <c r="Z1309" s="102">
        <v>42185</v>
      </c>
      <c r="AA1309" s="257">
        <f>(Table6[[#This Row],[Paired WTG Generation for loss calculation]]/24)*Table6[[#This Row],[Breakdown Time]]</f>
        <v>205.06597222222206</v>
      </c>
      <c r="AB1309" s="102"/>
      <c r="AC1309" s="35"/>
      <c r="AD1309" s="35"/>
    </row>
    <row r="1310" spans="1:30">
      <c r="A1310" s="102">
        <f t="shared" si="21"/>
        <v>1309</v>
      </c>
      <c r="B1310" s="257">
        <f>YEAR(Table6[[#This Row],[Date]])+IF(MONTH(Table6[[#This Row],[Date]])&gt;=4,1,0)</f>
        <v>2026</v>
      </c>
      <c r="C1310" s="102">
        <f>YEAR(Table6[[#This Row],[Date]])</f>
        <v>2025</v>
      </c>
      <c r="D1310" s="102" t="s">
        <v>265</v>
      </c>
      <c r="E1310" s="258">
        <f>Table6[[#This Row],[Date]]-DAY(Table6[[#This Row],[Date]])+1</f>
        <v>45809</v>
      </c>
      <c r="F1310" s="259">
        <v>45832</v>
      </c>
      <c r="G1310" s="35" t="s">
        <v>132</v>
      </c>
      <c r="H1310" s="35" t="str">
        <f>IFERROR(_xlfn.XLOOKUP(Table6[[#This Row],[Affected WTG]],'Basic Data'!$A:$A,'Basic Data'!$B:$B),"")</f>
        <v>TQGXIIPL</v>
      </c>
      <c r="I1310" s="35" t="str">
        <f>IFERROR(_xlfn.XLOOKUP(Table6[[#This Row],[Affected WTG]],'Basic Data'!$A:$A,'Basic Data'!$C:$C),"")</f>
        <v>GEDA</v>
      </c>
      <c r="J1310" s="260">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266</v>
      </c>
      <c r="N1310" s="264"/>
      <c r="O1310" s="265">
        <v>0.62222222222222223</v>
      </c>
      <c r="P1310" s="265">
        <v>0.62222222222222223</v>
      </c>
      <c r="Q1310" s="266">
        <v>0.62708333333333333</v>
      </c>
      <c r="R1310" s="261">
        <f>IF(Table6[[#This Row],[Work Start TimeStamp]]="","",(Table6[[#This Row],[Work Start TimeStamp]]-Table6[[#This Row],[Fault Start TimeStamp]])*24)</f>
        <v>0</v>
      </c>
      <c r="S1310" s="261">
        <f>(Table6[[#This Row],[Fault Clearance time]]-Table6[[#This Row],[Work Start TimeStamp]])*24</f>
        <v>0.11666666666666625</v>
      </c>
      <c r="T1310" s="261">
        <f>(Table6[[#This Row],[Fault Clearance time]]-Table6[[#This Row],[Fault Start TimeStamp]])*24</f>
        <v>0.11666666666666625</v>
      </c>
      <c r="U1310" s="35" t="s">
        <v>483</v>
      </c>
      <c r="V1310" s="102" t="s">
        <v>268</v>
      </c>
      <c r="W1310" s="267">
        <f>IFERROR(Table6[[#This Row],[Breakdown Time]]*Table6[[#This Row],[Plant Equivalent Weightage]],"")</f>
        <v>4.4871794871794695E-3</v>
      </c>
      <c r="X1310" s="262" t="s">
        <v>296</v>
      </c>
      <c r="Y1310" s="263" t="s">
        <v>120</v>
      </c>
      <c r="Z1310" s="102">
        <v>42185</v>
      </c>
      <c r="AA1310" s="257">
        <f>(Table6[[#This Row],[Paired WTG Generation for loss calculation]]/24)*Table6[[#This Row],[Breakdown Time]]</f>
        <v>205.06597222222149</v>
      </c>
      <c r="AB1310" s="102"/>
      <c r="AC1310" s="35"/>
      <c r="AD1310" s="35"/>
    </row>
    <row r="1311" spans="1:30">
      <c r="A1311" s="102">
        <f t="shared" si="21"/>
        <v>1310</v>
      </c>
      <c r="B1311" s="257">
        <f>YEAR(Table6[[#This Row],[Date]])+IF(MONTH(Table6[[#This Row],[Date]])&gt;=4,1,0)</f>
        <v>2026</v>
      </c>
      <c r="C1311" s="102">
        <f>YEAR(Table6[[#This Row],[Date]])</f>
        <v>2025</v>
      </c>
      <c r="D1311" s="102" t="s">
        <v>265</v>
      </c>
      <c r="E1311" s="258">
        <f>Table6[[#This Row],[Date]]-DAY(Table6[[#This Row],[Date]])+1</f>
        <v>45809</v>
      </c>
      <c r="F1311" s="259">
        <v>45832</v>
      </c>
      <c r="G1311" s="35" t="s">
        <v>134</v>
      </c>
      <c r="H1311" s="35" t="str">
        <f>IFERROR(_xlfn.XLOOKUP(Table6[[#This Row],[Affected WTG]],'Basic Data'!$A:$A,'Basic Data'!$B:$B),"")</f>
        <v>TQGXIIPL</v>
      </c>
      <c r="I1311" s="35" t="str">
        <f>IFERROR(_xlfn.XLOOKUP(Table6[[#This Row],[Affected WTG]],'Basic Data'!$A:$A,'Basic Data'!$C:$C),"")</f>
        <v>GEDA</v>
      </c>
      <c r="J1311" s="260">
        <f>IFERROR(_xlfn.XLOOKUP(Table6[[#This Row],[Affected WTG]],'Basic Data'!$A:$A,'Basic Data'!$E:$E),"")</f>
        <v>3.846153846153845E-2</v>
      </c>
      <c r="K1311" s="102">
        <v>6130</v>
      </c>
      <c r="L1311" s="35" t="str">
        <f>IFERROR(_xlfn.XLOOKUP(Table6[[#This Row],[Error Code]],'Basic Data'!$AA:$AA,'Basic Data'!$AB:$AB),"Incorrect Error Code")</f>
        <v>Yaw speed high</v>
      </c>
      <c r="M1311" s="35" t="s">
        <v>278</v>
      </c>
      <c r="N1311" s="264"/>
      <c r="O1311" s="265">
        <v>0.23680555555555555</v>
      </c>
      <c r="P1311" s="265">
        <v>0.23680555555555555</v>
      </c>
      <c r="Q1311" s="266">
        <v>0.23958333333333334</v>
      </c>
      <c r="R1311" s="261">
        <f>IF(Table6[[#This Row],[Work Start TimeStamp]]="","",(Table6[[#This Row],[Work Start TimeStamp]]-Table6[[#This Row],[Fault Start TimeStamp]])*24)</f>
        <v>0</v>
      </c>
      <c r="S1311" s="261">
        <f>(Table6[[#This Row],[Fault Clearance time]]-Table6[[#This Row],[Work Start TimeStamp]])*24</f>
        <v>6.6666666666667096E-2</v>
      </c>
      <c r="T1311" s="261">
        <f>(Table6[[#This Row],[Fault Clearance time]]-Table6[[#This Row],[Fault Start TimeStamp]])*24</f>
        <v>6.6666666666667096E-2</v>
      </c>
      <c r="U1311" s="35" t="s">
        <v>277</v>
      </c>
      <c r="V1311" s="102" t="s">
        <v>268</v>
      </c>
      <c r="W1311" s="267">
        <f>IFERROR(Table6[[#This Row],[Breakdown Time]]*Table6[[#This Row],[Plant Equivalent Weightage]],"")</f>
        <v>2.5641025641025797E-3</v>
      </c>
      <c r="X1311" s="262" t="s">
        <v>269</v>
      </c>
      <c r="Y1311" s="263" t="s">
        <v>138</v>
      </c>
      <c r="Z1311" s="102">
        <v>43964</v>
      </c>
      <c r="AA1311" s="257">
        <f>(Table6[[#This Row],[Paired WTG Generation for loss calculation]]/24)*Table6[[#This Row],[Breakdown Time]]</f>
        <v>122.122222222223</v>
      </c>
      <c r="AB1311" s="102"/>
      <c r="AC1311" s="35"/>
      <c r="AD1311" s="35"/>
    </row>
    <row r="1312" spans="1:30">
      <c r="A1312" s="102">
        <f t="shared" si="21"/>
        <v>1311</v>
      </c>
      <c r="B1312" s="257">
        <f>YEAR(Table6[[#This Row],[Date]])+IF(MONTH(Table6[[#This Row],[Date]])&gt;=4,1,0)</f>
        <v>2026</v>
      </c>
      <c r="C1312" s="102">
        <f>YEAR(Table6[[#This Row],[Date]])</f>
        <v>2025</v>
      </c>
      <c r="D1312" s="102" t="s">
        <v>265</v>
      </c>
      <c r="E1312" s="258">
        <f>Table6[[#This Row],[Date]]-DAY(Table6[[#This Row],[Date]])+1</f>
        <v>45809</v>
      </c>
      <c r="F1312" s="259">
        <v>45832</v>
      </c>
      <c r="G1312" s="35" t="s">
        <v>136</v>
      </c>
      <c r="H1312" s="35" t="str">
        <f>IFERROR(_xlfn.XLOOKUP(Table6[[#This Row],[Affected WTG]],'Basic Data'!$A:$A,'Basic Data'!$B:$B),"")</f>
        <v>TQGXIIPL</v>
      </c>
      <c r="I1312" s="35" t="str">
        <f>IFERROR(_xlfn.XLOOKUP(Table6[[#This Row],[Affected WTG]],'Basic Data'!$A:$A,'Basic Data'!$C:$C),"")</f>
        <v>GEDA</v>
      </c>
      <c r="J1312" s="260">
        <f>IFERROR(_xlfn.XLOOKUP(Table6[[#This Row],[Affected WTG]],'Basic Data'!$A:$A,'Basic Data'!$E:$E),"")</f>
        <v>3.846153846153845E-2</v>
      </c>
      <c r="K1312" s="102">
        <v>4970</v>
      </c>
      <c r="L1312" s="35" t="str">
        <f>IFERROR(_xlfn.XLOOKUP(Table6[[#This Row],[Error Code]],'Basic Data'!$AA:$AA,'Basic Data'!$AB:$AB),"Incorrect Error Code")</f>
        <v>Tower oscillation XF</v>
      </c>
      <c r="M1312" s="35" t="s">
        <v>278</v>
      </c>
      <c r="N1312" s="264"/>
      <c r="O1312" s="265">
        <v>3.888888888888889E-2</v>
      </c>
      <c r="P1312" s="265">
        <v>3.888888888888889E-2</v>
      </c>
      <c r="Q1312" s="266">
        <v>4.1666666666666664E-2</v>
      </c>
      <c r="R1312" s="261">
        <f>IF(Table6[[#This Row],[Work Start TimeStamp]]="","",(Table6[[#This Row],[Work Start TimeStamp]]-Table6[[#This Row],[Fault Start TimeStamp]])*24)</f>
        <v>0</v>
      </c>
      <c r="S1312" s="261">
        <f>(Table6[[#This Row],[Fault Clearance time]]-Table6[[#This Row],[Work Start TimeStamp]])*24</f>
        <v>6.6666666666666596E-2</v>
      </c>
      <c r="T1312" s="261">
        <f>(Table6[[#This Row],[Fault Clearance time]]-Table6[[#This Row],[Fault Start TimeStamp]])*24</f>
        <v>6.6666666666666596E-2</v>
      </c>
      <c r="U1312" s="35" t="s">
        <v>277</v>
      </c>
      <c r="V1312" s="102" t="s">
        <v>268</v>
      </c>
      <c r="W1312" s="267">
        <f>IFERROR(Table6[[#This Row],[Breakdown Time]]*Table6[[#This Row],[Plant Equivalent Weightage]],"")</f>
        <v>2.5641025641025606E-3</v>
      </c>
      <c r="X1312" s="262" t="s">
        <v>269</v>
      </c>
      <c r="Y1312" s="263" t="s">
        <v>120</v>
      </c>
      <c r="Z1312" s="102">
        <v>42185</v>
      </c>
      <c r="AA1312" s="257">
        <f>(Table6[[#This Row],[Paired WTG Generation for loss calculation]]/24)*Table6[[#This Row],[Breakdown Time]]</f>
        <v>117.18055555555543</v>
      </c>
      <c r="AB1312" s="102"/>
      <c r="AC1312" s="35"/>
      <c r="AD1312" s="35"/>
    </row>
    <row r="1313" spans="1:30">
      <c r="A1313" s="102">
        <f t="shared" si="21"/>
        <v>1312</v>
      </c>
      <c r="B1313" s="257">
        <f>YEAR(Table6[[#This Row],[Date]])+IF(MONTH(Table6[[#This Row],[Date]])&gt;=4,1,0)</f>
        <v>2026</v>
      </c>
      <c r="C1313" s="102">
        <f>YEAR(Table6[[#This Row],[Date]])</f>
        <v>2025</v>
      </c>
      <c r="D1313" s="102" t="s">
        <v>265</v>
      </c>
      <c r="E1313" s="258">
        <f>Table6[[#This Row],[Date]]-DAY(Table6[[#This Row],[Date]])+1</f>
        <v>45809</v>
      </c>
      <c r="F1313" s="259">
        <v>45832</v>
      </c>
      <c r="G1313" s="35" t="s">
        <v>136</v>
      </c>
      <c r="H1313" s="35" t="str">
        <f>IFERROR(_xlfn.XLOOKUP(Table6[[#This Row],[Affected WTG]],'Basic Data'!$A:$A,'Basic Data'!$B:$B),"")</f>
        <v>TQGXIIPL</v>
      </c>
      <c r="I1313" s="35" t="str">
        <f>IFERROR(_xlfn.XLOOKUP(Table6[[#This Row],[Affected WTG]],'Basic Data'!$A:$A,'Basic Data'!$C:$C),"")</f>
        <v>GEDA</v>
      </c>
      <c r="J1313" s="260">
        <f>IFERROR(_xlfn.XLOOKUP(Table6[[#This Row],[Affected WTG]],'Basic Data'!$A:$A,'Basic Data'!$E:$E),"")</f>
        <v>3.846153846153845E-2</v>
      </c>
      <c r="K1313" s="102">
        <v>6130</v>
      </c>
      <c r="L1313" s="35" t="str">
        <f>IFERROR(_xlfn.XLOOKUP(Table6[[#This Row],[Error Code]],'Basic Data'!$AA:$AA,'Basic Data'!$AB:$AB),"Incorrect Error Code")</f>
        <v>Yaw speed high</v>
      </c>
      <c r="M1313" s="35" t="s">
        <v>278</v>
      </c>
      <c r="N1313" s="264"/>
      <c r="O1313" s="265">
        <v>0.11180555555555556</v>
      </c>
      <c r="P1313" s="265">
        <v>0.11180555555555556</v>
      </c>
      <c r="Q1313" s="266">
        <v>0.11319444444444444</v>
      </c>
      <c r="R1313" s="261">
        <f>IF(Table6[[#This Row],[Work Start TimeStamp]]="","",(Table6[[#This Row],[Work Start TimeStamp]]-Table6[[#This Row],[Fault Start TimeStamp]])*24)</f>
        <v>0</v>
      </c>
      <c r="S1313" s="261">
        <f>(Table6[[#This Row],[Fault Clearance time]]-Table6[[#This Row],[Work Start TimeStamp]])*24</f>
        <v>3.3333333333333215E-2</v>
      </c>
      <c r="T1313" s="261">
        <f>(Table6[[#This Row],[Fault Clearance time]]-Table6[[#This Row],[Fault Start TimeStamp]])*24</f>
        <v>3.3333333333333215E-2</v>
      </c>
      <c r="U1313" s="35" t="s">
        <v>277</v>
      </c>
      <c r="V1313" s="102" t="s">
        <v>268</v>
      </c>
      <c r="W1313" s="267">
        <f>IFERROR(Table6[[#This Row],[Breakdown Time]]*Table6[[#This Row],[Plant Equivalent Weightage]],"")</f>
        <v>1.2820512820512771E-3</v>
      </c>
      <c r="X1313" s="262" t="s">
        <v>269</v>
      </c>
      <c r="Y1313" s="263" t="s">
        <v>120</v>
      </c>
      <c r="Z1313" s="102">
        <v>42185</v>
      </c>
      <c r="AA1313" s="257">
        <f>(Table6[[#This Row],[Paired WTG Generation for loss calculation]]/24)*Table6[[#This Row],[Breakdown Time]]</f>
        <v>58.590277777777565</v>
      </c>
      <c r="AB1313" s="102"/>
      <c r="AC1313" s="35"/>
      <c r="AD1313" s="35"/>
    </row>
    <row r="1314" spans="1:30">
      <c r="A1314" s="102">
        <f t="shared" si="21"/>
        <v>1313</v>
      </c>
      <c r="B1314" s="257">
        <f>YEAR(Table6[[#This Row],[Date]])+IF(MONTH(Table6[[#This Row],[Date]])&gt;=4,1,0)</f>
        <v>2026</v>
      </c>
      <c r="C1314" s="102">
        <f>YEAR(Table6[[#This Row],[Date]])</f>
        <v>2025</v>
      </c>
      <c r="D1314" s="102" t="s">
        <v>265</v>
      </c>
      <c r="E1314" s="258">
        <f>Table6[[#This Row],[Date]]-DAY(Table6[[#This Row],[Date]])+1</f>
        <v>45809</v>
      </c>
      <c r="F1314" s="259">
        <v>45832</v>
      </c>
      <c r="G1314" s="35" t="s">
        <v>126</v>
      </c>
      <c r="H1314" s="35" t="str">
        <f>IFERROR(_xlfn.XLOOKUP(Table6[[#This Row],[Affected WTG]],'Basic Data'!$A:$A,'Basic Data'!$B:$B),"")</f>
        <v>TQGXIIPL</v>
      </c>
      <c r="I1314" s="35" t="str">
        <f>IFERROR(_xlfn.XLOOKUP(Table6[[#This Row],[Affected WTG]],'Basic Data'!$A:$A,'Basic Data'!$C:$C),"")</f>
        <v>GEDA</v>
      </c>
      <c r="J1314" s="260">
        <f>IFERROR(_xlfn.XLOOKUP(Table6[[#This Row],[Affected WTG]],'Basic Data'!$A:$A,'Basic Data'!$E:$E),"")</f>
        <v>3.846153846153845E-2</v>
      </c>
      <c r="K1314" s="102">
        <v>55</v>
      </c>
      <c r="L1314" s="35" t="str">
        <f>IFERROR(_xlfn.XLOOKUP(Table6[[#This Row],[Error Code]],'Basic Data'!$AA:$AA,'Basic Data'!$AB:$AB),"Incorrect Error Code")</f>
        <v>WTG shut down</v>
      </c>
      <c r="M1314" s="35" t="s">
        <v>291</v>
      </c>
      <c r="N1314" s="264"/>
      <c r="O1314" s="265">
        <v>0</v>
      </c>
      <c r="P1314" s="265">
        <v>0</v>
      </c>
      <c r="Q1314" s="266">
        <v>0.8125</v>
      </c>
      <c r="R1314" s="261">
        <f>IF(Table6[[#This Row],[Work Start TimeStamp]]="","",(Table6[[#This Row],[Work Start TimeStamp]]-Table6[[#This Row],[Fault Start TimeStamp]])*24)</f>
        <v>0</v>
      </c>
      <c r="S1314" s="261">
        <f>(Table6[[#This Row],[Fault Clearance time]]-Table6[[#This Row],[Work Start TimeStamp]])*24</f>
        <v>19.5</v>
      </c>
      <c r="T1314" s="261">
        <f>(Table6[[#This Row],[Fault Clearance time]]-Table6[[#This Row],[Fault Start TimeStamp]])*24</f>
        <v>19.5</v>
      </c>
      <c r="U1314" s="35" t="s">
        <v>550</v>
      </c>
      <c r="V1314" s="102" t="s">
        <v>549</v>
      </c>
      <c r="W1314" s="267">
        <f>IFERROR(Table6[[#This Row],[Breakdown Time]]*Table6[[#This Row],[Plant Equivalent Weightage]],"")</f>
        <v>0.74999999999999978</v>
      </c>
      <c r="X1314" s="262" t="s">
        <v>531</v>
      </c>
      <c r="Y1314" s="263" t="s">
        <v>128</v>
      </c>
      <c r="Z1314" s="102">
        <v>43210</v>
      </c>
      <c r="AA1314" s="257">
        <f>(Table6[[#This Row],[Paired WTG Generation for loss calculation]]/24)*Table6[[#This Row],[Breakdown Time]]</f>
        <v>35108.125</v>
      </c>
      <c r="AB1314" s="102"/>
      <c r="AC1314" s="35"/>
      <c r="AD1314" s="35"/>
    </row>
    <row r="1315" spans="1:30">
      <c r="A1315" s="102">
        <f t="shared" si="21"/>
        <v>1314</v>
      </c>
      <c r="B1315" s="257">
        <f>YEAR(Table6[[#This Row],[Date]])+IF(MONTH(Table6[[#This Row],[Date]])&gt;=4,1,0)</f>
        <v>2026</v>
      </c>
      <c r="C1315" s="102">
        <f>YEAR(Table6[[#This Row],[Date]])</f>
        <v>2025</v>
      </c>
      <c r="D1315" s="102" t="s">
        <v>265</v>
      </c>
      <c r="E1315" s="258">
        <f>Table6[[#This Row],[Date]]-DAY(Table6[[#This Row],[Date]])+1</f>
        <v>45809</v>
      </c>
      <c r="F1315" s="259">
        <v>45832</v>
      </c>
      <c r="G1315" s="35" t="s">
        <v>126</v>
      </c>
      <c r="H1315" s="35" t="str">
        <f>IFERROR(_xlfn.XLOOKUP(Table6[[#This Row],[Affected WTG]],'Basic Data'!$A:$A,'Basic Data'!$B:$B),"")</f>
        <v>TQGXIIPL</v>
      </c>
      <c r="I1315" s="35" t="str">
        <f>IFERROR(_xlfn.XLOOKUP(Table6[[#This Row],[Affected WTG]],'Basic Data'!$A:$A,'Basic Data'!$C:$C),"")</f>
        <v>GEDA</v>
      </c>
      <c r="J1315" s="260">
        <f>IFERROR(_xlfn.XLOOKUP(Table6[[#This Row],[Affected WTG]],'Basic Data'!$A:$A,'Basic Data'!$E:$E),"")</f>
        <v>3.846153846153845E-2</v>
      </c>
      <c r="K1315" s="102">
        <v>55</v>
      </c>
      <c r="L1315" s="35" t="str">
        <f>IFERROR(_xlfn.XLOOKUP(Table6[[#This Row],[Error Code]],'Basic Data'!$AA:$AA,'Basic Data'!$AB:$AB),"Incorrect Error Code")</f>
        <v>WTG shut down</v>
      </c>
      <c r="M1315" s="35" t="s">
        <v>291</v>
      </c>
      <c r="N1315" s="264"/>
      <c r="O1315" s="265">
        <v>0.8125</v>
      </c>
      <c r="P1315" s="265">
        <v>0.8125</v>
      </c>
      <c r="Q1315" s="266">
        <v>0.99998842592592596</v>
      </c>
      <c r="R1315" s="261">
        <f>IF(Table6[[#This Row],[Work Start TimeStamp]]="","",(Table6[[#This Row],[Work Start TimeStamp]]-Table6[[#This Row],[Fault Start TimeStamp]])*24)</f>
        <v>0</v>
      </c>
      <c r="S1315" s="261">
        <f>(Table6[[#This Row],[Fault Clearance time]]-Table6[[#This Row],[Work Start TimeStamp]])*24</f>
        <v>4.4997222222222231</v>
      </c>
      <c r="T1315" s="261">
        <f>(Table6[[#This Row],[Fault Clearance time]]-Table6[[#This Row],[Fault Start TimeStamp]])*24</f>
        <v>4.4997222222222231</v>
      </c>
      <c r="U1315" s="35" t="s">
        <v>550</v>
      </c>
      <c r="V1315" s="102" t="s">
        <v>549</v>
      </c>
      <c r="W1315" s="267">
        <f>IFERROR(Table6[[#This Row],[Breakdown Time]]*Table6[[#This Row],[Plant Equivalent Weightage]],"")</f>
        <v>0.1730662393162393</v>
      </c>
      <c r="X1315" s="262" t="s">
        <v>269</v>
      </c>
      <c r="Y1315" s="263" t="s">
        <v>128</v>
      </c>
      <c r="Z1315" s="102">
        <v>43210</v>
      </c>
      <c r="AA1315" s="257">
        <f>(Table6[[#This Row],[Paired WTG Generation for loss calculation]]/24)*Table6[[#This Row],[Breakdown Time]]</f>
        <v>8101.3748842592613</v>
      </c>
      <c r="AB1315" s="102"/>
      <c r="AC1315" s="35"/>
      <c r="AD1315" s="35"/>
    </row>
    <row r="1316" spans="1:30">
      <c r="A1316" s="102">
        <f t="shared" si="21"/>
        <v>1315</v>
      </c>
      <c r="B1316" s="257">
        <f>YEAR(Table6[[#This Row],[Date]])+IF(MONTH(Table6[[#This Row],[Date]])&gt;=4,1,0)</f>
        <v>2026</v>
      </c>
      <c r="C1316" s="102">
        <f>YEAR(Table6[[#This Row],[Date]])</f>
        <v>2025</v>
      </c>
      <c r="D1316" s="102" t="s">
        <v>265</v>
      </c>
      <c r="E1316" s="258">
        <f>Table6[[#This Row],[Date]]-DAY(Table6[[#This Row],[Date]])+1</f>
        <v>45809</v>
      </c>
      <c r="F1316" s="259">
        <v>45832</v>
      </c>
      <c r="G1316" s="35" t="s">
        <v>122</v>
      </c>
      <c r="H1316" s="35" t="str">
        <f>IFERROR(_xlfn.XLOOKUP(Table6[[#This Row],[Affected WTG]],'Basic Data'!$A:$A,'Basic Data'!$B:$B),"")</f>
        <v>TQGXIIPL</v>
      </c>
      <c r="I1316" s="35" t="str">
        <f>IFERROR(_xlfn.XLOOKUP(Table6[[#This Row],[Affected WTG]],'Basic Data'!$A:$A,'Basic Data'!$C:$C),"")</f>
        <v>GEDA</v>
      </c>
      <c r="J1316" s="260">
        <f>IFERROR(_xlfn.XLOOKUP(Table6[[#This Row],[Affected WTG]],'Basic Data'!$A:$A,'Basic Data'!$E:$E),"")</f>
        <v>3.846153846153845E-2</v>
      </c>
      <c r="K1316" s="102">
        <v>665</v>
      </c>
      <c r="L1316" s="35" t="str">
        <f>IFERROR(_xlfn.XLOOKUP(Table6[[#This Row],[Error Code]],'Basic Data'!$AA:$AA,'Basic Data'!$AB:$AB),"Incorrect Error Code")</f>
        <v>Pitch error</v>
      </c>
      <c r="M1316" s="35" t="s">
        <v>266</v>
      </c>
      <c r="N1316" s="264"/>
      <c r="O1316" s="265">
        <v>0.28125</v>
      </c>
      <c r="P1316" s="265">
        <v>0.28125</v>
      </c>
      <c r="Q1316" s="266">
        <v>0.34375</v>
      </c>
      <c r="R1316" s="261">
        <f>IF(Table6[[#This Row],[Work Start TimeStamp]]="","",(Table6[[#This Row],[Work Start TimeStamp]]-Table6[[#This Row],[Fault Start TimeStamp]])*24)</f>
        <v>0</v>
      </c>
      <c r="S1316" s="261">
        <f>(Table6[[#This Row],[Fault Clearance time]]-Table6[[#This Row],[Work Start TimeStamp]])*24</f>
        <v>1.5</v>
      </c>
      <c r="T1316" s="261">
        <f>(Table6[[#This Row],[Fault Clearance time]]-Table6[[#This Row],[Fault Start TimeStamp]])*24</f>
        <v>1.5</v>
      </c>
      <c r="U1316" s="35" t="s">
        <v>551</v>
      </c>
      <c r="V1316" s="102" t="s">
        <v>268</v>
      </c>
      <c r="W1316" s="267">
        <f>IFERROR(Table6[[#This Row],[Breakdown Time]]*Table6[[#This Row],[Plant Equivalent Weightage]],"")</f>
        <v>5.7692307692307675E-2</v>
      </c>
      <c r="X1316" s="262" t="s">
        <v>296</v>
      </c>
      <c r="Y1316" s="263" t="s">
        <v>140</v>
      </c>
      <c r="Z1316" s="102">
        <v>45247</v>
      </c>
      <c r="AA1316" s="257">
        <f>(Table6[[#This Row],[Paired WTG Generation for loss calculation]]/24)*Table6[[#This Row],[Breakdown Time]]</f>
        <v>2827.9375</v>
      </c>
      <c r="AB1316" s="102"/>
      <c r="AC1316" s="35"/>
      <c r="AD1316" s="35"/>
    </row>
    <row r="1317" spans="1:30">
      <c r="A1317" s="102">
        <f t="shared" si="21"/>
        <v>1316</v>
      </c>
      <c r="B1317" s="257">
        <f>YEAR(Table6[[#This Row],[Date]])+IF(MONTH(Table6[[#This Row],[Date]])&gt;=4,1,0)</f>
        <v>2026</v>
      </c>
      <c r="C1317" s="102">
        <f>YEAR(Table6[[#This Row],[Date]])</f>
        <v>2025</v>
      </c>
      <c r="D1317" s="102" t="s">
        <v>265</v>
      </c>
      <c r="E1317" s="258">
        <f>Table6[[#This Row],[Date]]-DAY(Table6[[#This Row],[Date]])+1</f>
        <v>45809</v>
      </c>
      <c r="F1317" s="259">
        <v>45833</v>
      </c>
      <c r="G1317" s="35" t="s">
        <v>115</v>
      </c>
      <c r="H1317" s="35" t="str">
        <f>IFERROR(_xlfn.XLOOKUP(Table6[[#This Row],[Affected WTG]],'Basic Data'!$A:$A,'Basic Data'!$B:$B),"")</f>
        <v>TQGXIIPL</v>
      </c>
      <c r="I1317" s="35" t="str">
        <f>IFERROR(_xlfn.XLOOKUP(Table6[[#This Row],[Affected WTG]],'Basic Data'!$A:$A,'Basic Data'!$C:$C),"")</f>
        <v>GEDA</v>
      </c>
      <c r="J1317" s="260">
        <f>IFERROR(_xlfn.XLOOKUP(Table6[[#This Row],[Affected WTG]],'Basic Data'!$A:$A,'Basic Data'!$E:$E),"")</f>
        <v>3.846153846153845E-2</v>
      </c>
      <c r="K1317" s="102">
        <v>175</v>
      </c>
      <c r="L1317" s="35" t="str">
        <f>IFERROR(_xlfn.XLOOKUP(Table6[[#This Row],[Error Code]],'Basic Data'!$AA:$AA,'Basic Data'!$AB:$AB),"Incorrect Error Code")</f>
        <v>SLC error</v>
      </c>
      <c r="M1317" s="35" t="s">
        <v>266</v>
      </c>
      <c r="N1317" s="264"/>
      <c r="O1317" s="265">
        <v>0.28611111111111109</v>
      </c>
      <c r="P1317" s="265">
        <v>0.28611111111111109</v>
      </c>
      <c r="Q1317" s="266">
        <v>0.28749999999999998</v>
      </c>
      <c r="R1317" s="261">
        <f>IF(Table6[[#This Row],[Work Start TimeStamp]]="","",(Table6[[#This Row],[Work Start TimeStamp]]-Table6[[#This Row],[Fault Start TimeStamp]])*24)</f>
        <v>0</v>
      </c>
      <c r="S1317" s="261">
        <f>(Table6[[#This Row],[Fault Clearance time]]-Table6[[#This Row],[Work Start TimeStamp]])*24</f>
        <v>3.3333333333333215E-2</v>
      </c>
      <c r="T1317" s="261">
        <f>(Table6[[#This Row],[Fault Clearance time]]-Table6[[#This Row],[Fault Start TimeStamp]])*24</f>
        <v>3.3333333333333215E-2</v>
      </c>
      <c r="U1317" s="35" t="s">
        <v>483</v>
      </c>
      <c r="V1317" s="102" t="s">
        <v>268</v>
      </c>
      <c r="W1317" s="267">
        <f>IFERROR(Table6[[#This Row],[Breakdown Time]]*Table6[[#This Row],[Plant Equivalent Weightage]],"")</f>
        <v>1.2820512820512771E-3</v>
      </c>
      <c r="X1317" s="262" t="s">
        <v>296</v>
      </c>
      <c r="Y1317" s="263" t="s">
        <v>140</v>
      </c>
      <c r="Z1317" s="102">
        <v>9536</v>
      </c>
      <c r="AA1317" s="257">
        <f>(Table6[[#This Row],[Paired WTG Generation for loss calculation]]/24)*Table6[[#This Row],[Breakdown Time]]</f>
        <v>13.244444444444397</v>
      </c>
      <c r="AB1317" s="102"/>
      <c r="AC1317" s="35"/>
      <c r="AD1317" s="35"/>
    </row>
    <row r="1318" spans="1:30">
      <c r="A1318" s="102">
        <f t="shared" si="21"/>
        <v>1317</v>
      </c>
      <c r="B1318" s="257">
        <f>YEAR(Table6[[#This Row],[Date]])+IF(MONTH(Table6[[#This Row],[Date]])&gt;=4,1,0)</f>
        <v>2026</v>
      </c>
      <c r="C1318" s="102">
        <f>YEAR(Table6[[#This Row],[Date]])</f>
        <v>2025</v>
      </c>
      <c r="D1318" s="102" t="s">
        <v>265</v>
      </c>
      <c r="E1318" s="258">
        <f>Table6[[#This Row],[Date]]-DAY(Table6[[#This Row],[Date]])+1</f>
        <v>45809</v>
      </c>
      <c r="F1318" s="259">
        <v>45833</v>
      </c>
      <c r="G1318" s="35" t="s">
        <v>116</v>
      </c>
      <c r="H1318" s="35" t="str">
        <f>IFERROR(_xlfn.XLOOKUP(Table6[[#This Row],[Affected WTG]],'Basic Data'!$A:$A,'Basic Data'!$B:$B),"")</f>
        <v>TQGXIIPL</v>
      </c>
      <c r="I1318" s="35" t="str">
        <f>IFERROR(_xlfn.XLOOKUP(Table6[[#This Row],[Affected WTG]],'Basic Data'!$A:$A,'Basic Data'!$C:$C),"")</f>
        <v>GEDA</v>
      </c>
      <c r="J1318" s="260">
        <f>IFERROR(_xlfn.XLOOKUP(Table6[[#This Row],[Affected WTG]],'Basic Data'!$A:$A,'Basic Data'!$E:$E),"")</f>
        <v>3.846153846153845E-2</v>
      </c>
      <c r="K1318" s="102">
        <v>55</v>
      </c>
      <c r="L1318" s="35" t="str">
        <f>IFERROR(_xlfn.XLOOKUP(Table6[[#This Row],[Error Code]],'Basic Data'!$AA:$AA,'Basic Data'!$AB:$AB),"Incorrect Error Code")</f>
        <v>WTG shut down</v>
      </c>
      <c r="M1318" s="35" t="s">
        <v>266</v>
      </c>
      <c r="N1318" s="264"/>
      <c r="O1318" s="265">
        <v>0.95694444444444449</v>
      </c>
      <c r="P1318" s="265">
        <v>0.95694444444444449</v>
      </c>
      <c r="Q1318" s="266">
        <v>1</v>
      </c>
      <c r="R1318" s="261">
        <f>IF(Table6[[#This Row],[Work Start TimeStamp]]="","",(Table6[[#This Row],[Work Start TimeStamp]]-Table6[[#This Row],[Fault Start TimeStamp]])*24)</f>
        <v>0</v>
      </c>
      <c r="S1318" s="261">
        <f>(Table6[[#This Row],[Fault Clearance time]]-Table6[[#This Row],[Work Start TimeStamp]])*24</f>
        <v>1.0333333333333323</v>
      </c>
      <c r="T1318" s="261">
        <f>(Table6[[#This Row],[Fault Clearance time]]-Table6[[#This Row],[Fault Start TimeStamp]])*24</f>
        <v>1.0333333333333323</v>
      </c>
      <c r="U1318" s="35" t="s">
        <v>552</v>
      </c>
      <c r="V1318" s="102" t="s">
        <v>268</v>
      </c>
      <c r="W1318" s="267">
        <f>IFERROR(Table6[[#This Row],[Breakdown Time]]*Table6[[#This Row],[Plant Equivalent Weightage]],"")</f>
        <v>3.9743589743589693E-2</v>
      </c>
      <c r="X1318" s="262" t="s">
        <v>296</v>
      </c>
      <c r="Y1318" s="263" t="s">
        <v>119</v>
      </c>
      <c r="Z1318" s="102">
        <v>10550</v>
      </c>
      <c r="AA1318" s="257">
        <f>(Table6[[#This Row],[Paired WTG Generation for loss calculation]]/24)*Table6[[#This Row],[Breakdown Time]]</f>
        <v>454.23611111111063</v>
      </c>
      <c r="AB1318" s="102"/>
      <c r="AC1318" s="35"/>
      <c r="AD1318" s="35"/>
    </row>
    <row r="1319" spans="1:30">
      <c r="A1319" s="102">
        <f t="shared" si="21"/>
        <v>1318</v>
      </c>
      <c r="B1319" s="257">
        <f>YEAR(Table6[[#This Row],[Date]])+IF(MONTH(Table6[[#This Row],[Date]])&gt;=4,1,0)</f>
        <v>2026</v>
      </c>
      <c r="C1319" s="102">
        <f>YEAR(Table6[[#This Row],[Date]])</f>
        <v>2025</v>
      </c>
      <c r="D1319" s="102" t="s">
        <v>265</v>
      </c>
      <c r="E1319" s="258">
        <f>Table6[[#This Row],[Date]]-DAY(Table6[[#This Row],[Date]])+1</f>
        <v>45809</v>
      </c>
      <c r="F1319" s="259">
        <v>45833</v>
      </c>
      <c r="G1319" s="35" t="s">
        <v>126</v>
      </c>
      <c r="H1319" s="35" t="str">
        <f>IFERROR(_xlfn.XLOOKUP(Table6[[#This Row],[Affected WTG]],'Basic Data'!$A:$A,'Basic Data'!$B:$B),"")</f>
        <v>TQGXIIPL</v>
      </c>
      <c r="I1319" s="35" t="str">
        <f>IFERROR(_xlfn.XLOOKUP(Table6[[#This Row],[Affected WTG]],'Basic Data'!$A:$A,'Basic Data'!$C:$C),"")</f>
        <v>GEDA</v>
      </c>
      <c r="J1319" s="260">
        <f>IFERROR(_xlfn.XLOOKUP(Table6[[#This Row],[Affected WTG]],'Basic Data'!$A:$A,'Basic Data'!$E:$E),"")</f>
        <v>3.846153846153845E-2</v>
      </c>
      <c r="K1319" s="102">
        <v>55</v>
      </c>
      <c r="L1319" s="35" t="str">
        <f>IFERROR(_xlfn.XLOOKUP(Table6[[#This Row],[Error Code]],'Basic Data'!$AA:$AA,'Basic Data'!$AB:$AB),"Incorrect Error Code")</f>
        <v>WTG shut down</v>
      </c>
      <c r="M1319" s="35" t="s">
        <v>291</v>
      </c>
      <c r="N1319" s="264"/>
      <c r="O1319" s="265">
        <v>0</v>
      </c>
      <c r="P1319" s="265">
        <v>0</v>
      </c>
      <c r="Q1319" s="266">
        <v>3.4722222222222224E-2</v>
      </c>
      <c r="R1319" s="261">
        <f>IF(Table6[[#This Row],[Work Start TimeStamp]]="","",(Table6[[#This Row],[Work Start TimeStamp]]-Table6[[#This Row],[Fault Start TimeStamp]])*24)</f>
        <v>0</v>
      </c>
      <c r="S1319" s="261">
        <f>(Table6[[#This Row],[Fault Clearance time]]-Table6[[#This Row],[Work Start TimeStamp]])*24</f>
        <v>0.83333333333333337</v>
      </c>
      <c r="T1319" s="261">
        <f>(Table6[[#This Row],[Fault Clearance time]]-Table6[[#This Row],[Fault Start TimeStamp]])*24</f>
        <v>0.83333333333333337</v>
      </c>
      <c r="U1319" s="284" t="s">
        <v>550</v>
      </c>
      <c r="V1319" s="102" t="s">
        <v>549</v>
      </c>
      <c r="W1319" s="267">
        <f>IFERROR(Table6[[#This Row],[Breakdown Time]]*Table6[[#This Row],[Plant Equivalent Weightage]],"")</f>
        <v>3.2051282051282041E-2</v>
      </c>
      <c r="X1319" s="262" t="s">
        <v>531</v>
      </c>
      <c r="Y1319" s="263" t="s">
        <v>128</v>
      </c>
      <c r="Z1319" s="102">
        <v>8612</v>
      </c>
      <c r="AA1319" s="257">
        <f>(Table6[[#This Row],[Paired WTG Generation for loss calculation]]/24)*Table6[[#This Row],[Breakdown Time]]</f>
        <v>299.02777777777777</v>
      </c>
      <c r="AB1319" s="102"/>
      <c r="AC1319" s="35"/>
      <c r="AD1319" s="35"/>
    </row>
    <row r="1320" spans="1:30">
      <c r="A1320" s="102">
        <f t="shared" si="21"/>
        <v>1319</v>
      </c>
      <c r="B1320" s="257">
        <f>YEAR(Table6[[#This Row],[Date]])+IF(MONTH(Table6[[#This Row],[Date]])&gt;=4,1,0)</f>
        <v>2026</v>
      </c>
      <c r="C1320" s="102">
        <f>YEAR(Table6[[#This Row],[Date]])</f>
        <v>2025</v>
      </c>
      <c r="D1320" s="102" t="s">
        <v>265</v>
      </c>
      <c r="E1320" s="258">
        <f>Table6[[#This Row],[Date]]-DAY(Table6[[#This Row],[Date]])+1</f>
        <v>45809</v>
      </c>
      <c r="F1320" s="259">
        <v>45833</v>
      </c>
      <c r="G1320" s="35" t="s">
        <v>126</v>
      </c>
      <c r="H1320" s="35" t="str">
        <f>IFERROR(_xlfn.XLOOKUP(Table6[[#This Row],[Affected WTG]],'Basic Data'!$A:$A,'Basic Data'!$B:$B),"")</f>
        <v>TQGXIIPL</v>
      </c>
      <c r="I1320" s="35" t="str">
        <f>IFERROR(_xlfn.XLOOKUP(Table6[[#This Row],[Affected WTG]],'Basic Data'!$A:$A,'Basic Data'!$C:$C),"")</f>
        <v>GEDA</v>
      </c>
      <c r="J1320" s="260">
        <f>IFERROR(_xlfn.XLOOKUP(Table6[[#This Row],[Affected WTG]],'Basic Data'!$A:$A,'Basic Data'!$E:$E),"")</f>
        <v>3.846153846153845E-2</v>
      </c>
      <c r="K1320" s="102">
        <v>55</v>
      </c>
      <c r="L1320" s="35" t="str">
        <f>IFERROR(_xlfn.XLOOKUP(Table6[[#This Row],[Error Code]],'Basic Data'!$AA:$AA,'Basic Data'!$AB:$AB),"Incorrect Error Code")</f>
        <v>WTG shut down</v>
      </c>
      <c r="M1320" s="35" t="s">
        <v>291</v>
      </c>
      <c r="N1320" s="264"/>
      <c r="O1320" s="265">
        <v>3.4722222222222224E-2</v>
      </c>
      <c r="P1320" s="265">
        <v>3.4722222222222224E-2</v>
      </c>
      <c r="Q1320" s="266">
        <v>0.99998842592592596</v>
      </c>
      <c r="R1320" s="261">
        <f>IF(Table6[[#This Row],[Work Start TimeStamp]]="","",(Table6[[#This Row],[Work Start TimeStamp]]-Table6[[#This Row],[Fault Start TimeStamp]])*24)</f>
        <v>0</v>
      </c>
      <c r="S1320" s="261">
        <f>(Table6[[#This Row],[Fault Clearance time]]-Table6[[#This Row],[Work Start TimeStamp]])*24</f>
        <v>23.166388888888889</v>
      </c>
      <c r="T1320" s="261">
        <f>(Table6[[#This Row],[Fault Clearance time]]-Table6[[#This Row],[Fault Start TimeStamp]])*24</f>
        <v>23.166388888888889</v>
      </c>
      <c r="U1320" s="284" t="s">
        <v>550</v>
      </c>
      <c r="V1320" s="102" t="s">
        <v>549</v>
      </c>
      <c r="W1320" s="267">
        <f>IFERROR(Table6[[#This Row],[Breakdown Time]]*Table6[[#This Row],[Plant Equivalent Weightage]],"")</f>
        <v>0.89101495726495705</v>
      </c>
      <c r="X1320" s="262" t="s">
        <v>269</v>
      </c>
      <c r="Y1320" s="263" t="s">
        <v>128</v>
      </c>
      <c r="Z1320" s="102">
        <v>8612</v>
      </c>
      <c r="AA1320" s="257">
        <f>(Table6[[#This Row],[Paired WTG Generation for loss calculation]]/24)*Table6[[#This Row],[Breakdown Time]]</f>
        <v>8312.8725462962957</v>
      </c>
      <c r="AB1320" s="102"/>
      <c r="AC1320" s="35"/>
      <c r="AD1320" s="35"/>
    </row>
    <row r="1321" spans="1:30">
      <c r="A1321" s="102">
        <f t="shared" si="21"/>
        <v>1320</v>
      </c>
      <c r="B1321" s="257">
        <f>YEAR(Table6[[#This Row],[Date]])+IF(MONTH(Table6[[#This Row],[Date]])&gt;=4,1,0)</f>
        <v>2026</v>
      </c>
      <c r="C1321" s="102">
        <f>YEAR(Table6[[#This Row],[Date]])</f>
        <v>2025</v>
      </c>
      <c r="D1321" s="102" t="s">
        <v>265</v>
      </c>
      <c r="E1321" s="258">
        <f>Table6[[#This Row],[Date]]-DAY(Table6[[#This Row],[Date]])+1</f>
        <v>45809</v>
      </c>
      <c r="F1321" s="259">
        <v>45833</v>
      </c>
      <c r="G1321" s="35" t="s">
        <v>127</v>
      </c>
      <c r="H1321" s="35" t="str">
        <f>IFERROR(_xlfn.XLOOKUP(Table6[[#This Row],[Affected WTG]],'Basic Data'!$A:$A,'Basic Data'!$B:$B),"")</f>
        <v>TQGXIIPL</v>
      </c>
      <c r="I1321" s="35" t="str">
        <f>IFERROR(_xlfn.XLOOKUP(Table6[[#This Row],[Affected WTG]],'Basic Data'!$A:$A,'Basic Data'!$C:$C),"")</f>
        <v>GEDA</v>
      </c>
      <c r="J1321" s="260">
        <f>IFERROR(_xlfn.XLOOKUP(Table6[[#This Row],[Affected WTG]],'Basic Data'!$A:$A,'Basic Data'!$E:$E),"")</f>
        <v>3.846153846153845E-2</v>
      </c>
      <c r="K1321" s="102">
        <v>55</v>
      </c>
      <c r="L1321" s="35" t="str">
        <f>IFERROR(_xlfn.XLOOKUP(Table6[[#This Row],[Error Code]],'Basic Data'!$AA:$AA,'Basic Data'!$AB:$AB),"Incorrect Error Code")</f>
        <v>WTG shut down</v>
      </c>
      <c r="M1321" s="35" t="s">
        <v>266</v>
      </c>
      <c r="N1321" s="264"/>
      <c r="O1321" s="265">
        <v>0.44166666666666665</v>
      </c>
      <c r="P1321" s="265">
        <v>0.44166666666666665</v>
      </c>
      <c r="Q1321" s="266">
        <v>0.4777777777777778</v>
      </c>
      <c r="R1321" s="261">
        <f>IF(Table6[[#This Row],[Work Start TimeStamp]]="","",(Table6[[#This Row],[Work Start TimeStamp]]-Table6[[#This Row],[Fault Start TimeStamp]])*24)</f>
        <v>0</v>
      </c>
      <c r="S1321" s="261">
        <f>(Table6[[#This Row],[Fault Clearance time]]-Table6[[#This Row],[Work Start TimeStamp]])*24</f>
        <v>0.86666666666666758</v>
      </c>
      <c r="T1321" s="261">
        <f>(Table6[[#This Row],[Fault Clearance time]]-Table6[[#This Row],[Fault Start TimeStamp]])*24</f>
        <v>0.86666666666666758</v>
      </c>
      <c r="U1321" s="35" t="s">
        <v>553</v>
      </c>
      <c r="V1321" s="102" t="s">
        <v>268</v>
      </c>
      <c r="W1321" s="267">
        <f>IFERROR(Table6[[#This Row],[Breakdown Time]]*Table6[[#This Row],[Plant Equivalent Weightage]],"")</f>
        <v>3.3333333333333361E-2</v>
      </c>
      <c r="X1321" s="262" t="s">
        <v>296</v>
      </c>
      <c r="Y1321" s="263" t="s">
        <v>125</v>
      </c>
      <c r="Z1321" s="102">
        <v>10093</v>
      </c>
      <c r="AA1321" s="257">
        <f>(Table6[[#This Row],[Paired WTG Generation for loss calculation]]/24)*Table6[[#This Row],[Breakdown Time]]</f>
        <v>364.46944444444483</v>
      </c>
      <c r="AB1321" s="102"/>
      <c r="AC1321" s="35"/>
      <c r="AD1321" s="35"/>
    </row>
    <row r="1322" spans="1:30">
      <c r="A1322" s="102">
        <f t="shared" si="21"/>
        <v>1321</v>
      </c>
      <c r="B1322" s="257">
        <f>YEAR(Table6[[#This Row],[Date]])+IF(MONTH(Table6[[#This Row],[Date]])&gt;=4,1,0)</f>
        <v>2026</v>
      </c>
      <c r="C1322" s="102">
        <f>YEAR(Table6[[#This Row],[Date]])</f>
        <v>2025</v>
      </c>
      <c r="D1322" s="102" t="s">
        <v>265</v>
      </c>
      <c r="E1322" s="258">
        <f>Table6[[#This Row],[Date]]-DAY(Table6[[#This Row],[Date]])+1</f>
        <v>45809</v>
      </c>
      <c r="F1322" s="259">
        <v>45833</v>
      </c>
      <c r="G1322" s="35" t="s">
        <v>131</v>
      </c>
      <c r="H1322" s="35" t="str">
        <f>IFERROR(_xlfn.XLOOKUP(Table6[[#This Row],[Affected WTG]],'Basic Data'!$A:$A,'Basic Data'!$B:$B),"")</f>
        <v>TQGXIIPL</v>
      </c>
      <c r="I1322" s="35" t="str">
        <f>IFERROR(_xlfn.XLOOKUP(Table6[[#This Row],[Affected WTG]],'Basic Data'!$A:$A,'Basic Data'!$C:$C),"")</f>
        <v>GEDA</v>
      </c>
      <c r="J1322" s="260">
        <f>IFERROR(_xlfn.XLOOKUP(Table6[[#This Row],[Affected WTG]],'Basic Data'!$A:$A,'Basic Data'!$E:$E),"")</f>
        <v>3.846153846153845E-2</v>
      </c>
      <c r="K1322" s="102">
        <v>550</v>
      </c>
      <c r="L1322" s="35" t="str">
        <f>IFERROR(_xlfn.XLOOKUP(Table6[[#This Row],[Error Code]],'Basic Data'!$AA:$AA,'Basic Data'!$AB:$AB),"Incorrect Error Code")</f>
        <v>Pitch current asymmetry</v>
      </c>
      <c r="M1322" s="35" t="s">
        <v>266</v>
      </c>
      <c r="N1322" s="264"/>
      <c r="O1322" s="265">
        <v>0.25486111111111109</v>
      </c>
      <c r="P1322" s="265">
        <v>0.25486111111111109</v>
      </c>
      <c r="Q1322" s="266">
        <v>0.2638888888888889</v>
      </c>
      <c r="R1322" s="261">
        <f>IF(Table6[[#This Row],[Work Start TimeStamp]]="","",(Table6[[#This Row],[Work Start TimeStamp]]-Table6[[#This Row],[Fault Start TimeStamp]])*24)</f>
        <v>0</v>
      </c>
      <c r="S1322" s="261">
        <f>(Table6[[#This Row],[Fault Clearance time]]-Table6[[#This Row],[Work Start TimeStamp]])*24</f>
        <v>0.21666666666666723</v>
      </c>
      <c r="T1322" s="261">
        <f>(Table6[[#This Row],[Fault Clearance time]]-Table6[[#This Row],[Fault Start TimeStamp]])*24</f>
        <v>0.21666666666666723</v>
      </c>
      <c r="U1322" s="35" t="s">
        <v>483</v>
      </c>
      <c r="V1322" s="102" t="s">
        <v>268</v>
      </c>
      <c r="W1322" s="267">
        <f>IFERROR(Table6[[#This Row],[Breakdown Time]]*Table6[[#This Row],[Plant Equivalent Weightage]],"")</f>
        <v>8.3333333333333523E-3</v>
      </c>
      <c r="X1322" s="262" t="s">
        <v>296</v>
      </c>
      <c r="Y1322" s="263" t="s">
        <v>136</v>
      </c>
      <c r="Z1322" s="102">
        <v>14081</v>
      </c>
      <c r="AA1322" s="257">
        <f>(Table6[[#This Row],[Paired WTG Generation for loss calculation]]/24)*Table6[[#This Row],[Breakdown Time]]</f>
        <v>127.12013888888923</v>
      </c>
      <c r="AB1322" s="102"/>
      <c r="AC1322" s="35"/>
      <c r="AD1322" s="35"/>
    </row>
    <row r="1323" spans="1:30">
      <c r="A1323" s="102">
        <f t="shared" si="21"/>
        <v>1322</v>
      </c>
      <c r="B1323" s="257">
        <f>YEAR(Table6[[#This Row],[Date]])+IF(MONTH(Table6[[#This Row],[Date]])&gt;=4,1,0)</f>
        <v>2026</v>
      </c>
      <c r="C1323" s="102">
        <f>YEAR(Table6[[#This Row],[Date]])</f>
        <v>2025</v>
      </c>
      <c r="D1323" s="102" t="s">
        <v>265</v>
      </c>
      <c r="E1323" s="258">
        <f>Table6[[#This Row],[Date]]-DAY(Table6[[#This Row],[Date]])+1</f>
        <v>45809</v>
      </c>
      <c r="F1323" s="259">
        <v>45833</v>
      </c>
      <c r="G1323" s="35" t="s">
        <v>132</v>
      </c>
      <c r="H1323" s="35" t="str">
        <f>IFERROR(_xlfn.XLOOKUP(Table6[[#This Row],[Affected WTG]],'Basic Data'!$A:$A,'Basic Data'!$B:$B),"")</f>
        <v>TQGXIIPL</v>
      </c>
      <c r="I1323" s="35" t="str">
        <f>IFERROR(_xlfn.XLOOKUP(Table6[[#This Row],[Affected WTG]],'Basic Data'!$A:$A,'Basic Data'!$C:$C),"")</f>
        <v>GEDA</v>
      </c>
      <c r="J1323" s="260">
        <f>IFERROR(_xlfn.XLOOKUP(Table6[[#This Row],[Affected WTG]],'Basic Data'!$A:$A,'Basic Data'!$E:$E),"")</f>
        <v>3.846153846153845E-2</v>
      </c>
      <c r="K1323" s="102">
        <v>55</v>
      </c>
      <c r="L1323" s="35" t="str">
        <f>IFERROR(_xlfn.XLOOKUP(Table6[[#This Row],[Error Code]],'Basic Data'!$AA:$AA,'Basic Data'!$AB:$AB),"Incorrect Error Code")</f>
        <v>WTG shut down</v>
      </c>
      <c r="M1323" s="35" t="s">
        <v>266</v>
      </c>
      <c r="N1323" s="264"/>
      <c r="O1323" s="265">
        <v>0.71111111111111114</v>
      </c>
      <c r="P1323" s="265">
        <v>0.71111111111111114</v>
      </c>
      <c r="Q1323" s="266">
        <v>0.76944444444444449</v>
      </c>
      <c r="R1323" s="261">
        <f>IF(Table6[[#This Row],[Work Start TimeStamp]]="","",(Table6[[#This Row],[Work Start TimeStamp]]-Table6[[#This Row],[Fault Start TimeStamp]])*24)</f>
        <v>0</v>
      </c>
      <c r="S1323" s="261">
        <f>(Table6[[#This Row],[Fault Clearance time]]-Table6[[#This Row],[Work Start TimeStamp]])*24</f>
        <v>1.4000000000000004</v>
      </c>
      <c r="T1323" s="261">
        <f>(Table6[[#This Row],[Fault Clearance time]]-Table6[[#This Row],[Fault Start TimeStamp]])*24</f>
        <v>1.4000000000000004</v>
      </c>
      <c r="U1323" s="35" t="s">
        <v>554</v>
      </c>
      <c r="V1323" s="102" t="s">
        <v>268</v>
      </c>
      <c r="W1323" s="267">
        <f>IFERROR(Table6[[#This Row],[Breakdown Time]]*Table6[[#This Row],[Plant Equivalent Weightage]],"")</f>
        <v>5.3846153846153842E-2</v>
      </c>
      <c r="X1323" s="262" t="s">
        <v>296</v>
      </c>
      <c r="Y1323" s="263" t="s">
        <v>120</v>
      </c>
      <c r="Z1323" s="102">
        <v>13541</v>
      </c>
      <c r="AA1323" s="257">
        <f>(Table6[[#This Row],[Paired WTG Generation for loss calculation]]/24)*Table6[[#This Row],[Breakdown Time]]</f>
        <v>789.89166666666688</v>
      </c>
      <c r="AB1323" s="102"/>
      <c r="AC1323" s="35"/>
      <c r="AD1323" s="35"/>
    </row>
    <row r="1324" spans="1:30">
      <c r="A1324" s="102">
        <f t="shared" si="21"/>
        <v>1323</v>
      </c>
      <c r="B1324" s="257">
        <f>YEAR(Table6[[#This Row],[Date]])+IF(MONTH(Table6[[#This Row],[Date]])&gt;=4,1,0)</f>
        <v>2026</v>
      </c>
      <c r="C1324" s="102">
        <f>YEAR(Table6[[#This Row],[Date]])</f>
        <v>2025</v>
      </c>
      <c r="D1324" s="102" t="s">
        <v>265</v>
      </c>
      <c r="E1324" s="258">
        <f>Table6[[#This Row],[Date]]-DAY(Table6[[#This Row],[Date]])+1</f>
        <v>45809</v>
      </c>
      <c r="F1324" s="259">
        <v>45834</v>
      </c>
      <c r="G1324" s="35" t="s">
        <v>116</v>
      </c>
      <c r="H1324" s="35" t="str">
        <f>IFERROR(_xlfn.XLOOKUP(Table6[[#This Row],[Affected WTG]],'Basic Data'!$A:$A,'Basic Data'!$B:$B),"")</f>
        <v>TQGXIIPL</v>
      </c>
      <c r="I1324" s="35" t="str">
        <f>IFERROR(_xlfn.XLOOKUP(Table6[[#This Row],[Affected WTG]],'Basic Data'!$A:$A,'Basic Data'!$C:$C),"")</f>
        <v>GEDA</v>
      </c>
      <c r="J1324" s="260">
        <f>IFERROR(_xlfn.XLOOKUP(Table6[[#This Row],[Affected WTG]],'Basic Data'!$A:$A,'Basic Data'!$E:$E),"")</f>
        <v>3.846153846153845E-2</v>
      </c>
      <c r="K1324" s="102">
        <v>55</v>
      </c>
      <c r="L1324" s="35" t="str">
        <f>IFERROR(_xlfn.XLOOKUP(Table6[[#This Row],[Error Code]],'Basic Data'!$AA:$AA,'Basic Data'!$AB:$AB),"Incorrect Error Code")</f>
        <v>WTG shut down</v>
      </c>
      <c r="M1324" s="35" t="s">
        <v>266</v>
      </c>
      <c r="N1324" s="264"/>
      <c r="O1324" s="265">
        <v>0</v>
      </c>
      <c r="P1324" s="265">
        <v>0</v>
      </c>
      <c r="Q1324" s="266">
        <v>2.5694444444444443E-2</v>
      </c>
      <c r="R1324" s="261">
        <f>IF(Table6[[#This Row],[Work Start TimeStamp]]="","",(Table6[[#This Row],[Work Start TimeStamp]]-Table6[[#This Row],[Fault Start TimeStamp]])*24)</f>
        <v>0</v>
      </c>
      <c r="S1324" s="261">
        <f>(Table6[[#This Row],[Fault Clearance time]]-Table6[[#This Row],[Work Start TimeStamp]])*24</f>
        <v>0.6166666666666667</v>
      </c>
      <c r="T1324" s="261">
        <f>(Table6[[#This Row],[Fault Clearance time]]-Table6[[#This Row],[Fault Start TimeStamp]])*24</f>
        <v>0.6166666666666667</v>
      </c>
      <c r="U1324" s="35" t="s">
        <v>555</v>
      </c>
      <c r="V1324" s="102" t="s">
        <v>268</v>
      </c>
      <c r="W1324" s="267">
        <f>IFERROR(Table6[[#This Row],[Breakdown Time]]*Table6[[#This Row],[Plant Equivalent Weightage]],"")</f>
        <v>2.3717948717948713E-2</v>
      </c>
      <c r="X1324" s="262" t="s">
        <v>296</v>
      </c>
      <c r="Y1324" s="263" t="s">
        <v>119</v>
      </c>
      <c r="Z1324" s="102">
        <v>6206</v>
      </c>
      <c r="AA1324" s="257">
        <f>(Table6[[#This Row],[Paired WTG Generation for loss calculation]]/24)*Table6[[#This Row],[Breakdown Time]]</f>
        <v>159.45972222222221</v>
      </c>
      <c r="AB1324" s="102"/>
      <c r="AC1324" s="35"/>
      <c r="AD1324" s="35"/>
    </row>
    <row r="1325" spans="1:30">
      <c r="A1325" s="102">
        <f t="shared" si="21"/>
        <v>1324</v>
      </c>
      <c r="B1325" s="257">
        <f>YEAR(Table6[[#This Row],[Date]])+IF(MONTH(Table6[[#This Row],[Date]])&gt;=4,1,0)</f>
        <v>2026</v>
      </c>
      <c r="C1325" s="102">
        <f>YEAR(Table6[[#This Row],[Date]])</f>
        <v>2025</v>
      </c>
      <c r="D1325" s="102" t="s">
        <v>265</v>
      </c>
      <c r="E1325" s="258">
        <f>Table6[[#This Row],[Date]]-DAY(Table6[[#This Row],[Date]])+1</f>
        <v>45809</v>
      </c>
      <c r="F1325" s="259">
        <v>45834</v>
      </c>
      <c r="G1325" s="35" t="s">
        <v>121</v>
      </c>
      <c r="H1325" s="35" t="str">
        <f>IFERROR(_xlfn.XLOOKUP(Table6[[#This Row],[Affected WTG]],'Basic Data'!$A:$A,'Basic Data'!$B:$B),"")</f>
        <v>TQGXIIPL</v>
      </c>
      <c r="I1325" s="35" t="str">
        <f>IFERROR(_xlfn.XLOOKUP(Table6[[#This Row],[Affected WTG]],'Basic Data'!$A:$A,'Basic Data'!$C:$C),"")</f>
        <v>GEDA</v>
      </c>
      <c r="J1325" s="260">
        <f>IFERROR(_xlfn.XLOOKUP(Table6[[#This Row],[Affected WTG]],'Basic Data'!$A:$A,'Basic Data'!$E:$E),"")</f>
        <v>3.846153846153845E-2</v>
      </c>
      <c r="K1325" s="102">
        <v>3110</v>
      </c>
      <c r="L1325" s="35" t="str">
        <f>IFERROR(_xlfn.XLOOKUP(Table6[[#This Row],[Error Code]],'Basic Data'!$AA:$AA,'Basic Data'!$AB:$AB),"Incorrect Error Code")</f>
        <v>Frequency converter error</v>
      </c>
      <c r="M1325" s="35" t="s">
        <v>278</v>
      </c>
      <c r="N1325" s="264"/>
      <c r="O1325" s="265">
        <v>0.30763888888888891</v>
      </c>
      <c r="P1325" s="265">
        <v>0.30763888888888891</v>
      </c>
      <c r="Q1325" s="266">
        <v>0.30833333333333335</v>
      </c>
      <c r="R1325" s="261">
        <f>IF(Table6[[#This Row],[Work Start TimeStamp]]="","",(Table6[[#This Row],[Work Start TimeStamp]]-Table6[[#This Row],[Fault Start TimeStamp]])*24)</f>
        <v>0</v>
      </c>
      <c r="S1325" s="261">
        <f>(Table6[[#This Row],[Fault Clearance time]]-Table6[[#This Row],[Work Start TimeStamp]])*24</f>
        <v>1.6666666666666607E-2</v>
      </c>
      <c r="T1325" s="261">
        <f>(Table6[[#This Row],[Fault Clearance time]]-Table6[[#This Row],[Fault Start TimeStamp]])*24</f>
        <v>1.6666666666666607E-2</v>
      </c>
      <c r="U1325" s="35" t="s">
        <v>277</v>
      </c>
      <c r="V1325" s="102" t="s">
        <v>268</v>
      </c>
      <c r="W1325" s="267">
        <f>IFERROR(Table6[[#This Row],[Breakdown Time]]*Table6[[#This Row],[Plant Equivalent Weightage]],"")</f>
        <v>6.4102564102563853E-4</v>
      </c>
      <c r="X1325" s="262" t="s">
        <v>269</v>
      </c>
      <c r="Y1325" s="263" t="s">
        <v>118</v>
      </c>
      <c r="Z1325" s="102">
        <v>6918</v>
      </c>
      <c r="AA1325" s="257">
        <f>(Table6[[#This Row],[Paired WTG Generation for loss calculation]]/24)*Table6[[#This Row],[Breakdown Time]]</f>
        <v>4.8041666666666494</v>
      </c>
      <c r="AB1325" s="102"/>
      <c r="AC1325" s="35"/>
      <c r="AD1325" s="35"/>
    </row>
    <row r="1326" spans="1:30">
      <c r="A1326" s="102">
        <f t="shared" si="21"/>
        <v>1325</v>
      </c>
      <c r="B1326" s="257">
        <f>YEAR(Table6[[#This Row],[Date]])+IF(MONTH(Table6[[#This Row],[Date]])&gt;=4,1,0)</f>
        <v>2026</v>
      </c>
      <c r="C1326" s="102">
        <f>YEAR(Table6[[#This Row],[Date]])</f>
        <v>2025</v>
      </c>
      <c r="D1326" s="102" t="s">
        <v>265</v>
      </c>
      <c r="E1326" s="258">
        <f>Table6[[#This Row],[Date]]-DAY(Table6[[#This Row],[Date]])+1</f>
        <v>45809</v>
      </c>
      <c r="F1326" s="259">
        <v>45834</v>
      </c>
      <c r="G1326" s="35" t="s">
        <v>122</v>
      </c>
      <c r="H1326" s="35" t="str">
        <f>IFERROR(_xlfn.XLOOKUP(Table6[[#This Row],[Affected WTG]],'Basic Data'!$A:$A,'Basic Data'!$B:$B),"")</f>
        <v>TQGXIIPL</v>
      </c>
      <c r="I1326" s="35" t="str">
        <f>IFERROR(_xlfn.XLOOKUP(Table6[[#This Row],[Affected WTG]],'Basic Data'!$A:$A,'Basic Data'!$C:$C),"")</f>
        <v>GEDA</v>
      </c>
      <c r="J1326" s="260">
        <f>IFERROR(_xlfn.XLOOKUP(Table6[[#This Row],[Affected WTG]],'Basic Data'!$A:$A,'Basic Data'!$E:$E),"")</f>
        <v>3.846153846153845E-2</v>
      </c>
      <c r="K1326" s="102">
        <v>175</v>
      </c>
      <c r="L1326" s="35" t="str">
        <f>IFERROR(_xlfn.XLOOKUP(Table6[[#This Row],[Error Code]],'Basic Data'!$AA:$AA,'Basic Data'!$AB:$AB),"Incorrect Error Code")</f>
        <v>SLC error</v>
      </c>
      <c r="M1326" s="35" t="s">
        <v>266</v>
      </c>
      <c r="N1326" s="264"/>
      <c r="O1326" s="265">
        <v>0.29166666666666669</v>
      </c>
      <c r="P1326" s="265">
        <v>0.29166666666666669</v>
      </c>
      <c r="Q1326" s="266">
        <v>0.29722222222222222</v>
      </c>
      <c r="R1326" s="261">
        <f>IF(Table6[[#This Row],[Work Start TimeStamp]]="","",(Table6[[#This Row],[Work Start TimeStamp]]-Table6[[#This Row],[Fault Start TimeStamp]])*24)</f>
        <v>0</v>
      </c>
      <c r="S1326" s="261">
        <f>(Table6[[#This Row],[Fault Clearance time]]-Table6[[#This Row],[Work Start TimeStamp]])*24</f>
        <v>0.13333333333333286</v>
      </c>
      <c r="T1326" s="261">
        <f>(Table6[[#This Row],[Fault Clearance time]]-Table6[[#This Row],[Fault Start TimeStamp]])*24</f>
        <v>0.13333333333333286</v>
      </c>
      <c r="U1326" s="35" t="s">
        <v>483</v>
      </c>
      <c r="V1326" s="102" t="s">
        <v>268</v>
      </c>
      <c r="W1326" s="267">
        <f>IFERROR(Table6[[#This Row],[Breakdown Time]]*Table6[[#This Row],[Plant Equivalent Weightage]],"")</f>
        <v>5.1282051282051083E-3</v>
      </c>
      <c r="X1326" s="262" t="s">
        <v>296</v>
      </c>
      <c r="Y1326" s="263" t="s">
        <v>140</v>
      </c>
      <c r="Z1326" s="102">
        <v>6401</v>
      </c>
      <c r="AA1326" s="257">
        <f>(Table6[[#This Row],[Paired WTG Generation for loss calculation]]/24)*Table6[[#This Row],[Breakdown Time]]</f>
        <v>35.561111111110982</v>
      </c>
      <c r="AB1326" s="102"/>
      <c r="AC1326" s="35"/>
      <c r="AD1326" s="35"/>
    </row>
    <row r="1327" spans="1:30">
      <c r="A1327" s="102">
        <f t="shared" si="21"/>
        <v>1326</v>
      </c>
      <c r="B1327" s="257">
        <f>YEAR(Table6[[#This Row],[Date]])+IF(MONTH(Table6[[#This Row],[Date]])&gt;=4,1,0)</f>
        <v>2026</v>
      </c>
      <c r="C1327" s="102">
        <f>YEAR(Table6[[#This Row],[Date]])</f>
        <v>2025</v>
      </c>
      <c r="D1327" s="102" t="s">
        <v>265</v>
      </c>
      <c r="E1327" s="258">
        <f>Table6[[#This Row],[Date]]-DAY(Table6[[#This Row],[Date]])+1</f>
        <v>45809</v>
      </c>
      <c r="F1327" s="259">
        <v>45834</v>
      </c>
      <c r="G1327" s="35" t="s">
        <v>122</v>
      </c>
      <c r="H1327" s="35" t="str">
        <f>IFERROR(_xlfn.XLOOKUP(Table6[[#This Row],[Affected WTG]],'Basic Data'!$A:$A,'Basic Data'!$B:$B),"")</f>
        <v>TQGXIIPL</v>
      </c>
      <c r="I1327" s="35" t="str">
        <f>IFERROR(_xlfn.XLOOKUP(Table6[[#This Row],[Affected WTG]],'Basic Data'!$A:$A,'Basic Data'!$C:$C),"")</f>
        <v>GEDA</v>
      </c>
      <c r="J1327" s="260">
        <f>IFERROR(_xlfn.XLOOKUP(Table6[[#This Row],[Affected WTG]],'Basic Data'!$A:$A,'Basic Data'!$E:$E),"")</f>
        <v>3.846153846153845E-2</v>
      </c>
      <c r="K1327" s="102">
        <v>3110</v>
      </c>
      <c r="L1327" s="35" t="str">
        <f>IFERROR(_xlfn.XLOOKUP(Table6[[#This Row],[Error Code]],'Basic Data'!$AA:$AA,'Basic Data'!$AB:$AB),"Incorrect Error Code")</f>
        <v>Frequency converter error</v>
      </c>
      <c r="M1327" s="35" t="s">
        <v>266</v>
      </c>
      <c r="N1327" s="264"/>
      <c r="O1327" s="265">
        <v>0.47986111111111113</v>
      </c>
      <c r="P1327" s="265">
        <v>0.47986111111111113</v>
      </c>
      <c r="Q1327" s="266">
        <v>0.49027777777777776</v>
      </c>
      <c r="R1327" s="261">
        <f>IF(Table6[[#This Row],[Work Start TimeStamp]]="","",(Table6[[#This Row],[Work Start TimeStamp]]-Table6[[#This Row],[Fault Start TimeStamp]])*24)</f>
        <v>0</v>
      </c>
      <c r="S1327" s="261">
        <f>(Table6[[#This Row],[Fault Clearance time]]-Table6[[#This Row],[Work Start TimeStamp]])*24</f>
        <v>0.24999999999999911</v>
      </c>
      <c r="T1327" s="261">
        <f>(Table6[[#This Row],[Fault Clearance time]]-Table6[[#This Row],[Fault Start TimeStamp]])*24</f>
        <v>0.24999999999999911</v>
      </c>
      <c r="U1327" s="35" t="s">
        <v>483</v>
      </c>
      <c r="V1327" s="102" t="s">
        <v>268</v>
      </c>
      <c r="W1327" s="267">
        <f>IFERROR(Table6[[#This Row],[Breakdown Time]]*Table6[[#This Row],[Plant Equivalent Weightage]],"")</f>
        <v>9.6153846153845778E-3</v>
      </c>
      <c r="X1327" s="262" t="s">
        <v>296</v>
      </c>
      <c r="Y1327" s="263" t="s">
        <v>140</v>
      </c>
      <c r="Z1327" s="102">
        <v>6401</v>
      </c>
      <c r="AA1327" s="257">
        <f>(Table6[[#This Row],[Paired WTG Generation for loss calculation]]/24)*Table6[[#This Row],[Breakdown Time]]</f>
        <v>66.677083333333087</v>
      </c>
      <c r="AB1327" s="102"/>
      <c r="AC1327" s="35"/>
      <c r="AD1327" s="35"/>
    </row>
    <row r="1328" spans="1:30">
      <c r="A1328" s="102">
        <f t="shared" si="21"/>
        <v>1327</v>
      </c>
      <c r="B1328" s="257">
        <f>YEAR(Table6[[#This Row],[Date]])+IF(MONTH(Table6[[#This Row],[Date]])&gt;=4,1,0)</f>
        <v>2026</v>
      </c>
      <c r="C1328" s="102">
        <f>YEAR(Table6[[#This Row],[Date]])</f>
        <v>2025</v>
      </c>
      <c r="D1328" s="102" t="s">
        <v>265</v>
      </c>
      <c r="E1328" s="258">
        <f>Table6[[#This Row],[Date]]-DAY(Table6[[#This Row],[Date]])+1</f>
        <v>45809</v>
      </c>
      <c r="F1328" s="259">
        <v>45834</v>
      </c>
      <c r="G1328" s="35" t="s">
        <v>126</v>
      </c>
      <c r="H1328" s="35" t="str">
        <f>IFERROR(_xlfn.XLOOKUP(Table6[[#This Row],[Affected WTG]],'Basic Data'!$A:$A,'Basic Data'!$B:$B),"")</f>
        <v>TQGXIIPL</v>
      </c>
      <c r="I1328" s="35" t="str">
        <f>IFERROR(_xlfn.XLOOKUP(Table6[[#This Row],[Affected WTG]],'Basic Data'!$A:$A,'Basic Data'!$C:$C),"")</f>
        <v>GEDA</v>
      </c>
      <c r="J1328" s="260">
        <f>IFERROR(_xlfn.XLOOKUP(Table6[[#This Row],[Affected WTG]],'Basic Data'!$A:$A,'Basic Data'!$E:$E),"")</f>
        <v>3.846153846153845E-2</v>
      </c>
      <c r="K1328" s="102">
        <v>55</v>
      </c>
      <c r="L1328" s="35" t="str">
        <f>IFERROR(_xlfn.XLOOKUP(Table6[[#This Row],[Error Code]],'Basic Data'!$AA:$AA,'Basic Data'!$AB:$AB),"Incorrect Error Code")</f>
        <v>WTG shut down</v>
      </c>
      <c r="M1328" s="35" t="s">
        <v>291</v>
      </c>
      <c r="N1328" s="264"/>
      <c r="O1328" s="265">
        <v>0</v>
      </c>
      <c r="P1328" s="265">
        <v>0</v>
      </c>
      <c r="Q1328" s="266">
        <v>0.99998842592592596</v>
      </c>
      <c r="R1328" s="261">
        <f>IF(Table6[[#This Row],[Work Start TimeStamp]]="","",(Table6[[#This Row],[Work Start TimeStamp]]-Table6[[#This Row],[Fault Start TimeStamp]])*24)</f>
        <v>0</v>
      </c>
      <c r="S1328" s="261">
        <f>(Table6[[#This Row],[Fault Clearance time]]-Table6[[#This Row],[Work Start TimeStamp]])*24</f>
        <v>23.999722222222225</v>
      </c>
      <c r="T1328" s="261">
        <f>(Table6[[#This Row],[Fault Clearance time]]-Table6[[#This Row],[Fault Start TimeStamp]])*24</f>
        <v>23.999722222222225</v>
      </c>
      <c r="U1328" s="284" t="s">
        <v>556</v>
      </c>
      <c r="V1328" s="102" t="s">
        <v>549</v>
      </c>
      <c r="W1328" s="267">
        <f>IFERROR(Table6[[#This Row],[Breakdown Time]]*Table6[[#This Row],[Plant Equivalent Weightage]],"")</f>
        <v>0.9230662393162391</v>
      </c>
      <c r="X1328" s="262" t="s">
        <v>531</v>
      </c>
      <c r="Y1328" s="263" t="s">
        <v>128</v>
      </c>
      <c r="Z1328" s="102">
        <v>6657</v>
      </c>
      <c r="AA1328" s="257">
        <f>(Table6[[#This Row],[Paired WTG Generation for loss calculation]]/24)*Table6[[#This Row],[Breakdown Time]]</f>
        <v>6656.9229513888895</v>
      </c>
      <c r="AB1328" s="102"/>
      <c r="AC1328" s="35"/>
      <c r="AD1328" s="35"/>
    </row>
    <row r="1329" spans="1:30">
      <c r="A1329" s="102">
        <f t="shared" si="21"/>
        <v>1328</v>
      </c>
      <c r="B1329" s="257">
        <f>YEAR(Table6[[#This Row],[Date]])+IF(MONTH(Table6[[#This Row],[Date]])&gt;=4,1,0)</f>
        <v>2026</v>
      </c>
      <c r="C1329" s="102">
        <f>YEAR(Table6[[#This Row],[Date]])</f>
        <v>2025</v>
      </c>
      <c r="D1329" s="102" t="s">
        <v>265</v>
      </c>
      <c r="E1329" s="258">
        <f>Table6[[#This Row],[Date]]-DAY(Table6[[#This Row],[Date]])+1</f>
        <v>45809</v>
      </c>
      <c r="F1329" s="259">
        <v>45834</v>
      </c>
      <c r="G1329" s="35" t="s">
        <v>130</v>
      </c>
      <c r="H1329" s="35" t="str">
        <f>IFERROR(_xlfn.XLOOKUP(Table6[[#This Row],[Affected WTG]],'Basic Data'!$A:$A,'Basic Data'!$B:$B),"")</f>
        <v>TQGXIIPL</v>
      </c>
      <c r="I1329" s="35" t="str">
        <f>IFERROR(_xlfn.XLOOKUP(Table6[[#This Row],[Affected WTG]],'Basic Data'!$A:$A,'Basic Data'!$C:$C),"")</f>
        <v>GEDA</v>
      </c>
      <c r="J1329" s="260">
        <f>IFERROR(_xlfn.XLOOKUP(Table6[[#This Row],[Affected WTG]],'Basic Data'!$A:$A,'Basic Data'!$E:$E),"")</f>
        <v>3.846153846153845E-2</v>
      </c>
      <c r="K1329" s="102">
        <v>6505</v>
      </c>
      <c r="L1329" s="35" t="str">
        <f>IFERROR(_xlfn.XLOOKUP(Table6[[#This Row],[Error Code]],'Basic Data'!$AA:$AA,'Basic Data'!$AB:$AB),"Incorrect Error Code")</f>
        <v>Wind.sp. diff. level 2</v>
      </c>
      <c r="M1329" s="35" t="s">
        <v>266</v>
      </c>
      <c r="N1329" s="264"/>
      <c r="O1329" s="265">
        <v>0.57916666666666672</v>
      </c>
      <c r="P1329" s="265">
        <v>0.59375</v>
      </c>
      <c r="Q1329" s="266">
        <v>0.79583333333333328</v>
      </c>
      <c r="R1329" s="261">
        <f>IF(Table6[[#This Row],[Work Start TimeStamp]]="","",(Table6[[#This Row],[Work Start TimeStamp]]-Table6[[#This Row],[Fault Start TimeStamp]])*24)</f>
        <v>0.34999999999999876</v>
      </c>
      <c r="S1329" s="261">
        <f>(Table6[[#This Row],[Fault Clearance time]]-Table6[[#This Row],[Work Start TimeStamp]])*24</f>
        <v>4.8499999999999988</v>
      </c>
      <c r="T1329" s="261">
        <f>(Table6[[#This Row],[Fault Clearance time]]-Table6[[#This Row],[Fault Start TimeStamp]])*24</f>
        <v>5.1999999999999975</v>
      </c>
      <c r="U1329" s="35" t="s">
        <v>557</v>
      </c>
      <c r="V1329" s="102" t="s">
        <v>268</v>
      </c>
      <c r="W1329" s="267">
        <f>IFERROR(Table6[[#This Row],[Breakdown Time]]*Table6[[#This Row],[Plant Equivalent Weightage]],"")</f>
        <v>0.19999999999999984</v>
      </c>
      <c r="X1329" s="262" t="s">
        <v>296</v>
      </c>
      <c r="Y1329" s="263" t="s">
        <v>135</v>
      </c>
      <c r="Z1329" s="102">
        <v>7106</v>
      </c>
      <c r="AA1329" s="257">
        <f>(Table6[[#This Row],[Paired WTG Generation for loss calculation]]/24)*Table6[[#This Row],[Breakdown Time]]</f>
        <v>1539.6333333333325</v>
      </c>
      <c r="AB1329" s="102"/>
      <c r="AC1329" s="35"/>
      <c r="AD1329" s="35"/>
    </row>
    <row r="1330" spans="1:30">
      <c r="A1330" s="102">
        <f t="shared" si="21"/>
        <v>1329</v>
      </c>
      <c r="B1330" s="257">
        <f>YEAR(Table6[[#This Row],[Date]])+IF(MONTH(Table6[[#This Row],[Date]])&gt;=4,1,0)</f>
        <v>2026</v>
      </c>
      <c r="C1330" s="102">
        <f>YEAR(Table6[[#This Row],[Date]])</f>
        <v>2025</v>
      </c>
      <c r="D1330" s="102" t="s">
        <v>265</v>
      </c>
      <c r="E1330" s="258">
        <f>Table6[[#This Row],[Date]]-DAY(Table6[[#This Row],[Date]])+1</f>
        <v>45809</v>
      </c>
      <c r="F1330" s="259">
        <v>45834</v>
      </c>
      <c r="G1330" s="35" t="s">
        <v>136</v>
      </c>
      <c r="H1330" s="35" t="str">
        <f>IFERROR(_xlfn.XLOOKUP(Table6[[#This Row],[Affected WTG]],'Basic Data'!$A:$A,'Basic Data'!$B:$B),"")</f>
        <v>TQGXIIPL</v>
      </c>
      <c r="I1330" s="35" t="str">
        <f>IFERROR(_xlfn.XLOOKUP(Table6[[#This Row],[Affected WTG]],'Basic Data'!$A:$A,'Basic Data'!$C:$C),"")</f>
        <v>GEDA</v>
      </c>
      <c r="J1330" s="260">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266</v>
      </c>
      <c r="N1330" s="264"/>
      <c r="O1330" s="265">
        <v>0.65416666666666667</v>
      </c>
      <c r="P1330" s="265">
        <v>0.65416666666666667</v>
      </c>
      <c r="Q1330" s="266">
        <v>0.65763888888888888</v>
      </c>
      <c r="R1330" s="261">
        <f>IF(Table6[[#This Row],[Work Start TimeStamp]]="","",(Table6[[#This Row],[Work Start TimeStamp]]-Table6[[#This Row],[Fault Start TimeStamp]])*24)</f>
        <v>0</v>
      </c>
      <c r="S1330" s="261">
        <f>(Table6[[#This Row],[Fault Clearance time]]-Table6[[#This Row],[Work Start TimeStamp]])*24</f>
        <v>8.3333333333333037E-2</v>
      </c>
      <c r="T1330" s="261">
        <f>(Table6[[#This Row],[Fault Clearance time]]-Table6[[#This Row],[Fault Start TimeStamp]])*24</f>
        <v>8.3333333333333037E-2</v>
      </c>
      <c r="U1330" s="35" t="s">
        <v>483</v>
      </c>
      <c r="V1330" s="102" t="s">
        <v>268</v>
      </c>
      <c r="W1330" s="267">
        <f>IFERROR(Table6[[#This Row],[Breakdown Time]]*Table6[[#This Row],[Plant Equivalent Weightage]],"")</f>
        <v>3.2051282051281929E-3</v>
      </c>
      <c r="X1330" s="262" t="s">
        <v>296</v>
      </c>
      <c r="Y1330" s="263" t="s">
        <v>120</v>
      </c>
      <c r="Z1330" s="102">
        <v>7570</v>
      </c>
      <c r="AA1330" s="257">
        <f>(Table6[[#This Row],[Paired WTG Generation for loss calculation]]/24)*Table6[[#This Row],[Breakdown Time]]</f>
        <v>26.284722222222129</v>
      </c>
      <c r="AB1330" s="102"/>
      <c r="AC1330" s="35"/>
      <c r="AD1330" s="35"/>
    </row>
    <row r="1331" spans="1:30">
      <c r="A1331" s="102">
        <f t="shared" si="21"/>
        <v>1330</v>
      </c>
      <c r="B1331" s="257">
        <f>YEAR(Table6[[#This Row],[Date]])+IF(MONTH(Table6[[#This Row],[Date]])&gt;=4,1,0)</f>
        <v>2026</v>
      </c>
      <c r="C1331" s="102">
        <f>YEAR(Table6[[#This Row],[Date]])</f>
        <v>2025</v>
      </c>
      <c r="D1331" s="102" t="s">
        <v>265</v>
      </c>
      <c r="E1331" s="258">
        <f>Table6[[#This Row],[Date]]-DAY(Table6[[#This Row],[Date]])+1</f>
        <v>45809</v>
      </c>
      <c r="F1331" s="259">
        <v>45834</v>
      </c>
      <c r="G1331" s="35" t="s">
        <v>136</v>
      </c>
      <c r="H1331" s="35" t="str">
        <f>IFERROR(_xlfn.XLOOKUP(Table6[[#This Row],[Affected WTG]],'Basic Data'!$A:$A,'Basic Data'!$B:$B),"")</f>
        <v>TQGXIIPL</v>
      </c>
      <c r="I1331" s="35" t="str">
        <f>IFERROR(_xlfn.XLOOKUP(Table6[[#This Row],[Affected WTG]],'Basic Data'!$A:$A,'Basic Data'!$C:$C),"")</f>
        <v>GEDA</v>
      </c>
      <c r="J1331" s="260">
        <f>IFERROR(_xlfn.XLOOKUP(Table6[[#This Row],[Affected WTG]],'Basic Data'!$A:$A,'Basic Data'!$E:$E),"")</f>
        <v>3.846153846153845E-2</v>
      </c>
      <c r="K1331" s="102">
        <v>55</v>
      </c>
      <c r="L1331" s="35" t="str">
        <f>IFERROR(_xlfn.XLOOKUP(Table6[[#This Row],[Error Code]],'Basic Data'!$AA:$AA,'Basic Data'!$AB:$AB),"Incorrect Error Code")</f>
        <v>WTG shut down</v>
      </c>
      <c r="M1331" s="35" t="s">
        <v>266</v>
      </c>
      <c r="N1331" s="264"/>
      <c r="O1331" s="265">
        <v>0.75416666666666665</v>
      </c>
      <c r="P1331" s="265">
        <v>0.75416666666666665</v>
      </c>
      <c r="Q1331" s="266">
        <v>0.81736111111111109</v>
      </c>
      <c r="R1331" s="261">
        <f>IF(Table6[[#This Row],[Work Start TimeStamp]]="","",(Table6[[#This Row],[Work Start TimeStamp]]-Table6[[#This Row],[Fault Start TimeStamp]])*24)</f>
        <v>0</v>
      </c>
      <c r="S1331" s="261">
        <f>(Table6[[#This Row],[Fault Clearance time]]-Table6[[#This Row],[Work Start TimeStamp]])*24</f>
        <v>1.5166666666666666</v>
      </c>
      <c r="T1331" s="261">
        <f>(Table6[[#This Row],[Fault Clearance time]]-Table6[[#This Row],[Fault Start TimeStamp]])*24</f>
        <v>1.5166666666666666</v>
      </c>
      <c r="U1331" s="35" t="s">
        <v>558</v>
      </c>
      <c r="V1331" s="102" t="s">
        <v>268</v>
      </c>
      <c r="W1331" s="267">
        <f>IFERROR(Table6[[#This Row],[Breakdown Time]]*Table6[[#This Row],[Plant Equivalent Weightage]],"")</f>
        <v>5.8333333333333313E-2</v>
      </c>
      <c r="X1331" s="262" t="s">
        <v>296</v>
      </c>
      <c r="Y1331" s="263" t="s">
        <v>120</v>
      </c>
      <c r="Z1331" s="102">
        <v>7570</v>
      </c>
      <c r="AA1331" s="257">
        <f>(Table6[[#This Row],[Paired WTG Generation for loss calculation]]/24)*Table6[[#This Row],[Breakdown Time]]</f>
        <v>478.38194444444446</v>
      </c>
      <c r="AB1331" s="102"/>
      <c r="AC1331" s="35"/>
      <c r="AD1331" s="35"/>
    </row>
    <row r="1332" spans="1:30">
      <c r="A1332" s="102">
        <f t="shared" si="21"/>
        <v>1331</v>
      </c>
      <c r="B1332" s="257">
        <f>YEAR(Table6[[#This Row],[Date]])+IF(MONTH(Table6[[#This Row],[Date]])&gt;=4,1,0)</f>
        <v>2026</v>
      </c>
      <c r="C1332" s="102">
        <f>YEAR(Table6[[#This Row],[Date]])</f>
        <v>2025</v>
      </c>
      <c r="D1332" s="102" t="s">
        <v>265</v>
      </c>
      <c r="E1332" s="258">
        <f>Table6[[#This Row],[Date]]-DAY(Table6[[#This Row],[Date]])+1</f>
        <v>45809</v>
      </c>
      <c r="F1332" s="259">
        <v>45834</v>
      </c>
      <c r="G1332" s="35" t="s">
        <v>137</v>
      </c>
      <c r="H1332" s="35" t="str">
        <f>IFERROR(_xlfn.XLOOKUP(Table6[[#This Row],[Affected WTG]],'Basic Data'!$A:$A,'Basic Data'!$B:$B),"")</f>
        <v>TQGXIIPL</v>
      </c>
      <c r="I1332" s="35" t="str">
        <f>IFERROR(_xlfn.XLOOKUP(Table6[[#This Row],[Affected WTG]],'Basic Data'!$A:$A,'Basic Data'!$C:$C),"")</f>
        <v>GEDA</v>
      </c>
      <c r="J1332" s="260">
        <f>IFERROR(_xlfn.XLOOKUP(Table6[[#This Row],[Affected WTG]],'Basic Data'!$A:$A,'Basic Data'!$E:$E),"")</f>
        <v>3.846153846153845E-2</v>
      </c>
      <c r="K1332" s="102">
        <v>55</v>
      </c>
      <c r="L1332" s="35" t="str">
        <f>IFERROR(_xlfn.XLOOKUP(Table6[[#This Row],[Error Code]],'Basic Data'!$AA:$AA,'Basic Data'!$AB:$AB),"Incorrect Error Code")</f>
        <v>WTG shut down</v>
      </c>
      <c r="M1332" s="35" t="s">
        <v>266</v>
      </c>
      <c r="N1332" s="264"/>
      <c r="O1332" s="265">
        <v>0.72083333333333333</v>
      </c>
      <c r="P1332" s="265">
        <v>0.72083333333333333</v>
      </c>
      <c r="Q1332" s="266">
        <v>0.72499999999999998</v>
      </c>
      <c r="R1332" s="261">
        <f>IF(Table6[[#This Row],[Work Start TimeStamp]]="","",(Table6[[#This Row],[Work Start TimeStamp]]-Table6[[#This Row],[Fault Start TimeStamp]])*24)</f>
        <v>0</v>
      </c>
      <c r="S1332" s="261">
        <f>(Table6[[#This Row],[Fault Clearance time]]-Table6[[#This Row],[Work Start TimeStamp]])*24</f>
        <v>9.9999999999999645E-2</v>
      </c>
      <c r="T1332" s="261">
        <f>(Table6[[#This Row],[Fault Clearance time]]-Table6[[#This Row],[Fault Start TimeStamp]])*24</f>
        <v>9.9999999999999645E-2</v>
      </c>
      <c r="U1332" s="35" t="s">
        <v>559</v>
      </c>
      <c r="V1332" s="102" t="s">
        <v>268</v>
      </c>
      <c r="W1332" s="267">
        <f>IFERROR(Table6[[#This Row],[Breakdown Time]]*Table6[[#This Row],[Plant Equivalent Weightage]],"")</f>
        <v>3.8461538461538312E-3</v>
      </c>
      <c r="X1332" s="262" t="s">
        <v>296</v>
      </c>
      <c r="Y1332" s="263" t="s">
        <v>125</v>
      </c>
      <c r="Z1332" s="102">
        <v>6362</v>
      </c>
      <c r="AA1332" s="257">
        <f>(Table6[[#This Row],[Paired WTG Generation for loss calculation]]/24)*Table6[[#This Row],[Breakdown Time]]</f>
        <v>26.508333333333237</v>
      </c>
      <c r="AB1332" s="102"/>
      <c r="AC1332" s="35"/>
      <c r="AD1332" s="35"/>
    </row>
    <row r="1333" spans="1:30">
      <c r="A1333" s="102">
        <f t="shared" si="21"/>
        <v>1332</v>
      </c>
      <c r="B1333" s="257">
        <f>YEAR(Table6[[#This Row],[Date]])+IF(MONTH(Table6[[#This Row],[Date]])&gt;=4,1,0)</f>
        <v>2026</v>
      </c>
      <c r="C1333" s="102">
        <f>YEAR(Table6[[#This Row],[Date]])</f>
        <v>2025</v>
      </c>
      <c r="D1333" s="102" t="s">
        <v>265</v>
      </c>
      <c r="E1333" s="258">
        <f>Table6[[#This Row],[Date]]-DAY(Table6[[#This Row],[Date]])+1</f>
        <v>45809</v>
      </c>
      <c r="F1333" s="259">
        <v>45835</v>
      </c>
      <c r="G1333" s="35" t="s">
        <v>116</v>
      </c>
      <c r="H1333" s="35" t="str">
        <f>IFERROR(_xlfn.XLOOKUP(Table6[[#This Row],[Affected WTG]],'Basic Data'!$A:$A,'Basic Data'!$B:$B),"")</f>
        <v>TQGXIIPL</v>
      </c>
      <c r="I1333" s="35" t="str">
        <f>IFERROR(_xlfn.XLOOKUP(Table6[[#This Row],[Affected WTG]],'Basic Data'!$A:$A,'Basic Data'!$C:$C),"")</f>
        <v>GEDA</v>
      </c>
      <c r="J1333" s="260">
        <f>IFERROR(_xlfn.XLOOKUP(Table6[[#This Row],[Affected WTG]],'Basic Data'!$A:$A,'Basic Data'!$E:$E),"")</f>
        <v>3.846153846153845E-2</v>
      </c>
      <c r="K1333" s="102">
        <v>175</v>
      </c>
      <c r="L1333" s="35" t="str">
        <f>IFERROR(_xlfn.XLOOKUP(Table6[[#This Row],[Error Code]],'Basic Data'!$AA:$AA,'Basic Data'!$AB:$AB),"Incorrect Error Code")</f>
        <v>SLC error</v>
      </c>
      <c r="M1333" s="35" t="s">
        <v>266</v>
      </c>
      <c r="N1333" s="264"/>
      <c r="O1333" s="265">
        <v>0.39166666666666666</v>
      </c>
      <c r="P1333" s="265">
        <v>0.39166666666666666</v>
      </c>
      <c r="Q1333" s="266">
        <v>0.39305555555555555</v>
      </c>
      <c r="R1333" s="261">
        <f>IF(Table6[[#This Row],[Work Start TimeStamp]]="","",(Table6[[#This Row],[Work Start TimeStamp]]-Table6[[#This Row],[Fault Start TimeStamp]])*24)</f>
        <v>0</v>
      </c>
      <c r="S1333" s="261">
        <f>(Table6[[#This Row],[Fault Clearance time]]-Table6[[#This Row],[Work Start TimeStamp]])*24</f>
        <v>3.3333333333333215E-2</v>
      </c>
      <c r="T1333" s="261">
        <f>(Table6[[#This Row],[Fault Clearance time]]-Table6[[#This Row],[Fault Start TimeStamp]])*24</f>
        <v>3.3333333333333215E-2</v>
      </c>
      <c r="U1333" s="35" t="s">
        <v>483</v>
      </c>
      <c r="V1333" s="102" t="s">
        <v>268</v>
      </c>
      <c r="W1333" s="267">
        <f>IFERROR(Table6[[#This Row],[Breakdown Time]]*Table6[[#This Row],[Plant Equivalent Weightage]],"")</f>
        <v>1.2820512820512771E-3</v>
      </c>
      <c r="X1333" s="262" t="s">
        <v>296</v>
      </c>
      <c r="Y1333" s="263" t="s">
        <v>119</v>
      </c>
      <c r="Z1333" s="102">
        <v>28858</v>
      </c>
      <c r="AA1333" s="257">
        <f>(Table6[[#This Row],[Paired WTG Generation for loss calculation]]/24)*Table6[[#This Row],[Breakdown Time]]</f>
        <v>40.080555555555414</v>
      </c>
      <c r="AB1333" s="102"/>
      <c r="AC1333" s="35"/>
      <c r="AD1333" s="35"/>
    </row>
    <row r="1334" spans="1:30">
      <c r="A1334" s="102">
        <f t="shared" si="21"/>
        <v>1333</v>
      </c>
      <c r="B1334" s="257">
        <f>YEAR(Table6[[#This Row],[Date]])+IF(MONTH(Table6[[#This Row],[Date]])&gt;=4,1,0)</f>
        <v>2026</v>
      </c>
      <c r="C1334" s="102">
        <f>YEAR(Table6[[#This Row],[Date]])</f>
        <v>2025</v>
      </c>
      <c r="D1334" s="102" t="s">
        <v>265</v>
      </c>
      <c r="E1334" s="258">
        <f>Table6[[#This Row],[Date]]-DAY(Table6[[#This Row],[Date]])+1</f>
        <v>45809</v>
      </c>
      <c r="F1334" s="259">
        <v>45835</v>
      </c>
      <c r="G1334" s="35" t="s">
        <v>117</v>
      </c>
      <c r="H1334" s="35" t="str">
        <f>IFERROR(_xlfn.XLOOKUP(Table6[[#This Row],[Affected WTG]],'Basic Data'!$A:$A,'Basic Data'!$B:$B),"")</f>
        <v>TQGXIIPL</v>
      </c>
      <c r="I1334" s="35" t="str">
        <f>IFERROR(_xlfn.XLOOKUP(Table6[[#This Row],[Affected WTG]],'Basic Data'!$A:$A,'Basic Data'!$C:$C),"")</f>
        <v>GEDA</v>
      </c>
      <c r="J1334" s="260">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266</v>
      </c>
      <c r="N1334" s="264"/>
      <c r="O1334" s="265">
        <v>4.9305555555555554E-2</v>
      </c>
      <c r="P1334" s="265">
        <v>4.9305555555555554E-2</v>
      </c>
      <c r="Q1334" s="266">
        <v>5.0694444444444445E-2</v>
      </c>
      <c r="R1334" s="261">
        <f>IF(Table6[[#This Row],[Work Start TimeStamp]]="","",(Table6[[#This Row],[Work Start TimeStamp]]-Table6[[#This Row],[Fault Start TimeStamp]])*24)</f>
        <v>0</v>
      </c>
      <c r="S1334" s="261">
        <f>(Table6[[#This Row],[Fault Clearance time]]-Table6[[#This Row],[Work Start TimeStamp]])*24</f>
        <v>3.3333333333333381E-2</v>
      </c>
      <c r="T1334" s="261">
        <f>(Table6[[#This Row],[Fault Clearance time]]-Table6[[#This Row],[Fault Start TimeStamp]])*24</f>
        <v>3.3333333333333381E-2</v>
      </c>
      <c r="U1334" s="35" t="s">
        <v>483</v>
      </c>
      <c r="V1334" s="102" t="s">
        <v>268</v>
      </c>
      <c r="W1334" s="267">
        <f>IFERROR(Table6[[#This Row],[Breakdown Time]]*Table6[[#This Row],[Plant Equivalent Weightage]],"")</f>
        <v>1.2820512820512836E-3</v>
      </c>
      <c r="X1334" s="262" t="s">
        <v>296</v>
      </c>
      <c r="Y1334" s="263" t="s">
        <v>123</v>
      </c>
      <c r="Z1334" s="102">
        <v>31282</v>
      </c>
      <c r="AA1334" s="257">
        <f>(Table6[[#This Row],[Paired WTG Generation for loss calculation]]/24)*Table6[[#This Row],[Breakdown Time]]</f>
        <v>43.447222222222287</v>
      </c>
      <c r="AB1334" s="102"/>
      <c r="AC1334" s="35"/>
      <c r="AD1334" s="35"/>
    </row>
    <row r="1335" spans="1:30">
      <c r="A1335" s="102">
        <f t="shared" si="21"/>
        <v>1334</v>
      </c>
      <c r="B1335" s="257">
        <f>YEAR(Table6[[#This Row],[Date]])+IF(MONTH(Table6[[#This Row],[Date]])&gt;=4,1,0)</f>
        <v>2026</v>
      </c>
      <c r="C1335" s="102">
        <f>YEAR(Table6[[#This Row],[Date]])</f>
        <v>2025</v>
      </c>
      <c r="D1335" s="102" t="s">
        <v>265</v>
      </c>
      <c r="E1335" s="258">
        <f>Table6[[#This Row],[Date]]-DAY(Table6[[#This Row],[Date]])+1</f>
        <v>45809</v>
      </c>
      <c r="F1335" s="259">
        <v>45835</v>
      </c>
      <c r="G1335" s="35" t="s">
        <v>119</v>
      </c>
      <c r="H1335" s="35" t="str">
        <f>IFERROR(_xlfn.XLOOKUP(Table6[[#This Row],[Affected WTG]],'Basic Data'!$A:$A,'Basic Data'!$B:$B),"")</f>
        <v>TQGXIIPL</v>
      </c>
      <c r="I1335" s="35" t="str">
        <f>IFERROR(_xlfn.XLOOKUP(Table6[[#This Row],[Affected WTG]],'Basic Data'!$A:$A,'Basic Data'!$C:$C),"")</f>
        <v>GEDA</v>
      </c>
      <c r="J1335" s="260">
        <f>IFERROR(_xlfn.XLOOKUP(Table6[[#This Row],[Affected WTG]],'Basic Data'!$A:$A,'Basic Data'!$E:$E),"")</f>
        <v>3.846153846153845E-2</v>
      </c>
      <c r="K1335" s="102">
        <v>3110</v>
      </c>
      <c r="L1335" s="35" t="str">
        <f>IFERROR(_xlfn.XLOOKUP(Table6[[#This Row],[Error Code]],'Basic Data'!$AA:$AA,'Basic Data'!$AB:$AB),"Incorrect Error Code")</f>
        <v>Frequency converter error</v>
      </c>
      <c r="M1335" s="35" t="s">
        <v>266</v>
      </c>
      <c r="N1335" s="264"/>
      <c r="O1335" s="265">
        <v>0.99097222222222225</v>
      </c>
      <c r="P1335" s="265">
        <v>0.99097222222222225</v>
      </c>
      <c r="Q1335" s="266">
        <v>0.99305555555555558</v>
      </c>
      <c r="R1335" s="261">
        <f>IF(Table6[[#This Row],[Work Start TimeStamp]]="","",(Table6[[#This Row],[Work Start TimeStamp]]-Table6[[#This Row],[Fault Start TimeStamp]])*24)</f>
        <v>0</v>
      </c>
      <c r="S1335" s="261">
        <f>(Table6[[#This Row],[Fault Clearance time]]-Table6[[#This Row],[Work Start TimeStamp]])*24</f>
        <v>4.9999999999999822E-2</v>
      </c>
      <c r="T1335" s="261">
        <f>(Table6[[#This Row],[Fault Clearance time]]-Table6[[#This Row],[Fault Start TimeStamp]])*24</f>
        <v>4.9999999999999822E-2</v>
      </c>
      <c r="U1335" s="35" t="s">
        <v>483</v>
      </c>
      <c r="V1335" s="102" t="s">
        <v>268</v>
      </c>
      <c r="W1335" s="267">
        <f>IFERROR(Table6[[#This Row],[Breakdown Time]]*Table6[[#This Row],[Plant Equivalent Weightage]],"")</f>
        <v>1.9230769230769156E-3</v>
      </c>
      <c r="X1335" s="262" t="s">
        <v>296</v>
      </c>
      <c r="Y1335" s="263" t="s">
        <v>116</v>
      </c>
      <c r="Z1335" s="102">
        <v>29694</v>
      </c>
      <c r="AA1335" s="257">
        <f>(Table6[[#This Row],[Paired WTG Generation for loss calculation]]/24)*Table6[[#This Row],[Breakdown Time]]</f>
        <v>61.862499999999777</v>
      </c>
      <c r="AB1335" s="102"/>
      <c r="AC1335" s="35"/>
      <c r="AD1335" s="35"/>
    </row>
    <row r="1336" spans="1:30">
      <c r="A1336" s="102">
        <f t="shared" si="21"/>
        <v>1335</v>
      </c>
      <c r="B1336" s="257">
        <f>YEAR(Table6[[#This Row],[Date]])+IF(MONTH(Table6[[#This Row],[Date]])&gt;=4,1,0)</f>
        <v>2026</v>
      </c>
      <c r="C1336" s="102">
        <f>YEAR(Table6[[#This Row],[Date]])</f>
        <v>2025</v>
      </c>
      <c r="D1336" s="102" t="s">
        <v>265</v>
      </c>
      <c r="E1336" s="258">
        <f>Table6[[#This Row],[Date]]-DAY(Table6[[#This Row],[Date]])+1</f>
        <v>45809</v>
      </c>
      <c r="F1336" s="259">
        <v>45835</v>
      </c>
      <c r="G1336" s="35" t="s">
        <v>122</v>
      </c>
      <c r="H1336" s="35" t="str">
        <f>IFERROR(_xlfn.XLOOKUP(Table6[[#This Row],[Affected WTG]],'Basic Data'!$A:$A,'Basic Data'!$B:$B),"")</f>
        <v>TQGXIIPL</v>
      </c>
      <c r="I1336" s="35" t="str">
        <f>IFERROR(_xlfn.XLOOKUP(Table6[[#This Row],[Affected WTG]],'Basic Data'!$A:$A,'Basic Data'!$C:$C),"")</f>
        <v>GEDA</v>
      </c>
      <c r="J1336" s="260">
        <f>IFERROR(_xlfn.XLOOKUP(Table6[[#This Row],[Affected WTG]],'Basic Data'!$A:$A,'Basic Data'!$E:$E),"")</f>
        <v>3.846153846153845E-2</v>
      </c>
      <c r="K1336" s="102">
        <v>665</v>
      </c>
      <c r="L1336" s="35" t="str">
        <f>IFERROR(_xlfn.XLOOKUP(Table6[[#This Row],[Error Code]],'Basic Data'!$AA:$AA,'Basic Data'!$AB:$AB),"Incorrect Error Code")</f>
        <v>Pitch error</v>
      </c>
      <c r="M1336" s="35" t="s">
        <v>266</v>
      </c>
      <c r="N1336" s="264"/>
      <c r="O1336" s="265">
        <v>0.9145833333333333</v>
      </c>
      <c r="P1336" s="265">
        <v>0.9145833333333333</v>
      </c>
      <c r="Q1336" s="266">
        <v>0.91805555555555551</v>
      </c>
      <c r="R1336" s="261">
        <f>IF(Table6[[#This Row],[Work Start TimeStamp]]="","",(Table6[[#This Row],[Work Start TimeStamp]]-Table6[[#This Row],[Fault Start TimeStamp]])*24)</f>
        <v>0</v>
      </c>
      <c r="S1336" s="261">
        <f>(Table6[[#This Row],[Fault Clearance time]]-Table6[[#This Row],[Work Start TimeStamp]])*24</f>
        <v>8.3333333333333037E-2</v>
      </c>
      <c r="T1336" s="261">
        <f>(Table6[[#This Row],[Fault Clearance time]]-Table6[[#This Row],[Fault Start TimeStamp]])*24</f>
        <v>8.3333333333333037E-2</v>
      </c>
      <c r="U1336" s="35" t="s">
        <v>483</v>
      </c>
      <c r="V1336" s="102" t="s">
        <v>268</v>
      </c>
      <c r="W1336" s="267">
        <f>IFERROR(Table6[[#This Row],[Breakdown Time]]*Table6[[#This Row],[Plant Equivalent Weightage]],"")</f>
        <v>3.2051282051281929E-3</v>
      </c>
      <c r="X1336" s="262" t="s">
        <v>296</v>
      </c>
      <c r="Y1336" s="263" t="s">
        <v>140</v>
      </c>
      <c r="Z1336" s="102">
        <v>31562</v>
      </c>
      <c r="AA1336" s="257">
        <f>(Table6[[#This Row],[Paired WTG Generation for loss calculation]]/24)*Table6[[#This Row],[Breakdown Time]]</f>
        <v>109.59027777777739</v>
      </c>
      <c r="AB1336" s="102"/>
      <c r="AC1336" s="35"/>
      <c r="AD1336" s="35"/>
    </row>
    <row r="1337" spans="1:30">
      <c r="A1337" s="102">
        <f t="shared" si="21"/>
        <v>1336</v>
      </c>
      <c r="B1337" s="257">
        <f>YEAR(Table6[[#This Row],[Date]])+IF(MONTH(Table6[[#This Row],[Date]])&gt;=4,1,0)</f>
        <v>2026</v>
      </c>
      <c r="C1337" s="102">
        <f>YEAR(Table6[[#This Row],[Date]])</f>
        <v>2025</v>
      </c>
      <c r="D1337" s="102" t="s">
        <v>265</v>
      </c>
      <c r="E1337" s="258">
        <f>Table6[[#This Row],[Date]]-DAY(Table6[[#This Row],[Date]])+1</f>
        <v>45809</v>
      </c>
      <c r="F1337" s="259">
        <v>45835</v>
      </c>
      <c r="G1337" s="35" t="s">
        <v>126</v>
      </c>
      <c r="H1337" s="35" t="str">
        <f>IFERROR(_xlfn.XLOOKUP(Table6[[#This Row],[Affected WTG]],'Basic Data'!$A:$A,'Basic Data'!$B:$B),"")</f>
        <v>TQGXIIPL</v>
      </c>
      <c r="I1337" s="35" t="str">
        <f>IFERROR(_xlfn.XLOOKUP(Table6[[#This Row],[Affected WTG]],'Basic Data'!$A:$A,'Basic Data'!$C:$C),"")</f>
        <v>GEDA</v>
      </c>
      <c r="J1337" s="260">
        <f>IFERROR(_xlfn.XLOOKUP(Table6[[#This Row],[Affected WTG]],'Basic Data'!$A:$A,'Basic Data'!$E:$E),"")</f>
        <v>3.846153846153845E-2</v>
      </c>
      <c r="K1337" s="102">
        <v>55</v>
      </c>
      <c r="L1337" s="35" t="str">
        <f>IFERROR(_xlfn.XLOOKUP(Table6[[#This Row],[Error Code]],'Basic Data'!$AA:$AA,'Basic Data'!$AB:$AB),"Incorrect Error Code")</f>
        <v>WTG shut down</v>
      </c>
      <c r="M1337" s="35" t="s">
        <v>291</v>
      </c>
      <c r="N1337" s="264"/>
      <c r="O1337" s="265">
        <v>0</v>
      </c>
      <c r="P1337" s="265">
        <v>0</v>
      </c>
      <c r="Q1337" s="266">
        <v>0.40277777777777779</v>
      </c>
      <c r="R1337" s="261">
        <f>IF(Table6[[#This Row],[Work Start TimeStamp]]="","",(Table6[[#This Row],[Work Start TimeStamp]]-Table6[[#This Row],[Fault Start TimeStamp]])*24)</f>
        <v>0</v>
      </c>
      <c r="S1337" s="261">
        <f>(Table6[[#This Row],[Fault Clearance time]]-Table6[[#This Row],[Work Start TimeStamp]])*24</f>
        <v>9.6666666666666679</v>
      </c>
      <c r="T1337" s="261">
        <f>(Table6[[#This Row],[Fault Clearance time]]-Table6[[#This Row],[Fault Start TimeStamp]])*24</f>
        <v>9.6666666666666679</v>
      </c>
      <c r="U1337" s="35" t="s">
        <v>560</v>
      </c>
      <c r="V1337" s="102" t="s">
        <v>549</v>
      </c>
      <c r="W1337" s="267">
        <f>IFERROR(Table6[[#This Row],[Breakdown Time]]*Table6[[#This Row],[Plant Equivalent Weightage]],"")</f>
        <v>0.37179487179487175</v>
      </c>
      <c r="X1337" s="262" t="s">
        <v>531</v>
      </c>
      <c r="Y1337" s="263" t="s">
        <v>128</v>
      </c>
      <c r="Z1337" s="102">
        <v>32706</v>
      </c>
      <c r="AA1337" s="257">
        <f>(Table6[[#This Row],[Paired WTG Generation for loss calculation]]/24)*Table6[[#This Row],[Breakdown Time]]</f>
        <v>13173.250000000002</v>
      </c>
      <c r="AB1337" s="102"/>
      <c r="AC1337" s="35"/>
      <c r="AD1337" s="35"/>
    </row>
    <row r="1338" spans="1:30">
      <c r="A1338" s="102">
        <f t="shared" si="21"/>
        <v>1337</v>
      </c>
      <c r="B1338" s="257">
        <f>YEAR(Table6[[#This Row],[Date]])+IF(MONTH(Table6[[#This Row],[Date]])&gt;=4,1,0)</f>
        <v>2026</v>
      </c>
      <c r="C1338" s="102">
        <f>YEAR(Table6[[#This Row],[Date]])</f>
        <v>2025</v>
      </c>
      <c r="D1338" s="102" t="s">
        <v>265</v>
      </c>
      <c r="E1338" s="258">
        <f>Table6[[#This Row],[Date]]-DAY(Table6[[#This Row],[Date]])+1</f>
        <v>45809</v>
      </c>
      <c r="F1338" s="259">
        <v>45835</v>
      </c>
      <c r="G1338" s="35" t="s">
        <v>126</v>
      </c>
      <c r="H1338" s="35" t="str">
        <f>IFERROR(_xlfn.XLOOKUP(Table6[[#This Row],[Affected WTG]],'Basic Data'!$A:$A,'Basic Data'!$B:$B),"")</f>
        <v>TQGXIIPL</v>
      </c>
      <c r="I1338" s="35" t="str">
        <f>IFERROR(_xlfn.XLOOKUP(Table6[[#This Row],[Affected WTG]],'Basic Data'!$A:$A,'Basic Data'!$C:$C),"")</f>
        <v>GEDA</v>
      </c>
      <c r="J1338" s="260">
        <f>IFERROR(_xlfn.XLOOKUP(Table6[[#This Row],[Affected WTG]],'Basic Data'!$A:$A,'Basic Data'!$E:$E),"")</f>
        <v>3.846153846153845E-2</v>
      </c>
      <c r="K1338" s="102">
        <v>55</v>
      </c>
      <c r="L1338" s="35" t="str">
        <f>IFERROR(_xlfn.XLOOKUP(Table6[[#This Row],[Error Code]],'Basic Data'!$AA:$AA,'Basic Data'!$AB:$AB),"Incorrect Error Code")</f>
        <v>WTG shut down</v>
      </c>
      <c r="M1338" s="35" t="s">
        <v>291</v>
      </c>
      <c r="N1338" s="264"/>
      <c r="O1338" s="265">
        <v>0.40277777777777779</v>
      </c>
      <c r="P1338" s="265">
        <v>0.40277777777777779</v>
      </c>
      <c r="Q1338" s="266">
        <v>0.99998842592592596</v>
      </c>
      <c r="R1338" s="261">
        <f>IF(Table6[[#This Row],[Work Start TimeStamp]]="","",(Table6[[#This Row],[Work Start TimeStamp]]-Table6[[#This Row],[Fault Start TimeStamp]])*24)</f>
        <v>0</v>
      </c>
      <c r="S1338" s="261">
        <f>(Table6[[#This Row],[Fault Clearance time]]-Table6[[#This Row],[Work Start TimeStamp]])*24</f>
        <v>14.333055555555557</v>
      </c>
      <c r="T1338" s="261">
        <f>(Table6[[#This Row],[Fault Clearance time]]-Table6[[#This Row],[Fault Start TimeStamp]])*24</f>
        <v>14.333055555555557</v>
      </c>
      <c r="U1338" s="35" t="s">
        <v>561</v>
      </c>
      <c r="V1338" s="102" t="s">
        <v>549</v>
      </c>
      <c r="W1338" s="267">
        <f>IFERROR(Table6[[#This Row],[Breakdown Time]]*Table6[[#This Row],[Plant Equivalent Weightage]],"")</f>
        <v>0.55127136752136741</v>
      </c>
      <c r="X1338" s="262" t="s">
        <v>269</v>
      </c>
      <c r="Y1338" s="263" t="s">
        <v>128</v>
      </c>
      <c r="Z1338" s="102">
        <v>32706</v>
      </c>
      <c r="AA1338" s="257">
        <f>(Table6[[#This Row],[Paired WTG Generation for loss calculation]]/24)*Table6[[#This Row],[Breakdown Time]]</f>
        <v>19532.371458333335</v>
      </c>
      <c r="AB1338" s="102"/>
      <c r="AC1338" s="35"/>
      <c r="AD1338" s="35"/>
    </row>
    <row r="1339" spans="1:30">
      <c r="A1339" s="102">
        <f t="shared" si="21"/>
        <v>1338</v>
      </c>
      <c r="B1339" s="257">
        <f>YEAR(Table6[[#This Row],[Date]])+IF(MONTH(Table6[[#This Row],[Date]])&gt;=4,1,0)</f>
        <v>2026</v>
      </c>
      <c r="C1339" s="102">
        <f>YEAR(Table6[[#This Row],[Date]])</f>
        <v>2025</v>
      </c>
      <c r="D1339" s="102" t="s">
        <v>265</v>
      </c>
      <c r="E1339" s="258">
        <f>Table6[[#This Row],[Date]]-DAY(Table6[[#This Row],[Date]])+1</f>
        <v>45809</v>
      </c>
      <c r="F1339" s="259">
        <v>45835</v>
      </c>
      <c r="G1339" s="35" t="s">
        <v>127</v>
      </c>
      <c r="H1339" s="35" t="str">
        <f>IFERROR(_xlfn.XLOOKUP(Table6[[#This Row],[Affected WTG]],'Basic Data'!$A:$A,'Basic Data'!$B:$B),"")</f>
        <v>TQGXIIPL</v>
      </c>
      <c r="I1339" s="35" t="str">
        <f>IFERROR(_xlfn.XLOOKUP(Table6[[#This Row],[Affected WTG]],'Basic Data'!$A:$A,'Basic Data'!$C:$C),"")</f>
        <v>GEDA</v>
      </c>
      <c r="J1339" s="260">
        <f>IFERROR(_xlfn.XLOOKUP(Table6[[#This Row],[Affected WTG]],'Basic Data'!$A:$A,'Basic Data'!$E:$E),"")</f>
        <v>3.846153846153845E-2</v>
      </c>
      <c r="K1339" s="102">
        <v>55</v>
      </c>
      <c r="L1339" s="35" t="str">
        <f>IFERROR(_xlfn.XLOOKUP(Table6[[#This Row],[Error Code]],'Basic Data'!$AA:$AA,'Basic Data'!$AB:$AB),"Incorrect Error Code")</f>
        <v>WTG shut down</v>
      </c>
      <c r="M1339" s="35" t="s">
        <v>266</v>
      </c>
      <c r="N1339" s="264"/>
      <c r="O1339" s="265">
        <v>0.5854166666666667</v>
      </c>
      <c r="P1339" s="265">
        <v>0.5854166666666667</v>
      </c>
      <c r="Q1339" s="266">
        <v>0.76111111111111107</v>
      </c>
      <c r="R1339" s="261">
        <f>IF(Table6[[#This Row],[Work Start TimeStamp]]="","",(Table6[[#This Row],[Work Start TimeStamp]]-Table6[[#This Row],[Fault Start TimeStamp]])*24)</f>
        <v>0</v>
      </c>
      <c r="S1339" s="261">
        <f>(Table6[[#This Row],[Fault Clearance time]]-Table6[[#This Row],[Work Start TimeStamp]])*24</f>
        <v>4.216666666666665</v>
      </c>
      <c r="T1339" s="261">
        <f>(Table6[[#This Row],[Fault Clearance time]]-Table6[[#This Row],[Fault Start TimeStamp]])*24</f>
        <v>4.216666666666665</v>
      </c>
      <c r="U1339" s="35" t="s">
        <v>562</v>
      </c>
      <c r="V1339" s="102" t="s">
        <v>268</v>
      </c>
      <c r="W1339" s="267">
        <f>IFERROR(Table6[[#This Row],[Breakdown Time]]*Table6[[#This Row],[Plant Equivalent Weightage]],"")</f>
        <v>0.16217948717948708</v>
      </c>
      <c r="X1339" s="262" t="s">
        <v>296</v>
      </c>
      <c r="Y1339" s="263" t="s">
        <v>125</v>
      </c>
      <c r="Z1339" s="102">
        <v>32970</v>
      </c>
      <c r="AA1339" s="257">
        <f>(Table6[[#This Row],[Paired WTG Generation for loss calculation]]/24)*Table6[[#This Row],[Breakdown Time]]</f>
        <v>5792.6458333333312</v>
      </c>
      <c r="AB1339" s="102"/>
      <c r="AC1339" s="35"/>
      <c r="AD1339" s="35"/>
    </row>
    <row r="1340" spans="1:30">
      <c r="A1340" s="102">
        <f t="shared" si="21"/>
        <v>1339</v>
      </c>
      <c r="B1340" s="257">
        <f>YEAR(Table6[[#This Row],[Date]])+IF(MONTH(Table6[[#This Row],[Date]])&gt;=4,1,0)</f>
        <v>2026</v>
      </c>
      <c r="C1340" s="102">
        <f>YEAR(Table6[[#This Row],[Date]])</f>
        <v>2025</v>
      </c>
      <c r="D1340" s="102" t="s">
        <v>265</v>
      </c>
      <c r="E1340" s="258">
        <f>Table6[[#This Row],[Date]]-DAY(Table6[[#This Row],[Date]])+1</f>
        <v>45809</v>
      </c>
      <c r="F1340" s="259">
        <v>45835</v>
      </c>
      <c r="G1340" s="35" t="s">
        <v>127</v>
      </c>
      <c r="H1340" s="35" t="str">
        <f>IFERROR(_xlfn.XLOOKUP(Table6[[#This Row],[Affected WTG]],'Basic Data'!$A:$A,'Basic Data'!$B:$B),"")</f>
        <v>TQGXIIPL</v>
      </c>
      <c r="I1340" s="35" t="str">
        <f>IFERROR(_xlfn.XLOOKUP(Table6[[#This Row],[Affected WTG]],'Basic Data'!$A:$A,'Basic Data'!$C:$C),"")</f>
        <v>GEDA</v>
      </c>
      <c r="J1340" s="260">
        <f>IFERROR(_xlfn.XLOOKUP(Table6[[#This Row],[Affected WTG]],'Basic Data'!$A:$A,'Basic Data'!$E:$E),"")</f>
        <v>3.846153846153845E-2</v>
      </c>
      <c r="K1340" s="102">
        <v>175</v>
      </c>
      <c r="L1340" s="35" t="str">
        <f>IFERROR(_xlfn.XLOOKUP(Table6[[#This Row],[Error Code]],'Basic Data'!$AA:$AA,'Basic Data'!$AB:$AB),"Incorrect Error Code")</f>
        <v>SLC error</v>
      </c>
      <c r="M1340" s="35" t="s">
        <v>266</v>
      </c>
      <c r="N1340" s="264"/>
      <c r="O1340" s="265">
        <v>0.78472222222222221</v>
      </c>
      <c r="P1340" s="265">
        <v>0.78472222222222221</v>
      </c>
      <c r="Q1340" s="266">
        <v>0.78749999999999998</v>
      </c>
      <c r="R1340" s="261">
        <f>IF(Table6[[#This Row],[Work Start TimeStamp]]="","",(Table6[[#This Row],[Work Start TimeStamp]]-Table6[[#This Row],[Fault Start TimeStamp]])*24)</f>
        <v>0</v>
      </c>
      <c r="S1340" s="261">
        <f>(Table6[[#This Row],[Fault Clearance time]]-Table6[[#This Row],[Work Start TimeStamp]])*24</f>
        <v>6.666666666666643E-2</v>
      </c>
      <c r="T1340" s="261">
        <f>(Table6[[#This Row],[Fault Clearance time]]-Table6[[#This Row],[Fault Start TimeStamp]])*24</f>
        <v>6.666666666666643E-2</v>
      </c>
      <c r="U1340" s="35" t="s">
        <v>483</v>
      </c>
      <c r="V1340" s="102" t="s">
        <v>268</v>
      </c>
      <c r="W1340" s="267">
        <f>IFERROR(Table6[[#This Row],[Breakdown Time]]*Table6[[#This Row],[Plant Equivalent Weightage]],"")</f>
        <v>2.5641025641025541E-3</v>
      </c>
      <c r="X1340" s="262" t="s">
        <v>296</v>
      </c>
      <c r="Y1340" s="263" t="s">
        <v>125</v>
      </c>
      <c r="Z1340" s="102">
        <v>32970</v>
      </c>
      <c r="AA1340" s="257">
        <f>(Table6[[#This Row],[Paired WTG Generation for loss calculation]]/24)*Table6[[#This Row],[Breakdown Time]]</f>
        <v>91.583333333333002</v>
      </c>
      <c r="AB1340" s="102"/>
      <c r="AC1340" s="35"/>
      <c r="AD1340" s="35"/>
    </row>
    <row r="1341" spans="1:30">
      <c r="A1341" s="102">
        <f t="shared" si="21"/>
        <v>1340</v>
      </c>
      <c r="B1341" s="257">
        <f>YEAR(Table6[[#This Row],[Date]])+IF(MONTH(Table6[[#This Row],[Date]])&gt;=4,1,0)</f>
        <v>2026</v>
      </c>
      <c r="C1341" s="102">
        <f>YEAR(Table6[[#This Row],[Date]])</f>
        <v>2025</v>
      </c>
      <c r="D1341" s="102" t="s">
        <v>265</v>
      </c>
      <c r="E1341" s="258">
        <f>Table6[[#This Row],[Date]]-DAY(Table6[[#This Row],[Date]])+1</f>
        <v>45809</v>
      </c>
      <c r="F1341" s="259">
        <v>45835</v>
      </c>
      <c r="G1341" s="35" t="s">
        <v>131</v>
      </c>
      <c r="H1341" s="35" t="str">
        <f>IFERROR(_xlfn.XLOOKUP(Table6[[#This Row],[Affected WTG]],'Basic Data'!$A:$A,'Basic Data'!$B:$B),"")</f>
        <v>TQGXIIPL</v>
      </c>
      <c r="I1341" s="35" t="str">
        <f>IFERROR(_xlfn.XLOOKUP(Table6[[#This Row],[Affected WTG]],'Basic Data'!$A:$A,'Basic Data'!$C:$C),"")</f>
        <v>GEDA</v>
      </c>
      <c r="J1341" s="260">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278</v>
      </c>
      <c r="N1341" s="264"/>
      <c r="O1341" s="265">
        <v>0.59375</v>
      </c>
      <c r="P1341" s="265">
        <v>0.59375</v>
      </c>
      <c r="Q1341" s="266">
        <v>0.59861111111111109</v>
      </c>
      <c r="R1341" s="261">
        <f>IF(Table6[[#This Row],[Work Start TimeStamp]]="","",(Table6[[#This Row],[Work Start TimeStamp]]-Table6[[#This Row],[Fault Start TimeStamp]])*24)</f>
        <v>0</v>
      </c>
      <c r="S1341" s="261">
        <f>(Table6[[#This Row],[Fault Clearance time]]-Table6[[#This Row],[Work Start TimeStamp]])*24</f>
        <v>0.11666666666666625</v>
      </c>
      <c r="T1341" s="261">
        <f>(Table6[[#This Row],[Fault Clearance time]]-Table6[[#This Row],[Fault Start TimeStamp]])*24</f>
        <v>0.11666666666666625</v>
      </c>
      <c r="U1341" s="35" t="s">
        <v>277</v>
      </c>
      <c r="V1341" s="102" t="s">
        <v>268</v>
      </c>
      <c r="W1341" s="267">
        <f>IFERROR(Table6[[#This Row],[Breakdown Time]]*Table6[[#This Row],[Plant Equivalent Weightage]],"")</f>
        <v>4.4871794871794695E-3</v>
      </c>
      <c r="X1341" s="262" t="s">
        <v>269</v>
      </c>
      <c r="Y1341" s="263" t="s">
        <v>136</v>
      </c>
      <c r="Z1341" s="102">
        <v>37800</v>
      </c>
      <c r="AA1341" s="257">
        <f>(Table6[[#This Row],[Paired WTG Generation for loss calculation]]/24)*Table6[[#This Row],[Breakdown Time]]</f>
        <v>183.74999999999935</v>
      </c>
      <c r="AB1341" s="102"/>
      <c r="AC1341" s="35"/>
      <c r="AD1341" s="35"/>
    </row>
    <row r="1342" spans="1:30">
      <c r="A1342" s="102">
        <f t="shared" si="21"/>
        <v>1341</v>
      </c>
      <c r="B1342" s="257">
        <f>YEAR(Table6[[#This Row],[Date]])+IF(MONTH(Table6[[#This Row],[Date]])&gt;=4,1,0)</f>
        <v>2026</v>
      </c>
      <c r="C1342" s="102">
        <f>YEAR(Table6[[#This Row],[Date]])</f>
        <v>2025</v>
      </c>
      <c r="D1342" s="102" t="s">
        <v>265</v>
      </c>
      <c r="E1342" s="258">
        <f>Table6[[#This Row],[Date]]-DAY(Table6[[#This Row],[Date]])+1</f>
        <v>45809</v>
      </c>
      <c r="F1342" s="259">
        <v>45835</v>
      </c>
      <c r="G1342" s="35" t="s">
        <v>134</v>
      </c>
      <c r="H1342" s="35" t="str">
        <f>IFERROR(_xlfn.XLOOKUP(Table6[[#This Row],[Affected WTG]],'Basic Data'!$A:$A,'Basic Data'!$B:$B),"")</f>
        <v>TQGXIIPL</v>
      </c>
      <c r="I1342" s="35" t="str">
        <f>IFERROR(_xlfn.XLOOKUP(Table6[[#This Row],[Affected WTG]],'Basic Data'!$A:$A,'Basic Data'!$C:$C),"")</f>
        <v>GEDA</v>
      </c>
      <c r="J1342" s="260">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266</v>
      </c>
      <c r="N1342" s="264"/>
      <c r="O1342" s="265">
        <v>0.24861111111111112</v>
      </c>
      <c r="P1342" s="265">
        <v>0.24861111111111112</v>
      </c>
      <c r="Q1342" s="266">
        <v>0.26041666666666669</v>
      </c>
      <c r="R1342" s="261">
        <f>IF(Table6[[#This Row],[Work Start TimeStamp]]="","",(Table6[[#This Row],[Work Start TimeStamp]]-Table6[[#This Row],[Fault Start TimeStamp]])*24)</f>
        <v>0</v>
      </c>
      <c r="S1342" s="261">
        <f>(Table6[[#This Row],[Fault Clearance time]]-Table6[[#This Row],[Work Start TimeStamp]])*24</f>
        <v>0.28333333333333366</v>
      </c>
      <c r="T1342" s="261">
        <f>(Table6[[#This Row],[Fault Clearance time]]-Table6[[#This Row],[Fault Start TimeStamp]])*24</f>
        <v>0.28333333333333366</v>
      </c>
      <c r="U1342" s="35" t="s">
        <v>483</v>
      </c>
      <c r="V1342" s="102" t="s">
        <v>268</v>
      </c>
      <c r="W1342" s="267">
        <f>IFERROR(Table6[[#This Row],[Breakdown Time]]*Table6[[#This Row],[Plant Equivalent Weightage]],"")</f>
        <v>1.0897435897435907E-2</v>
      </c>
      <c r="X1342" s="262" t="s">
        <v>296</v>
      </c>
      <c r="Y1342" s="263" t="s">
        <v>138</v>
      </c>
      <c r="Z1342" s="102">
        <v>32878</v>
      </c>
      <c r="AA1342" s="257">
        <f>(Table6[[#This Row],[Paired WTG Generation for loss calculation]]/24)*Table6[[#This Row],[Breakdown Time]]</f>
        <v>388.14305555555603</v>
      </c>
      <c r="AB1342" s="102"/>
      <c r="AC1342" s="35"/>
      <c r="AD1342" s="35"/>
    </row>
    <row r="1343" spans="1:30">
      <c r="A1343" s="102">
        <f t="shared" si="21"/>
        <v>1342</v>
      </c>
      <c r="B1343" s="257">
        <f>YEAR(Table6[[#This Row],[Date]])+IF(MONTH(Table6[[#This Row],[Date]])&gt;=4,1,0)</f>
        <v>2026</v>
      </c>
      <c r="C1343" s="102">
        <f>YEAR(Table6[[#This Row],[Date]])</f>
        <v>2025</v>
      </c>
      <c r="D1343" s="102" t="s">
        <v>265</v>
      </c>
      <c r="E1343" s="258">
        <f>Table6[[#This Row],[Date]]-DAY(Table6[[#This Row],[Date]])+1</f>
        <v>45809</v>
      </c>
      <c r="F1343" s="259">
        <v>45835</v>
      </c>
      <c r="G1343" s="35" t="s">
        <v>135</v>
      </c>
      <c r="H1343" s="35" t="str">
        <f>IFERROR(_xlfn.XLOOKUP(Table6[[#This Row],[Affected WTG]],'Basic Data'!$A:$A,'Basic Data'!$B:$B),"")</f>
        <v>TQGXIIPL</v>
      </c>
      <c r="I1343" s="35" t="str">
        <f>IFERROR(_xlfn.XLOOKUP(Table6[[#This Row],[Affected WTG]],'Basic Data'!$A:$A,'Basic Data'!$C:$C),"")</f>
        <v>GEDA</v>
      </c>
      <c r="J1343" s="260">
        <f>IFERROR(_xlfn.XLOOKUP(Table6[[#This Row],[Affected WTG]],'Basic Data'!$A:$A,'Basic Data'!$E:$E),"")</f>
        <v>3.846153846153845E-2</v>
      </c>
      <c r="K1343" s="102">
        <v>4970</v>
      </c>
      <c r="L1343" s="35" t="str">
        <f>IFERROR(_xlfn.XLOOKUP(Table6[[#This Row],[Error Code]],'Basic Data'!$AA:$AA,'Basic Data'!$AB:$AB),"Incorrect Error Code")</f>
        <v>Tower oscillation XF</v>
      </c>
      <c r="M1343" s="35" t="s">
        <v>278</v>
      </c>
      <c r="N1343" s="264"/>
      <c r="O1343" s="265">
        <v>0.26111111111111113</v>
      </c>
      <c r="P1343" s="265">
        <v>0.26111111111111113</v>
      </c>
      <c r="Q1343" s="266">
        <v>0.2673611111111111</v>
      </c>
      <c r="R1343" s="261">
        <f>IF(Table6[[#This Row],[Work Start TimeStamp]]="","",(Table6[[#This Row],[Work Start TimeStamp]]-Table6[[#This Row],[Fault Start TimeStamp]])*24)</f>
        <v>0</v>
      </c>
      <c r="S1343" s="261">
        <f>(Table6[[#This Row],[Fault Clearance time]]-Table6[[#This Row],[Work Start TimeStamp]])*24</f>
        <v>0.14999999999999947</v>
      </c>
      <c r="T1343" s="261">
        <f>(Table6[[#This Row],[Fault Clearance time]]-Table6[[#This Row],[Fault Start TimeStamp]])*24</f>
        <v>0.14999999999999947</v>
      </c>
      <c r="U1343" s="35" t="s">
        <v>277</v>
      </c>
      <c r="V1343" s="102" t="s">
        <v>268</v>
      </c>
      <c r="W1343" s="267">
        <f>IFERROR(Table6[[#This Row],[Breakdown Time]]*Table6[[#This Row],[Plant Equivalent Weightage]],"")</f>
        <v>5.769230769230747E-3</v>
      </c>
      <c r="X1343" s="262" t="s">
        <v>269</v>
      </c>
      <c r="Y1343" s="263" t="s">
        <v>120</v>
      </c>
      <c r="Z1343" s="102">
        <v>35928</v>
      </c>
      <c r="AA1343" s="257">
        <f>(Table6[[#This Row],[Paired WTG Generation for loss calculation]]/24)*Table6[[#This Row],[Breakdown Time]]</f>
        <v>224.54999999999922</v>
      </c>
      <c r="AB1343" s="102"/>
      <c r="AC1343" s="35"/>
      <c r="AD1343" s="35"/>
    </row>
    <row r="1344" spans="1:30">
      <c r="A1344" s="102">
        <f t="shared" si="21"/>
        <v>1343</v>
      </c>
      <c r="B1344" s="257">
        <f>YEAR(Table6[[#This Row],[Date]])+IF(MONTH(Table6[[#This Row],[Date]])&gt;=4,1,0)</f>
        <v>2026</v>
      </c>
      <c r="C1344" s="102">
        <f>YEAR(Table6[[#This Row],[Date]])</f>
        <v>2025</v>
      </c>
      <c r="D1344" s="102" t="s">
        <v>265</v>
      </c>
      <c r="E1344" s="258">
        <f>Table6[[#This Row],[Date]]-DAY(Table6[[#This Row],[Date]])+1</f>
        <v>45809</v>
      </c>
      <c r="F1344" s="259">
        <v>45835</v>
      </c>
      <c r="G1344" s="35" t="s">
        <v>137</v>
      </c>
      <c r="H1344" s="35" t="str">
        <f>IFERROR(_xlfn.XLOOKUP(Table6[[#This Row],[Affected WTG]],'Basic Data'!$A:$A,'Basic Data'!$B:$B),"")</f>
        <v>TQGXIIPL</v>
      </c>
      <c r="I1344" s="35" t="str">
        <f>IFERROR(_xlfn.XLOOKUP(Table6[[#This Row],[Affected WTG]],'Basic Data'!$A:$A,'Basic Data'!$C:$C),"")</f>
        <v>GEDA</v>
      </c>
      <c r="J1344" s="260">
        <f>IFERROR(_xlfn.XLOOKUP(Table6[[#This Row],[Affected WTG]],'Basic Data'!$A:$A,'Basic Data'!$E:$E),"")</f>
        <v>3.846153846153845E-2</v>
      </c>
      <c r="K1344" s="102">
        <v>4970</v>
      </c>
      <c r="L1344" s="35" t="str">
        <f>IFERROR(_xlfn.XLOOKUP(Table6[[#This Row],[Error Code]],'Basic Data'!$AA:$AA,'Basic Data'!$AB:$AB),"Incorrect Error Code")</f>
        <v>Tower oscillation XF</v>
      </c>
      <c r="M1344" s="35" t="s">
        <v>278</v>
      </c>
      <c r="N1344" s="264"/>
      <c r="O1344" s="265">
        <v>0.62847222222222221</v>
      </c>
      <c r="P1344" s="265">
        <v>0.62847222222222221</v>
      </c>
      <c r="Q1344" s="266">
        <v>0.63958333333333328</v>
      </c>
      <c r="R1344" s="261">
        <f>IF(Table6[[#This Row],[Work Start TimeStamp]]="","",(Table6[[#This Row],[Work Start TimeStamp]]-Table6[[#This Row],[Fault Start TimeStamp]])*24)</f>
        <v>0</v>
      </c>
      <c r="S1344" s="261">
        <f>(Table6[[#This Row],[Fault Clearance time]]-Table6[[#This Row],[Work Start TimeStamp]])*24</f>
        <v>0.26666666666666572</v>
      </c>
      <c r="T1344" s="261">
        <f>(Table6[[#This Row],[Fault Clearance time]]-Table6[[#This Row],[Fault Start TimeStamp]])*24</f>
        <v>0.26666666666666572</v>
      </c>
      <c r="U1344" s="35" t="s">
        <v>277</v>
      </c>
      <c r="V1344" s="102" t="s">
        <v>268</v>
      </c>
      <c r="W1344" s="267">
        <f>IFERROR(Table6[[#This Row],[Breakdown Time]]*Table6[[#This Row],[Plant Equivalent Weightage]],"")</f>
        <v>1.0256410256410217E-2</v>
      </c>
      <c r="X1344" s="262" t="s">
        <v>269</v>
      </c>
      <c r="Y1344" s="263" t="s">
        <v>125</v>
      </c>
      <c r="Z1344" s="102">
        <v>32970</v>
      </c>
      <c r="AA1344" s="257">
        <f>(Table6[[#This Row],[Paired WTG Generation for loss calculation]]/24)*Table6[[#This Row],[Breakdown Time]]</f>
        <v>366.33333333333201</v>
      </c>
      <c r="AB1344" s="102"/>
      <c r="AC1344" s="35"/>
      <c r="AD1344" s="35"/>
    </row>
    <row r="1345" spans="1:30">
      <c r="A1345" s="102">
        <f t="shared" si="21"/>
        <v>1344</v>
      </c>
      <c r="B1345" s="257">
        <f>YEAR(Table6[[#This Row],[Date]])+IF(MONTH(Table6[[#This Row],[Date]])&gt;=4,1,0)</f>
        <v>2026</v>
      </c>
      <c r="C1345" s="102">
        <f>YEAR(Table6[[#This Row],[Date]])</f>
        <v>2025</v>
      </c>
      <c r="D1345" s="102" t="s">
        <v>265</v>
      </c>
      <c r="E1345" s="258">
        <f>Table6[[#This Row],[Date]]-DAY(Table6[[#This Row],[Date]])+1</f>
        <v>45809</v>
      </c>
      <c r="F1345" s="259">
        <v>45836</v>
      </c>
      <c r="G1345" s="35" t="s">
        <v>116</v>
      </c>
      <c r="H1345" s="35" t="str">
        <f>IFERROR(_xlfn.XLOOKUP(Table6[[#This Row],[Affected WTG]],'Basic Data'!$A:$A,'Basic Data'!$B:$B),"")</f>
        <v>TQGXIIPL</v>
      </c>
      <c r="I1345" s="35" t="str">
        <f>IFERROR(_xlfn.XLOOKUP(Table6[[#This Row],[Affected WTG]],'Basic Data'!$A:$A,'Basic Data'!$C:$C),"")</f>
        <v>GEDA</v>
      </c>
      <c r="J1345" s="260">
        <f>IFERROR(_xlfn.XLOOKUP(Table6[[#This Row],[Affected WTG]],'Basic Data'!$A:$A,'Basic Data'!$E:$E),"")</f>
        <v>3.846153846153845E-2</v>
      </c>
      <c r="K1345" s="102">
        <v>3211</v>
      </c>
      <c r="L1345" s="35" t="str">
        <f>IFERROR(_xlfn.XLOOKUP(Table6[[#This Row],[Error Code]],'Basic Data'!$AA:$AA,'Basic Data'!$AB:$AB),"Incorrect Error Code")</f>
        <v>Conv. load shedding (CAN)</v>
      </c>
      <c r="M1345" s="35" t="s">
        <v>266</v>
      </c>
      <c r="N1345" s="264"/>
      <c r="O1345" s="265">
        <v>0.34513888888888888</v>
      </c>
      <c r="P1345" s="265">
        <v>0.34513888888888888</v>
      </c>
      <c r="Q1345" s="266">
        <v>0.34652777777777777</v>
      </c>
      <c r="R1345" s="261">
        <f>IF(Table6[[#This Row],[Work Start TimeStamp]]="","",(Table6[[#This Row],[Work Start TimeStamp]]-Table6[[#This Row],[Fault Start TimeStamp]])*24)</f>
        <v>0</v>
      </c>
      <c r="S1345" s="261">
        <f>(Table6[[#This Row],[Fault Clearance time]]-Table6[[#This Row],[Work Start TimeStamp]])*24</f>
        <v>3.3333333333333215E-2</v>
      </c>
      <c r="T1345" s="261">
        <f>(Table6[[#This Row],[Fault Clearance time]]-Table6[[#This Row],[Fault Start TimeStamp]])*24</f>
        <v>3.3333333333333215E-2</v>
      </c>
      <c r="U1345" s="35" t="s">
        <v>483</v>
      </c>
      <c r="V1345" s="102" t="s">
        <v>268</v>
      </c>
      <c r="W1345" s="267">
        <f>IFERROR(Table6[[#This Row],[Breakdown Time]]*Table6[[#This Row],[Plant Equivalent Weightage]],"")</f>
        <v>1.2820512820512771E-3</v>
      </c>
      <c r="X1345" s="262" t="s">
        <v>296</v>
      </c>
      <c r="Y1345" s="263" t="s">
        <v>119</v>
      </c>
      <c r="Z1345" s="102">
        <v>54703</v>
      </c>
      <c r="AA1345" s="257">
        <f>(Table6[[#This Row],[Paired WTG Generation for loss calculation]]/24)*Table6[[#This Row],[Breakdown Time]]</f>
        <v>75.976388888888607</v>
      </c>
      <c r="AB1345" s="102"/>
      <c r="AC1345" s="35"/>
      <c r="AD1345" s="35"/>
    </row>
    <row r="1346" spans="1:30">
      <c r="A1346" s="102">
        <f t="shared" si="21"/>
        <v>1345</v>
      </c>
      <c r="B1346" s="257">
        <f>YEAR(Table6[[#This Row],[Date]])+IF(MONTH(Table6[[#This Row],[Date]])&gt;=4,1,0)</f>
        <v>2026</v>
      </c>
      <c r="C1346" s="102">
        <f>YEAR(Table6[[#This Row],[Date]])</f>
        <v>2025</v>
      </c>
      <c r="D1346" s="102" t="s">
        <v>265</v>
      </c>
      <c r="E1346" s="258">
        <f>Table6[[#This Row],[Date]]-DAY(Table6[[#This Row],[Date]])+1</f>
        <v>45809</v>
      </c>
      <c r="F1346" s="259">
        <v>45836</v>
      </c>
      <c r="G1346" s="35" t="s">
        <v>116</v>
      </c>
      <c r="H1346" s="35" t="str">
        <f>IFERROR(_xlfn.XLOOKUP(Table6[[#This Row],[Affected WTG]],'Basic Data'!$A:$A,'Basic Data'!$B:$B),"")</f>
        <v>TQGXIIPL</v>
      </c>
      <c r="I1346" s="35" t="str">
        <f>IFERROR(_xlfn.XLOOKUP(Table6[[#This Row],[Affected WTG]],'Basic Data'!$A:$A,'Basic Data'!$C:$C),"")</f>
        <v>GEDA</v>
      </c>
      <c r="J1346" s="260">
        <f>IFERROR(_xlfn.XLOOKUP(Table6[[#This Row],[Affected WTG]],'Basic Data'!$A:$A,'Basic Data'!$E:$E),"")</f>
        <v>3.846153846153845E-2</v>
      </c>
      <c r="K1346" s="102">
        <v>4970</v>
      </c>
      <c r="L1346" s="35" t="str">
        <f>IFERROR(_xlfn.XLOOKUP(Table6[[#This Row],[Error Code]],'Basic Data'!$AA:$AA,'Basic Data'!$AB:$AB),"Incorrect Error Code")</f>
        <v>Tower oscillation XF</v>
      </c>
      <c r="M1346" s="35" t="s">
        <v>278</v>
      </c>
      <c r="N1346" s="264"/>
      <c r="O1346" s="265">
        <v>0.58819444444444446</v>
      </c>
      <c r="P1346" s="265">
        <v>0.58819444444444446</v>
      </c>
      <c r="Q1346" s="266">
        <v>0.59305555555555556</v>
      </c>
      <c r="R1346" s="261">
        <f>IF(Table6[[#This Row],[Work Start TimeStamp]]="","",(Table6[[#This Row],[Work Start TimeStamp]]-Table6[[#This Row],[Fault Start TimeStamp]])*24)</f>
        <v>0</v>
      </c>
      <c r="S1346" s="261">
        <f>(Table6[[#This Row],[Fault Clearance time]]-Table6[[#This Row],[Work Start TimeStamp]])*24</f>
        <v>0.11666666666666625</v>
      </c>
      <c r="T1346" s="261">
        <f>(Table6[[#This Row],[Fault Clearance time]]-Table6[[#This Row],[Fault Start TimeStamp]])*24</f>
        <v>0.11666666666666625</v>
      </c>
      <c r="U1346" s="35" t="s">
        <v>277</v>
      </c>
      <c r="V1346" s="102" t="s">
        <v>268</v>
      </c>
      <c r="W1346" s="267">
        <f>IFERROR(Table6[[#This Row],[Breakdown Time]]*Table6[[#This Row],[Plant Equivalent Weightage]],"")</f>
        <v>4.4871794871794695E-3</v>
      </c>
      <c r="X1346" s="262" t="s">
        <v>269</v>
      </c>
      <c r="Y1346" s="263" t="s">
        <v>119</v>
      </c>
      <c r="Z1346" s="102">
        <v>54703</v>
      </c>
      <c r="AA1346" s="257">
        <f>(Table6[[#This Row],[Paired WTG Generation for loss calculation]]/24)*Table6[[#This Row],[Breakdown Time]]</f>
        <v>265.91736111111015</v>
      </c>
      <c r="AB1346" s="102"/>
      <c r="AC1346" s="35"/>
      <c r="AD1346" s="35"/>
    </row>
    <row r="1347" spans="1:30">
      <c r="A1347" s="102">
        <f t="shared" si="21"/>
        <v>1346</v>
      </c>
      <c r="B1347" s="257">
        <f>YEAR(Table6[[#This Row],[Date]])+IF(MONTH(Table6[[#This Row],[Date]])&gt;=4,1,0)</f>
        <v>2026</v>
      </c>
      <c r="C1347" s="102">
        <f>YEAR(Table6[[#This Row],[Date]])</f>
        <v>2025</v>
      </c>
      <c r="D1347" s="102" t="s">
        <v>265</v>
      </c>
      <c r="E1347" s="258">
        <f>Table6[[#This Row],[Date]]-DAY(Table6[[#This Row],[Date]])+1</f>
        <v>45809</v>
      </c>
      <c r="F1347" s="259">
        <v>45836</v>
      </c>
      <c r="G1347" s="35" t="s">
        <v>122</v>
      </c>
      <c r="H1347" s="35" t="str">
        <f>IFERROR(_xlfn.XLOOKUP(Table6[[#This Row],[Affected WTG]],'Basic Data'!$A:$A,'Basic Data'!$B:$B),"")</f>
        <v>TQGXIIPL</v>
      </c>
      <c r="I1347" s="35" t="str">
        <f>IFERROR(_xlfn.XLOOKUP(Table6[[#This Row],[Affected WTG]],'Basic Data'!$A:$A,'Basic Data'!$C:$C),"")</f>
        <v>GEDA</v>
      </c>
      <c r="J1347" s="260">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266</v>
      </c>
      <c r="N1347" s="264"/>
      <c r="O1347" s="265">
        <v>0.32291666666666669</v>
      </c>
      <c r="P1347" s="265">
        <v>0.32291666666666669</v>
      </c>
      <c r="Q1347" s="266">
        <v>0.32500000000000001</v>
      </c>
      <c r="R1347" s="261">
        <f>IF(Table6[[#This Row],[Work Start TimeStamp]]="","",(Table6[[#This Row],[Work Start TimeStamp]]-Table6[[#This Row],[Fault Start TimeStamp]])*24)</f>
        <v>0</v>
      </c>
      <c r="S1347" s="261">
        <f>(Table6[[#This Row],[Fault Clearance time]]-Table6[[#This Row],[Work Start TimeStamp]])*24</f>
        <v>4.9999999999999822E-2</v>
      </c>
      <c r="T1347" s="261">
        <f>(Table6[[#This Row],[Fault Clearance time]]-Table6[[#This Row],[Fault Start TimeStamp]])*24</f>
        <v>4.9999999999999822E-2</v>
      </c>
      <c r="U1347" s="35" t="s">
        <v>483</v>
      </c>
      <c r="V1347" s="102" t="s">
        <v>268</v>
      </c>
      <c r="W1347" s="267">
        <f>IFERROR(Table6[[#This Row],[Breakdown Time]]*Table6[[#This Row],[Plant Equivalent Weightage]],"")</f>
        <v>1.9230769230769156E-3</v>
      </c>
      <c r="X1347" s="262" t="s">
        <v>296</v>
      </c>
      <c r="Y1347" s="263" t="s">
        <v>140</v>
      </c>
      <c r="Z1347" s="102">
        <v>55344</v>
      </c>
      <c r="AA1347" s="257">
        <f>(Table6[[#This Row],[Paired WTG Generation for loss calculation]]/24)*Table6[[#This Row],[Breakdown Time]]</f>
        <v>115.29999999999959</v>
      </c>
      <c r="AB1347" s="102"/>
      <c r="AC1347" s="35"/>
      <c r="AD1347" s="35"/>
    </row>
    <row r="1348" spans="1:30">
      <c r="A1348" s="102">
        <f t="shared" si="21"/>
        <v>1347</v>
      </c>
      <c r="B1348" s="257">
        <f>YEAR(Table6[[#This Row],[Date]])+IF(MONTH(Table6[[#This Row],[Date]])&gt;=4,1,0)</f>
        <v>2026</v>
      </c>
      <c r="C1348" s="102">
        <f>YEAR(Table6[[#This Row],[Date]])</f>
        <v>2025</v>
      </c>
      <c r="D1348" s="102" t="s">
        <v>265</v>
      </c>
      <c r="E1348" s="258">
        <f>Table6[[#This Row],[Date]]-DAY(Table6[[#This Row],[Date]])+1</f>
        <v>45809</v>
      </c>
      <c r="F1348" s="259">
        <v>45836</v>
      </c>
      <c r="G1348" s="35" t="s">
        <v>122</v>
      </c>
      <c r="H1348" s="35" t="str">
        <f>IFERROR(_xlfn.XLOOKUP(Table6[[#This Row],[Affected WTG]],'Basic Data'!$A:$A,'Basic Data'!$B:$B),"")</f>
        <v>TQGXIIPL</v>
      </c>
      <c r="I1348" s="35" t="str">
        <f>IFERROR(_xlfn.XLOOKUP(Table6[[#This Row],[Affected WTG]],'Basic Data'!$A:$A,'Basic Data'!$C:$C),"")</f>
        <v>GEDA</v>
      </c>
      <c r="J1348" s="260">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266</v>
      </c>
      <c r="N1348" s="264"/>
      <c r="O1348" s="265">
        <v>0.34236111111111112</v>
      </c>
      <c r="P1348" s="265">
        <v>0.34236111111111112</v>
      </c>
      <c r="Q1348" s="266">
        <v>0.34652777777777777</v>
      </c>
      <c r="R1348" s="261">
        <f>IF(Table6[[#This Row],[Work Start TimeStamp]]="","",(Table6[[#This Row],[Work Start TimeStamp]]-Table6[[#This Row],[Fault Start TimeStamp]])*24)</f>
        <v>0</v>
      </c>
      <c r="S1348" s="261">
        <f>(Table6[[#This Row],[Fault Clearance time]]-Table6[[#This Row],[Work Start TimeStamp]])*24</f>
        <v>9.9999999999999645E-2</v>
      </c>
      <c r="T1348" s="261">
        <f>(Table6[[#This Row],[Fault Clearance time]]-Table6[[#This Row],[Fault Start TimeStamp]])*24</f>
        <v>9.9999999999999645E-2</v>
      </c>
      <c r="U1348" s="35" t="s">
        <v>483</v>
      </c>
      <c r="V1348" s="102" t="s">
        <v>268</v>
      </c>
      <c r="W1348" s="267">
        <f>IFERROR(Table6[[#This Row],[Breakdown Time]]*Table6[[#This Row],[Plant Equivalent Weightage]],"")</f>
        <v>3.8461538461538312E-3</v>
      </c>
      <c r="X1348" s="262" t="s">
        <v>296</v>
      </c>
      <c r="Y1348" s="263" t="s">
        <v>140</v>
      </c>
      <c r="Z1348" s="102">
        <v>55344</v>
      </c>
      <c r="AA1348" s="257">
        <f>(Table6[[#This Row],[Paired WTG Generation for loss calculation]]/24)*Table6[[#This Row],[Breakdown Time]]</f>
        <v>230.59999999999917</v>
      </c>
      <c r="AB1348" s="102"/>
      <c r="AC1348" s="35"/>
      <c r="AD1348" s="35"/>
    </row>
    <row r="1349" spans="1:30">
      <c r="A1349" s="102">
        <f t="shared" si="21"/>
        <v>1348</v>
      </c>
      <c r="B1349" s="257">
        <f>YEAR(Table6[[#This Row],[Date]])+IF(MONTH(Table6[[#This Row],[Date]])&gt;=4,1,0)</f>
        <v>2026</v>
      </c>
      <c r="C1349" s="102">
        <f>YEAR(Table6[[#This Row],[Date]])</f>
        <v>2025</v>
      </c>
      <c r="D1349" s="102" t="s">
        <v>265</v>
      </c>
      <c r="E1349" s="258">
        <f>Table6[[#This Row],[Date]]-DAY(Table6[[#This Row],[Date]])+1</f>
        <v>45809</v>
      </c>
      <c r="F1349" s="259">
        <v>45836</v>
      </c>
      <c r="G1349" s="35" t="s">
        <v>122</v>
      </c>
      <c r="H1349" s="35" t="str">
        <f>IFERROR(_xlfn.XLOOKUP(Table6[[#This Row],[Affected WTG]],'Basic Data'!$A:$A,'Basic Data'!$B:$B),"")</f>
        <v>TQGXIIPL</v>
      </c>
      <c r="I1349" s="35" t="str">
        <f>IFERROR(_xlfn.XLOOKUP(Table6[[#This Row],[Affected WTG]],'Basic Data'!$A:$A,'Basic Data'!$C:$C),"")</f>
        <v>GEDA</v>
      </c>
      <c r="J1349" s="260">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266</v>
      </c>
      <c r="N1349" s="264"/>
      <c r="O1349" s="265">
        <v>0.37222222222222223</v>
      </c>
      <c r="P1349" s="265">
        <v>0.37222222222222223</v>
      </c>
      <c r="Q1349" s="266">
        <v>0.3888888888888889</v>
      </c>
      <c r="R1349" s="261">
        <f>IF(Table6[[#This Row],[Work Start TimeStamp]]="","",(Table6[[#This Row],[Work Start TimeStamp]]-Table6[[#This Row],[Fault Start TimeStamp]])*24)</f>
        <v>0</v>
      </c>
      <c r="S1349" s="261">
        <f>(Table6[[#This Row],[Fault Clearance time]]-Table6[[#This Row],[Work Start TimeStamp]])*24</f>
        <v>0.39999999999999991</v>
      </c>
      <c r="T1349" s="261">
        <f>(Table6[[#This Row],[Fault Clearance time]]-Table6[[#This Row],[Fault Start TimeStamp]])*24</f>
        <v>0.39999999999999991</v>
      </c>
      <c r="U1349" s="35" t="s">
        <v>483</v>
      </c>
      <c r="V1349" s="102" t="s">
        <v>268</v>
      </c>
      <c r="W1349" s="267">
        <f>IFERROR(Table6[[#This Row],[Breakdown Time]]*Table6[[#This Row],[Plant Equivalent Weightage]],"")</f>
        <v>1.5384615384615377E-2</v>
      </c>
      <c r="X1349" s="262" t="s">
        <v>296</v>
      </c>
      <c r="Y1349" s="263" t="s">
        <v>140</v>
      </c>
      <c r="Z1349" s="102">
        <v>55344</v>
      </c>
      <c r="AA1349" s="257">
        <f>(Table6[[#This Row],[Paired WTG Generation for loss calculation]]/24)*Table6[[#This Row],[Breakdown Time]]</f>
        <v>922.39999999999975</v>
      </c>
      <c r="AB1349" s="102"/>
      <c r="AC1349" s="35"/>
      <c r="AD1349" s="35"/>
    </row>
    <row r="1350" spans="1:30">
      <c r="A1350" s="102">
        <f t="shared" si="21"/>
        <v>1349</v>
      </c>
      <c r="B1350" s="257">
        <f>YEAR(Table6[[#This Row],[Date]])+IF(MONTH(Table6[[#This Row],[Date]])&gt;=4,1,0)</f>
        <v>2026</v>
      </c>
      <c r="C1350" s="102">
        <f>YEAR(Table6[[#This Row],[Date]])</f>
        <v>2025</v>
      </c>
      <c r="D1350" s="102" t="s">
        <v>265</v>
      </c>
      <c r="E1350" s="258">
        <f>Table6[[#This Row],[Date]]-DAY(Table6[[#This Row],[Date]])+1</f>
        <v>45809</v>
      </c>
      <c r="F1350" s="259">
        <v>45836</v>
      </c>
      <c r="G1350" s="35" t="s">
        <v>122</v>
      </c>
      <c r="H1350" s="35" t="str">
        <f>IFERROR(_xlfn.XLOOKUP(Table6[[#This Row],[Affected WTG]],'Basic Data'!$A:$A,'Basic Data'!$B:$B),"")</f>
        <v>TQGXIIPL</v>
      </c>
      <c r="I1350" s="35" t="str">
        <f>IFERROR(_xlfn.XLOOKUP(Table6[[#This Row],[Affected WTG]],'Basic Data'!$A:$A,'Basic Data'!$C:$C),"")</f>
        <v>GEDA</v>
      </c>
      <c r="J1350" s="260">
        <f>IFERROR(_xlfn.XLOOKUP(Table6[[#This Row],[Affected WTG]],'Basic Data'!$A:$A,'Basic Data'!$E:$E),"")</f>
        <v>3.846153846153845E-2</v>
      </c>
      <c r="K1350" s="102">
        <v>665</v>
      </c>
      <c r="L1350" s="35" t="str">
        <f>IFERROR(_xlfn.XLOOKUP(Table6[[#This Row],[Error Code]],'Basic Data'!$AA:$AA,'Basic Data'!$AB:$AB),"Incorrect Error Code")</f>
        <v>Pitch error</v>
      </c>
      <c r="M1350" s="35" t="s">
        <v>266</v>
      </c>
      <c r="N1350" s="264"/>
      <c r="O1350" s="265">
        <v>0.40069444444444446</v>
      </c>
      <c r="P1350" s="265">
        <v>0.45555555555555555</v>
      </c>
      <c r="Q1350" s="266">
        <v>0.55347222222222225</v>
      </c>
      <c r="R1350" s="261">
        <f>IF(Table6[[#This Row],[Work Start TimeStamp]]="","",(Table6[[#This Row],[Work Start TimeStamp]]-Table6[[#This Row],[Fault Start TimeStamp]])*24)</f>
        <v>1.316666666666666</v>
      </c>
      <c r="S1350" s="261">
        <f>(Table6[[#This Row],[Fault Clearance time]]-Table6[[#This Row],[Work Start TimeStamp]])*24</f>
        <v>2.350000000000001</v>
      </c>
      <c r="T1350" s="261">
        <f>(Table6[[#This Row],[Fault Clearance time]]-Table6[[#This Row],[Fault Start TimeStamp]])*24</f>
        <v>3.666666666666667</v>
      </c>
      <c r="U1350" s="35" t="s">
        <v>563</v>
      </c>
      <c r="V1350" s="102" t="s">
        <v>268</v>
      </c>
      <c r="W1350" s="267">
        <f>IFERROR(Table6[[#This Row],[Breakdown Time]]*Table6[[#This Row],[Plant Equivalent Weightage]],"")</f>
        <v>0.141025641025641</v>
      </c>
      <c r="X1350" s="262" t="s">
        <v>296</v>
      </c>
      <c r="Y1350" s="263" t="s">
        <v>140</v>
      </c>
      <c r="Z1350" s="102">
        <v>55344</v>
      </c>
      <c r="AA1350" s="257">
        <f>(Table6[[#This Row],[Paired WTG Generation for loss calculation]]/24)*Table6[[#This Row],[Breakdown Time]]</f>
        <v>8455.3333333333339</v>
      </c>
      <c r="AB1350" s="102"/>
      <c r="AC1350" s="35"/>
      <c r="AD1350" s="35"/>
    </row>
    <row r="1351" spans="1:30">
      <c r="A1351" s="102">
        <f t="shared" si="21"/>
        <v>1350</v>
      </c>
      <c r="B1351" s="257">
        <f>YEAR(Table6[[#This Row],[Date]])+IF(MONTH(Table6[[#This Row],[Date]])&gt;=4,1,0)</f>
        <v>2026</v>
      </c>
      <c r="C1351" s="102">
        <f>YEAR(Table6[[#This Row],[Date]])</f>
        <v>2025</v>
      </c>
      <c r="D1351" s="102" t="s">
        <v>265</v>
      </c>
      <c r="E1351" s="258">
        <f>Table6[[#This Row],[Date]]-DAY(Table6[[#This Row],[Date]])+1</f>
        <v>45809</v>
      </c>
      <c r="F1351" s="259">
        <v>45836</v>
      </c>
      <c r="G1351" s="35" t="s">
        <v>122</v>
      </c>
      <c r="H1351" s="35" t="str">
        <f>IFERROR(_xlfn.XLOOKUP(Table6[[#This Row],[Affected WTG]],'Basic Data'!$A:$A,'Basic Data'!$B:$B),"")</f>
        <v>TQGXIIPL</v>
      </c>
      <c r="I1351" s="35" t="str">
        <f>IFERROR(_xlfn.XLOOKUP(Table6[[#This Row],[Affected WTG]],'Basic Data'!$A:$A,'Basic Data'!$C:$C),"")</f>
        <v>GEDA</v>
      </c>
      <c r="J1351" s="260">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266</v>
      </c>
      <c r="N1351" s="264"/>
      <c r="O1351" s="265">
        <v>0.83194444444444449</v>
      </c>
      <c r="P1351" s="265">
        <v>0.83194444444444449</v>
      </c>
      <c r="Q1351" s="266">
        <v>0.8354166666666667</v>
      </c>
      <c r="R1351" s="261">
        <f>IF(Table6[[#This Row],[Work Start TimeStamp]]="","",(Table6[[#This Row],[Work Start TimeStamp]]-Table6[[#This Row],[Fault Start TimeStamp]])*24)</f>
        <v>0</v>
      </c>
      <c r="S1351" s="261">
        <f>(Table6[[#This Row],[Fault Clearance time]]-Table6[[#This Row],[Work Start TimeStamp]])*24</f>
        <v>8.3333333333333037E-2</v>
      </c>
      <c r="T1351" s="261">
        <f>(Table6[[#This Row],[Fault Clearance time]]-Table6[[#This Row],[Fault Start TimeStamp]])*24</f>
        <v>8.3333333333333037E-2</v>
      </c>
      <c r="U1351" s="35" t="s">
        <v>483</v>
      </c>
      <c r="V1351" s="102" t="s">
        <v>268</v>
      </c>
      <c r="W1351" s="267">
        <f>IFERROR(Table6[[#This Row],[Breakdown Time]]*Table6[[#This Row],[Plant Equivalent Weightage]],"")</f>
        <v>3.2051282051281929E-3</v>
      </c>
      <c r="X1351" s="262" t="s">
        <v>296</v>
      </c>
      <c r="Y1351" s="263" t="s">
        <v>140</v>
      </c>
      <c r="Z1351" s="102">
        <v>55344</v>
      </c>
      <c r="AA1351" s="257">
        <f>(Table6[[#This Row],[Paired WTG Generation for loss calculation]]/24)*Table6[[#This Row],[Breakdown Time]]</f>
        <v>192.16666666666598</v>
      </c>
      <c r="AB1351" s="102"/>
      <c r="AC1351" s="35"/>
      <c r="AD1351" s="35"/>
    </row>
    <row r="1352" spans="1:30">
      <c r="A1352" s="102">
        <f t="shared" si="21"/>
        <v>1351</v>
      </c>
      <c r="B1352" s="257">
        <f>YEAR(Table6[[#This Row],[Date]])+IF(MONTH(Table6[[#This Row],[Date]])&gt;=4,1,0)</f>
        <v>2026</v>
      </c>
      <c r="C1352" s="102">
        <f>YEAR(Table6[[#This Row],[Date]])</f>
        <v>2025</v>
      </c>
      <c r="D1352" s="102" t="s">
        <v>265</v>
      </c>
      <c r="E1352" s="258">
        <f>Table6[[#This Row],[Date]]-DAY(Table6[[#This Row],[Date]])+1</f>
        <v>45809</v>
      </c>
      <c r="F1352" s="259">
        <v>45836</v>
      </c>
      <c r="G1352" s="35" t="s">
        <v>122</v>
      </c>
      <c r="H1352" s="35" t="str">
        <f>IFERROR(_xlfn.XLOOKUP(Table6[[#This Row],[Affected WTG]],'Basic Data'!$A:$A,'Basic Data'!$B:$B),"")</f>
        <v>TQGXIIPL</v>
      </c>
      <c r="I1352" s="35" t="str">
        <f>IFERROR(_xlfn.XLOOKUP(Table6[[#This Row],[Affected WTG]],'Basic Data'!$A:$A,'Basic Data'!$C:$C),"")</f>
        <v>GEDA</v>
      </c>
      <c r="J1352" s="260">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266</v>
      </c>
      <c r="N1352" s="264"/>
      <c r="O1352" s="265">
        <v>0.85763888888888884</v>
      </c>
      <c r="P1352" s="265">
        <v>0.85763888888888884</v>
      </c>
      <c r="Q1352" s="266">
        <v>0.85833333333333328</v>
      </c>
      <c r="R1352" s="261">
        <f>IF(Table6[[#This Row],[Work Start TimeStamp]]="","",(Table6[[#This Row],[Work Start TimeStamp]]-Table6[[#This Row],[Fault Start TimeStamp]])*24)</f>
        <v>0</v>
      </c>
      <c r="S1352" s="261">
        <f>(Table6[[#This Row],[Fault Clearance time]]-Table6[[#This Row],[Work Start TimeStamp]])*24</f>
        <v>1.6666666666666607E-2</v>
      </c>
      <c r="T1352" s="261">
        <f>(Table6[[#This Row],[Fault Clearance time]]-Table6[[#This Row],[Fault Start TimeStamp]])*24</f>
        <v>1.6666666666666607E-2</v>
      </c>
      <c r="U1352" s="35" t="s">
        <v>483</v>
      </c>
      <c r="V1352" s="102" t="s">
        <v>268</v>
      </c>
      <c r="W1352" s="267">
        <f>IFERROR(Table6[[#This Row],[Breakdown Time]]*Table6[[#This Row],[Plant Equivalent Weightage]],"")</f>
        <v>6.4102564102563853E-4</v>
      </c>
      <c r="X1352" s="262" t="s">
        <v>296</v>
      </c>
      <c r="Y1352" s="263" t="s">
        <v>140</v>
      </c>
      <c r="Z1352" s="102">
        <v>55344</v>
      </c>
      <c r="AA1352" s="257">
        <f>(Table6[[#This Row],[Paired WTG Generation for loss calculation]]/24)*Table6[[#This Row],[Breakdown Time]]</f>
        <v>38.433333333333195</v>
      </c>
      <c r="AB1352" s="102"/>
      <c r="AC1352" s="35"/>
      <c r="AD1352" s="35"/>
    </row>
    <row r="1353" spans="1:30">
      <c r="A1353" s="102">
        <f t="shared" si="21"/>
        <v>1352</v>
      </c>
      <c r="B1353" s="257">
        <f>YEAR(Table6[[#This Row],[Date]])+IF(MONTH(Table6[[#This Row],[Date]])&gt;=4,1,0)</f>
        <v>2026</v>
      </c>
      <c r="C1353" s="102">
        <f>YEAR(Table6[[#This Row],[Date]])</f>
        <v>2025</v>
      </c>
      <c r="D1353" s="102" t="s">
        <v>265</v>
      </c>
      <c r="E1353" s="258">
        <f>Table6[[#This Row],[Date]]-DAY(Table6[[#This Row],[Date]])+1</f>
        <v>45809</v>
      </c>
      <c r="F1353" s="259">
        <v>45836</v>
      </c>
      <c r="G1353" s="35" t="s">
        <v>124</v>
      </c>
      <c r="H1353" s="35" t="str">
        <f>IFERROR(_xlfn.XLOOKUP(Table6[[#This Row],[Affected WTG]],'Basic Data'!$A:$A,'Basic Data'!$B:$B),"")</f>
        <v>TQGXIIPL</v>
      </c>
      <c r="I1353" s="35" t="str">
        <f>IFERROR(_xlfn.XLOOKUP(Table6[[#This Row],[Affected WTG]],'Basic Data'!$A:$A,'Basic Data'!$C:$C),"")</f>
        <v>GEDA</v>
      </c>
      <c r="J1353" s="260">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278</v>
      </c>
      <c r="N1353" s="264"/>
      <c r="O1353" s="265">
        <v>0.6</v>
      </c>
      <c r="P1353" s="265">
        <v>0.6</v>
      </c>
      <c r="Q1353" s="266">
        <v>0.60069444444444442</v>
      </c>
      <c r="R1353" s="261">
        <f>IF(Table6[[#This Row],[Work Start TimeStamp]]="","",(Table6[[#This Row],[Work Start TimeStamp]]-Table6[[#This Row],[Fault Start TimeStamp]])*24)</f>
        <v>0</v>
      </c>
      <c r="S1353" s="261">
        <f>(Table6[[#This Row],[Fault Clearance time]]-Table6[[#This Row],[Work Start TimeStamp]])*24</f>
        <v>1.6666666666666607E-2</v>
      </c>
      <c r="T1353" s="261">
        <f>(Table6[[#This Row],[Fault Clearance time]]-Table6[[#This Row],[Fault Start TimeStamp]])*24</f>
        <v>1.6666666666666607E-2</v>
      </c>
      <c r="U1353" s="35" t="s">
        <v>277</v>
      </c>
      <c r="V1353" s="102" t="s">
        <v>268</v>
      </c>
      <c r="W1353" s="267">
        <f>IFERROR(Table6[[#This Row],[Breakdown Time]]*Table6[[#This Row],[Plant Equivalent Weightage]],"")</f>
        <v>6.4102564102563853E-4</v>
      </c>
      <c r="X1353" s="262" t="s">
        <v>269</v>
      </c>
      <c r="Y1353" s="263" t="s">
        <v>129</v>
      </c>
      <c r="Z1353" s="102">
        <v>58053</v>
      </c>
      <c r="AA1353" s="257">
        <f>(Table6[[#This Row],[Paired WTG Generation for loss calculation]]/24)*Table6[[#This Row],[Breakdown Time]]</f>
        <v>40.314583333333189</v>
      </c>
      <c r="AB1353" s="102"/>
      <c r="AC1353" s="35"/>
      <c r="AD1353" s="35"/>
    </row>
    <row r="1354" spans="1:30">
      <c r="A1354" s="102">
        <f t="shared" si="21"/>
        <v>1353</v>
      </c>
      <c r="B1354" s="257">
        <f>YEAR(Table6[[#This Row],[Date]])+IF(MONTH(Table6[[#This Row],[Date]])&gt;=4,1,0)</f>
        <v>2026</v>
      </c>
      <c r="C1354" s="102">
        <f>YEAR(Table6[[#This Row],[Date]])</f>
        <v>2025</v>
      </c>
      <c r="D1354" s="102" t="s">
        <v>265</v>
      </c>
      <c r="E1354" s="258">
        <f>Table6[[#This Row],[Date]]-DAY(Table6[[#This Row],[Date]])+1</f>
        <v>45809</v>
      </c>
      <c r="F1354" s="259">
        <v>45836</v>
      </c>
      <c r="G1354" s="35" t="s">
        <v>127</v>
      </c>
      <c r="H1354" s="35" t="str">
        <f>IFERROR(_xlfn.XLOOKUP(Table6[[#This Row],[Affected WTG]],'Basic Data'!$A:$A,'Basic Data'!$B:$B),"")</f>
        <v>TQGXIIPL</v>
      </c>
      <c r="I1354" s="35" t="str">
        <f>IFERROR(_xlfn.XLOOKUP(Table6[[#This Row],[Affected WTG]],'Basic Data'!$A:$A,'Basic Data'!$C:$C),"")</f>
        <v>GEDA</v>
      </c>
      <c r="J1354" s="260">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278</v>
      </c>
      <c r="N1354" s="264"/>
      <c r="O1354" s="265">
        <v>0.82638888888888884</v>
      </c>
      <c r="P1354" s="265">
        <v>0.82638888888888884</v>
      </c>
      <c r="Q1354" s="266">
        <v>0.83333333333333337</v>
      </c>
      <c r="R1354" s="261">
        <f>IF(Table6[[#This Row],[Work Start TimeStamp]]="","",(Table6[[#This Row],[Work Start TimeStamp]]-Table6[[#This Row],[Fault Start TimeStamp]])*24)</f>
        <v>0</v>
      </c>
      <c r="S1354" s="261">
        <f>(Table6[[#This Row],[Fault Clearance time]]-Table6[[#This Row],[Work Start TimeStamp]])*24</f>
        <v>0.16666666666666874</v>
      </c>
      <c r="T1354" s="261">
        <f>(Table6[[#This Row],[Fault Clearance time]]-Table6[[#This Row],[Fault Start TimeStamp]])*24</f>
        <v>0.16666666666666874</v>
      </c>
      <c r="U1354" s="35" t="s">
        <v>277</v>
      </c>
      <c r="V1354" s="102" t="s">
        <v>268</v>
      </c>
      <c r="W1354" s="267">
        <f>IFERROR(Table6[[#This Row],[Breakdown Time]]*Table6[[#This Row],[Plant Equivalent Weightage]],"")</f>
        <v>6.4102564102564881E-3</v>
      </c>
      <c r="X1354" s="262" t="s">
        <v>269</v>
      </c>
      <c r="Y1354" s="263" t="s">
        <v>125</v>
      </c>
      <c r="Z1354" s="102">
        <v>56457</v>
      </c>
      <c r="AA1354" s="257">
        <f>(Table6[[#This Row],[Paired WTG Generation for loss calculation]]/24)*Table6[[#This Row],[Breakdown Time]]</f>
        <v>392.06250000000489</v>
      </c>
      <c r="AB1354" s="102"/>
      <c r="AC1354" s="35"/>
      <c r="AD1354" s="35"/>
    </row>
    <row r="1355" spans="1:30">
      <c r="A1355" s="102">
        <f t="shared" si="21"/>
        <v>1354</v>
      </c>
      <c r="B1355" s="257">
        <f>YEAR(Table6[[#This Row],[Date]])+IF(MONTH(Table6[[#This Row],[Date]])&gt;=4,1,0)</f>
        <v>2026</v>
      </c>
      <c r="C1355" s="102">
        <f>YEAR(Table6[[#This Row],[Date]])</f>
        <v>2025</v>
      </c>
      <c r="D1355" s="102" t="s">
        <v>265</v>
      </c>
      <c r="E1355" s="258">
        <f>Table6[[#This Row],[Date]]-DAY(Table6[[#This Row],[Date]])+1</f>
        <v>45809</v>
      </c>
      <c r="F1355" s="259">
        <v>45836</v>
      </c>
      <c r="G1355" s="35" t="s">
        <v>126</v>
      </c>
      <c r="H1355" s="35" t="str">
        <f>IFERROR(_xlfn.XLOOKUP(Table6[[#This Row],[Affected WTG]],'Basic Data'!$A:$A,'Basic Data'!$B:$B),"")</f>
        <v>TQGXIIPL</v>
      </c>
      <c r="I1355" s="35" t="str">
        <f>IFERROR(_xlfn.XLOOKUP(Table6[[#This Row],[Affected WTG]],'Basic Data'!$A:$A,'Basic Data'!$C:$C),"")</f>
        <v>GEDA</v>
      </c>
      <c r="J1355" s="260">
        <f>IFERROR(_xlfn.XLOOKUP(Table6[[#This Row],[Affected WTG]],'Basic Data'!$A:$A,'Basic Data'!$E:$E),"")</f>
        <v>3.846153846153845E-2</v>
      </c>
      <c r="K1355" s="102">
        <v>55</v>
      </c>
      <c r="L1355" s="35" t="str">
        <f>IFERROR(_xlfn.XLOOKUP(Table6[[#This Row],[Error Code]],'Basic Data'!$AA:$AA,'Basic Data'!$AB:$AB),"Incorrect Error Code")</f>
        <v>WTG shut down</v>
      </c>
      <c r="M1355" s="35" t="s">
        <v>291</v>
      </c>
      <c r="N1355" s="264"/>
      <c r="O1355" s="265">
        <v>0</v>
      </c>
      <c r="P1355" s="265">
        <v>0</v>
      </c>
      <c r="Q1355" s="266">
        <v>0.46527777777777779</v>
      </c>
      <c r="R1355" s="261">
        <f>IF(Table6[[#This Row],[Work Start TimeStamp]]="","",(Table6[[#This Row],[Work Start TimeStamp]]-Table6[[#This Row],[Fault Start TimeStamp]])*24)</f>
        <v>0</v>
      </c>
      <c r="S1355" s="261">
        <f>(Table6[[#This Row],[Fault Clearance time]]-Table6[[#This Row],[Work Start TimeStamp]])*24</f>
        <v>11.166666666666668</v>
      </c>
      <c r="T1355" s="261">
        <f>(Table6[[#This Row],[Fault Clearance time]]-Table6[[#This Row],[Fault Start TimeStamp]])*24</f>
        <v>11.166666666666668</v>
      </c>
      <c r="U1355" s="35" t="s">
        <v>561</v>
      </c>
      <c r="V1355" s="102" t="s">
        <v>549</v>
      </c>
      <c r="W1355" s="267">
        <f>IFERROR(Table6[[#This Row],[Breakdown Time]]*Table6[[#This Row],[Plant Equivalent Weightage]],"")</f>
        <v>0.4294871794871794</v>
      </c>
      <c r="X1355" s="262" t="s">
        <v>531</v>
      </c>
      <c r="Y1355" s="263" t="s">
        <v>128</v>
      </c>
      <c r="Z1355" s="102">
        <v>56319</v>
      </c>
      <c r="AA1355" s="257">
        <f>(Table6[[#This Row],[Paired WTG Generation for loss calculation]]/24)*Table6[[#This Row],[Breakdown Time]]</f>
        <v>26203.979166666668</v>
      </c>
      <c r="AB1355" s="102"/>
      <c r="AC1355" s="35"/>
      <c r="AD1355" s="35"/>
    </row>
    <row r="1356" spans="1:30">
      <c r="A1356" s="102">
        <f t="shared" si="21"/>
        <v>1355</v>
      </c>
      <c r="B1356" s="257">
        <f>YEAR(Table6[[#This Row],[Date]])+IF(MONTH(Table6[[#This Row],[Date]])&gt;=4,1,0)</f>
        <v>2026</v>
      </c>
      <c r="C1356" s="102">
        <f>YEAR(Table6[[#This Row],[Date]])</f>
        <v>2025</v>
      </c>
      <c r="D1356" s="102" t="s">
        <v>265</v>
      </c>
      <c r="E1356" s="258">
        <f>Table6[[#This Row],[Date]]-DAY(Table6[[#This Row],[Date]])+1</f>
        <v>45809</v>
      </c>
      <c r="F1356" s="259">
        <v>45836</v>
      </c>
      <c r="G1356" s="35" t="s">
        <v>126</v>
      </c>
      <c r="H1356" s="35" t="str">
        <f>IFERROR(_xlfn.XLOOKUP(Table6[[#This Row],[Affected WTG]],'Basic Data'!$A:$A,'Basic Data'!$B:$B),"")</f>
        <v>TQGXIIPL</v>
      </c>
      <c r="I1356" s="35" t="str">
        <f>IFERROR(_xlfn.XLOOKUP(Table6[[#This Row],[Affected WTG]],'Basic Data'!$A:$A,'Basic Data'!$C:$C),"")</f>
        <v>GEDA</v>
      </c>
      <c r="J1356" s="260">
        <f>IFERROR(_xlfn.XLOOKUP(Table6[[#This Row],[Affected WTG]],'Basic Data'!$A:$A,'Basic Data'!$E:$E),"")</f>
        <v>3.846153846153845E-2</v>
      </c>
      <c r="K1356" s="102">
        <v>55</v>
      </c>
      <c r="L1356" s="35" t="str">
        <f>IFERROR(_xlfn.XLOOKUP(Table6[[#This Row],[Error Code]],'Basic Data'!$AA:$AA,'Basic Data'!$AB:$AB),"Incorrect Error Code")</f>
        <v>WTG shut down</v>
      </c>
      <c r="M1356" s="35" t="s">
        <v>291</v>
      </c>
      <c r="N1356" s="264"/>
      <c r="O1356" s="265">
        <v>0.46527777777777779</v>
      </c>
      <c r="P1356" s="265">
        <v>0.46527777777777779</v>
      </c>
      <c r="Q1356" s="266">
        <v>0.99998842592592596</v>
      </c>
      <c r="R1356" s="261">
        <f>IF(Table6[[#This Row],[Work Start TimeStamp]]="","",(Table6[[#This Row],[Work Start TimeStamp]]-Table6[[#This Row],[Fault Start TimeStamp]])*24)</f>
        <v>0</v>
      </c>
      <c r="S1356" s="261">
        <f>(Table6[[#This Row],[Fault Clearance time]]-Table6[[#This Row],[Work Start TimeStamp]])*24</f>
        <v>12.833055555555557</v>
      </c>
      <c r="T1356" s="261">
        <f>(Table6[[#This Row],[Fault Clearance time]]-Table6[[#This Row],[Fault Start TimeStamp]])*24</f>
        <v>12.833055555555557</v>
      </c>
      <c r="U1356" s="35" t="s">
        <v>561</v>
      </c>
      <c r="V1356" s="102" t="s">
        <v>549</v>
      </c>
      <c r="W1356" s="267">
        <f>IFERROR(Table6[[#This Row],[Breakdown Time]]*Table6[[#This Row],[Plant Equivalent Weightage]],"")</f>
        <v>0.49357905982905975</v>
      </c>
      <c r="X1356" s="262" t="s">
        <v>269</v>
      </c>
      <c r="Y1356" s="263" t="s">
        <v>128</v>
      </c>
      <c r="Z1356" s="102">
        <v>56319</v>
      </c>
      <c r="AA1356" s="257">
        <f>(Table6[[#This Row],[Paired WTG Generation for loss calculation]]/24)*Table6[[#This Row],[Breakdown Time]]</f>
        <v>30114.368993055559</v>
      </c>
      <c r="AB1356" s="102"/>
      <c r="AC1356" s="35"/>
      <c r="AD1356" s="35"/>
    </row>
    <row r="1357" spans="1:30">
      <c r="A1357" s="102">
        <f t="shared" si="21"/>
        <v>1356</v>
      </c>
      <c r="B1357" s="257">
        <f>YEAR(Table6[[#This Row],[Date]])+IF(MONTH(Table6[[#This Row],[Date]])&gt;=4,1,0)</f>
        <v>2026</v>
      </c>
      <c r="C1357" s="102">
        <f>YEAR(Table6[[#This Row],[Date]])</f>
        <v>2025</v>
      </c>
      <c r="D1357" s="102" t="s">
        <v>265</v>
      </c>
      <c r="E1357" s="258">
        <f>Table6[[#This Row],[Date]]-DAY(Table6[[#This Row],[Date]])+1</f>
        <v>45809</v>
      </c>
      <c r="F1357" s="259">
        <v>45836</v>
      </c>
      <c r="G1357" s="35" t="s">
        <v>130</v>
      </c>
      <c r="H1357" s="35" t="str">
        <f>IFERROR(_xlfn.XLOOKUP(Table6[[#This Row],[Affected WTG]],'Basic Data'!$A:$A,'Basic Data'!$B:$B),"")</f>
        <v>TQGXIIPL</v>
      </c>
      <c r="I1357" s="35" t="str">
        <f>IFERROR(_xlfn.XLOOKUP(Table6[[#This Row],[Affected WTG]],'Basic Data'!$A:$A,'Basic Data'!$C:$C),"")</f>
        <v>GEDA</v>
      </c>
      <c r="J1357" s="260">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278</v>
      </c>
      <c r="N1357" s="264"/>
      <c r="O1357" s="265">
        <v>0.58819444444444446</v>
      </c>
      <c r="P1357" s="265">
        <v>0.58819444444444446</v>
      </c>
      <c r="Q1357" s="266">
        <v>0.59236111111111112</v>
      </c>
      <c r="R1357" s="261">
        <f>IF(Table6[[#This Row],[Work Start TimeStamp]]="","",(Table6[[#This Row],[Work Start TimeStamp]]-Table6[[#This Row],[Fault Start TimeStamp]])*24)</f>
        <v>0</v>
      </c>
      <c r="S1357" s="261">
        <f>(Table6[[#This Row],[Fault Clearance time]]-Table6[[#This Row],[Work Start TimeStamp]])*24</f>
        <v>9.9999999999999645E-2</v>
      </c>
      <c r="T1357" s="261">
        <f>(Table6[[#This Row],[Fault Clearance time]]-Table6[[#This Row],[Fault Start TimeStamp]])*24</f>
        <v>9.9999999999999645E-2</v>
      </c>
      <c r="U1357" s="35" t="s">
        <v>277</v>
      </c>
      <c r="V1357" s="102" t="s">
        <v>268</v>
      </c>
      <c r="W1357" s="267">
        <f>IFERROR(Table6[[#This Row],[Breakdown Time]]*Table6[[#This Row],[Plant Equivalent Weightage]],"")</f>
        <v>3.8461538461538312E-3</v>
      </c>
      <c r="X1357" s="262" t="s">
        <v>269</v>
      </c>
      <c r="Y1357" s="263" t="s">
        <v>135</v>
      </c>
      <c r="Z1357" s="102">
        <v>56225</v>
      </c>
      <c r="AA1357" s="257">
        <f>(Table6[[#This Row],[Paired WTG Generation for loss calculation]]/24)*Table6[[#This Row],[Breakdown Time]]</f>
        <v>234.27083333333252</v>
      </c>
      <c r="AB1357" s="102"/>
      <c r="AC1357" s="35"/>
      <c r="AD1357" s="35"/>
    </row>
    <row r="1358" spans="1:30">
      <c r="A1358" s="102">
        <f t="shared" si="21"/>
        <v>1357</v>
      </c>
      <c r="B1358" s="257">
        <f>YEAR(Table6[[#This Row],[Date]])+IF(MONTH(Table6[[#This Row],[Date]])&gt;=4,1,0)</f>
        <v>2026</v>
      </c>
      <c r="C1358" s="102">
        <f>YEAR(Table6[[#This Row],[Date]])</f>
        <v>2025</v>
      </c>
      <c r="D1358" s="102" t="s">
        <v>265</v>
      </c>
      <c r="E1358" s="258">
        <f>Table6[[#This Row],[Date]]-DAY(Table6[[#This Row],[Date]])+1</f>
        <v>45809</v>
      </c>
      <c r="F1358" s="259">
        <v>45836</v>
      </c>
      <c r="G1358" s="35" t="s">
        <v>130</v>
      </c>
      <c r="H1358" s="35" t="str">
        <f>IFERROR(_xlfn.XLOOKUP(Table6[[#This Row],[Affected WTG]],'Basic Data'!$A:$A,'Basic Data'!$B:$B),"")</f>
        <v>TQGXIIPL</v>
      </c>
      <c r="I1358" s="35" t="str">
        <f>IFERROR(_xlfn.XLOOKUP(Table6[[#This Row],[Affected WTG]],'Basic Data'!$A:$A,'Basic Data'!$C:$C),"")</f>
        <v>GEDA</v>
      </c>
      <c r="J1358" s="260">
        <f>IFERROR(_xlfn.XLOOKUP(Table6[[#This Row],[Affected WTG]],'Basic Data'!$A:$A,'Basic Data'!$E:$E),"")</f>
        <v>3.846153846153845E-2</v>
      </c>
      <c r="K1358" s="102">
        <v>4970</v>
      </c>
      <c r="L1358" s="35" t="str">
        <f>IFERROR(_xlfn.XLOOKUP(Table6[[#This Row],[Error Code]],'Basic Data'!$AA:$AA,'Basic Data'!$AB:$AB),"Incorrect Error Code")</f>
        <v>Tower oscillation XF</v>
      </c>
      <c r="M1358" s="35" t="s">
        <v>278</v>
      </c>
      <c r="N1358" s="264"/>
      <c r="O1358" s="265">
        <v>0.62569444444444444</v>
      </c>
      <c r="P1358" s="265">
        <v>0.62569444444444444</v>
      </c>
      <c r="Q1358" s="266">
        <v>0.62986111111111109</v>
      </c>
      <c r="R1358" s="261">
        <f>IF(Table6[[#This Row],[Work Start TimeStamp]]="","",(Table6[[#This Row],[Work Start TimeStamp]]-Table6[[#This Row],[Fault Start TimeStamp]])*24)</f>
        <v>0</v>
      </c>
      <c r="S1358" s="261">
        <f>(Table6[[#This Row],[Fault Clearance time]]-Table6[[#This Row],[Work Start TimeStamp]])*24</f>
        <v>9.9999999999999645E-2</v>
      </c>
      <c r="T1358" s="261">
        <f>(Table6[[#This Row],[Fault Clearance time]]-Table6[[#This Row],[Fault Start TimeStamp]])*24</f>
        <v>9.9999999999999645E-2</v>
      </c>
      <c r="U1358" s="35" t="s">
        <v>277</v>
      </c>
      <c r="V1358" s="102" t="s">
        <v>268</v>
      </c>
      <c r="W1358" s="267">
        <f>IFERROR(Table6[[#This Row],[Breakdown Time]]*Table6[[#This Row],[Plant Equivalent Weightage]],"")</f>
        <v>3.8461538461538312E-3</v>
      </c>
      <c r="X1358" s="262" t="s">
        <v>269</v>
      </c>
      <c r="Y1358" s="263" t="s">
        <v>135</v>
      </c>
      <c r="Z1358" s="102">
        <v>56225</v>
      </c>
      <c r="AA1358" s="257">
        <f>(Table6[[#This Row],[Paired WTG Generation for loss calculation]]/24)*Table6[[#This Row],[Breakdown Time]]</f>
        <v>234.27083333333252</v>
      </c>
      <c r="AB1358" s="102"/>
      <c r="AC1358" s="35"/>
      <c r="AD1358" s="35"/>
    </row>
    <row r="1359" spans="1:30">
      <c r="A1359" s="102">
        <f t="shared" ref="A1359:A1422" si="22">A1358+1</f>
        <v>1358</v>
      </c>
      <c r="B1359" s="257">
        <f>YEAR(Table6[[#This Row],[Date]])+IF(MONTH(Table6[[#This Row],[Date]])&gt;=4,1,0)</f>
        <v>2026</v>
      </c>
      <c r="C1359" s="102">
        <f>YEAR(Table6[[#This Row],[Date]])</f>
        <v>2025</v>
      </c>
      <c r="D1359" s="102" t="s">
        <v>265</v>
      </c>
      <c r="E1359" s="258">
        <f>Table6[[#This Row],[Date]]-DAY(Table6[[#This Row],[Date]])+1</f>
        <v>45809</v>
      </c>
      <c r="F1359" s="259">
        <v>45836</v>
      </c>
      <c r="G1359" s="35" t="s">
        <v>131</v>
      </c>
      <c r="H1359" s="35" t="str">
        <f>IFERROR(_xlfn.XLOOKUP(Table6[[#This Row],[Affected WTG]],'Basic Data'!$A:$A,'Basic Data'!$B:$B),"")</f>
        <v>TQGXIIPL</v>
      </c>
      <c r="I1359" s="35" t="str">
        <f>IFERROR(_xlfn.XLOOKUP(Table6[[#This Row],[Affected WTG]],'Basic Data'!$A:$A,'Basic Data'!$C:$C),"")</f>
        <v>GEDA</v>
      </c>
      <c r="J1359" s="260">
        <f>IFERROR(_xlfn.XLOOKUP(Table6[[#This Row],[Affected WTG]],'Basic Data'!$A:$A,'Basic Data'!$E:$E),"")</f>
        <v>3.846153846153845E-2</v>
      </c>
      <c r="K1359" s="102">
        <v>3211</v>
      </c>
      <c r="L1359" s="35" t="str">
        <f>IFERROR(_xlfn.XLOOKUP(Table6[[#This Row],[Error Code]],'Basic Data'!$AA:$AA,'Basic Data'!$AB:$AB),"Incorrect Error Code")</f>
        <v>Conv. load shedding (CAN)</v>
      </c>
      <c r="M1359" s="35" t="s">
        <v>266</v>
      </c>
      <c r="N1359" s="264"/>
      <c r="O1359" s="265">
        <v>0.55763888888888891</v>
      </c>
      <c r="P1359" s="265">
        <v>0.55763888888888891</v>
      </c>
      <c r="Q1359" s="266">
        <v>0.56041666666666667</v>
      </c>
      <c r="R1359" s="261">
        <f>IF(Table6[[#This Row],[Work Start TimeStamp]]="","",(Table6[[#This Row],[Work Start TimeStamp]]-Table6[[#This Row],[Fault Start TimeStamp]])*24)</f>
        <v>0</v>
      </c>
      <c r="S1359" s="261">
        <f>(Table6[[#This Row],[Fault Clearance time]]-Table6[[#This Row],[Work Start TimeStamp]])*24</f>
        <v>6.666666666666643E-2</v>
      </c>
      <c r="T1359" s="261">
        <f>(Table6[[#This Row],[Fault Clearance time]]-Table6[[#This Row],[Fault Start TimeStamp]])*24</f>
        <v>6.666666666666643E-2</v>
      </c>
      <c r="U1359" s="35" t="s">
        <v>483</v>
      </c>
      <c r="V1359" s="102" t="s">
        <v>268</v>
      </c>
      <c r="W1359" s="267">
        <f>IFERROR(Table6[[#This Row],[Breakdown Time]]*Table6[[#This Row],[Plant Equivalent Weightage]],"")</f>
        <v>2.5641025641025541E-3</v>
      </c>
      <c r="X1359" s="262" t="s">
        <v>296</v>
      </c>
      <c r="Y1359" s="263" t="s">
        <v>136</v>
      </c>
      <c r="Z1359" s="102">
        <v>58011</v>
      </c>
      <c r="AA1359" s="257">
        <f>(Table6[[#This Row],[Paired WTG Generation for loss calculation]]/24)*Table6[[#This Row],[Breakdown Time]]</f>
        <v>161.14166666666608</v>
      </c>
      <c r="AB1359" s="102"/>
      <c r="AC1359" s="35"/>
      <c r="AD1359" s="35"/>
    </row>
    <row r="1360" spans="1:30">
      <c r="A1360" s="102">
        <f t="shared" si="22"/>
        <v>1359</v>
      </c>
      <c r="B1360" s="257">
        <f>YEAR(Table6[[#This Row],[Date]])+IF(MONTH(Table6[[#This Row],[Date]])&gt;=4,1,0)</f>
        <v>2026</v>
      </c>
      <c r="C1360" s="102">
        <f>YEAR(Table6[[#This Row],[Date]])</f>
        <v>2025</v>
      </c>
      <c r="D1360" s="102" t="s">
        <v>265</v>
      </c>
      <c r="E1360" s="258">
        <f>Table6[[#This Row],[Date]]-DAY(Table6[[#This Row],[Date]])+1</f>
        <v>45809</v>
      </c>
      <c r="F1360" s="259">
        <v>45836</v>
      </c>
      <c r="G1360" s="35" t="s">
        <v>131</v>
      </c>
      <c r="H1360" s="35" t="str">
        <f>IFERROR(_xlfn.XLOOKUP(Table6[[#This Row],[Affected WTG]],'Basic Data'!$A:$A,'Basic Data'!$B:$B),"")</f>
        <v>TQGXIIPL</v>
      </c>
      <c r="I1360" s="35" t="str">
        <f>IFERROR(_xlfn.XLOOKUP(Table6[[#This Row],[Affected WTG]],'Basic Data'!$A:$A,'Basic Data'!$C:$C),"")</f>
        <v>GEDA</v>
      </c>
      <c r="J1360" s="260">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266</v>
      </c>
      <c r="N1360" s="264"/>
      <c r="O1360" s="265">
        <v>0.84305555555555556</v>
      </c>
      <c r="P1360" s="265">
        <v>0.84305555555555556</v>
      </c>
      <c r="Q1360" s="266">
        <v>0.84444444444444444</v>
      </c>
      <c r="R1360" s="261">
        <f>IF(Table6[[#This Row],[Work Start TimeStamp]]="","",(Table6[[#This Row],[Work Start TimeStamp]]-Table6[[#This Row],[Fault Start TimeStamp]])*24)</f>
        <v>0</v>
      </c>
      <c r="S1360" s="261">
        <f>(Table6[[#This Row],[Fault Clearance time]]-Table6[[#This Row],[Work Start TimeStamp]])*24</f>
        <v>3.3333333333333215E-2</v>
      </c>
      <c r="T1360" s="261">
        <f>(Table6[[#This Row],[Fault Clearance time]]-Table6[[#This Row],[Fault Start TimeStamp]])*24</f>
        <v>3.3333333333333215E-2</v>
      </c>
      <c r="U1360" s="35" t="s">
        <v>483</v>
      </c>
      <c r="V1360" s="102" t="s">
        <v>268</v>
      </c>
      <c r="W1360" s="267">
        <f>IFERROR(Table6[[#This Row],[Breakdown Time]]*Table6[[#This Row],[Plant Equivalent Weightage]],"")</f>
        <v>1.2820512820512771E-3</v>
      </c>
      <c r="X1360" s="262" t="s">
        <v>296</v>
      </c>
      <c r="Y1360" s="263" t="s">
        <v>136</v>
      </c>
      <c r="Z1360" s="102">
        <v>58011</v>
      </c>
      <c r="AA1360" s="257">
        <f>(Table6[[#This Row],[Paired WTG Generation for loss calculation]]/24)*Table6[[#This Row],[Breakdown Time]]</f>
        <v>80.570833333333042</v>
      </c>
      <c r="AB1360" s="102"/>
      <c r="AC1360" s="35"/>
      <c r="AD1360" s="35"/>
    </row>
    <row r="1361" spans="1:30">
      <c r="A1361" s="102">
        <f t="shared" si="22"/>
        <v>1360</v>
      </c>
      <c r="B1361" s="257">
        <f>YEAR(Table6[[#This Row],[Date]])+IF(MONTH(Table6[[#This Row],[Date]])&gt;=4,1,0)</f>
        <v>2026</v>
      </c>
      <c r="C1361" s="102">
        <f>YEAR(Table6[[#This Row],[Date]])</f>
        <v>2025</v>
      </c>
      <c r="D1361" s="102" t="s">
        <v>265</v>
      </c>
      <c r="E1361" s="258">
        <f>Table6[[#This Row],[Date]]-DAY(Table6[[#This Row],[Date]])+1</f>
        <v>45809</v>
      </c>
      <c r="F1361" s="259">
        <v>45836</v>
      </c>
      <c r="G1361" s="35" t="s">
        <v>131</v>
      </c>
      <c r="H1361" s="35" t="str">
        <f>IFERROR(_xlfn.XLOOKUP(Table6[[#This Row],[Affected WTG]],'Basic Data'!$A:$A,'Basic Data'!$B:$B),"")</f>
        <v>TQGXIIPL</v>
      </c>
      <c r="I1361" s="35" t="str">
        <f>IFERROR(_xlfn.XLOOKUP(Table6[[#This Row],[Affected WTG]],'Basic Data'!$A:$A,'Basic Data'!$C:$C),"")</f>
        <v>GEDA</v>
      </c>
      <c r="J1361" s="260">
        <f>IFERROR(_xlfn.XLOOKUP(Table6[[#This Row],[Affected WTG]],'Basic Data'!$A:$A,'Basic Data'!$E:$E),"")</f>
        <v>3.846153846153845E-2</v>
      </c>
      <c r="K1361" s="102">
        <v>4970</v>
      </c>
      <c r="L1361" s="35" t="str">
        <f>IFERROR(_xlfn.XLOOKUP(Table6[[#This Row],[Error Code]],'Basic Data'!$AA:$AA,'Basic Data'!$AB:$AB),"Incorrect Error Code")</f>
        <v>Tower oscillation XF</v>
      </c>
      <c r="M1361" s="35" t="s">
        <v>278</v>
      </c>
      <c r="N1361" s="264"/>
      <c r="O1361" s="265">
        <v>0.75972222222222219</v>
      </c>
      <c r="P1361" s="265">
        <v>0.75972222222222219</v>
      </c>
      <c r="Q1361" s="266">
        <v>0.76180555555555551</v>
      </c>
      <c r="R1361" s="261">
        <f>IF(Table6[[#This Row],[Work Start TimeStamp]]="","",(Table6[[#This Row],[Work Start TimeStamp]]-Table6[[#This Row],[Fault Start TimeStamp]])*24)</f>
        <v>0</v>
      </c>
      <c r="S1361" s="261">
        <f>(Table6[[#This Row],[Fault Clearance time]]-Table6[[#This Row],[Work Start TimeStamp]])*24</f>
        <v>4.9999999999999822E-2</v>
      </c>
      <c r="T1361" s="261">
        <f>(Table6[[#This Row],[Fault Clearance time]]-Table6[[#This Row],[Fault Start TimeStamp]])*24</f>
        <v>4.9999999999999822E-2</v>
      </c>
      <c r="U1361" s="35" t="s">
        <v>277</v>
      </c>
      <c r="V1361" s="102" t="s">
        <v>268</v>
      </c>
      <c r="W1361" s="267">
        <f>IFERROR(Table6[[#This Row],[Breakdown Time]]*Table6[[#This Row],[Plant Equivalent Weightage]],"")</f>
        <v>1.9230769230769156E-3</v>
      </c>
      <c r="X1361" s="262" t="s">
        <v>269</v>
      </c>
      <c r="Y1361" s="263" t="s">
        <v>136</v>
      </c>
      <c r="Z1361" s="102">
        <v>58011</v>
      </c>
      <c r="AA1361" s="257">
        <f>(Table6[[#This Row],[Paired WTG Generation for loss calculation]]/24)*Table6[[#This Row],[Breakdown Time]]</f>
        <v>120.85624999999958</v>
      </c>
      <c r="AB1361" s="102"/>
      <c r="AC1361" s="35"/>
      <c r="AD1361" s="35"/>
    </row>
    <row r="1362" spans="1:30">
      <c r="A1362" s="102">
        <f t="shared" si="22"/>
        <v>1361</v>
      </c>
      <c r="B1362" s="257">
        <f>YEAR(Table6[[#This Row],[Date]])+IF(MONTH(Table6[[#This Row],[Date]])&gt;=4,1,0)</f>
        <v>2026</v>
      </c>
      <c r="C1362" s="102">
        <f>YEAR(Table6[[#This Row],[Date]])</f>
        <v>2025</v>
      </c>
      <c r="D1362" s="102" t="s">
        <v>265</v>
      </c>
      <c r="E1362" s="258">
        <f>Table6[[#This Row],[Date]]-DAY(Table6[[#This Row],[Date]])+1</f>
        <v>45809</v>
      </c>
      <c r="F1362" s="259">
        <v>45836</v>
      </c>
      <c r="G1362" s="35" t="s">
        <v>131</v>
      </c>
      <c r="H1362" s="35" t="str">
        <f>IFERROR(_xlfn.XLOOKUP(Table6[[#This Row],[Affected WTG]],'Basic Data'!$A:$A,'Basic Data'!$B:$B),"")</f>
        <v>TQGXIIPL</v>
      </c>
      <c r="I1362" s="35" t="str">
        <f>IFERROR(_xlfn.XLOOKUP(Table6[[#This Row],[Affected WTG]],'Basic Data'!$A:$A,'Basic Data'!$C:$C),"")</f>
        <v>GEDA</v>
      </c>
      <c r="J1362" s="260">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266</v>
      </c>
      <c r="N1362" s="264"/>
      <c r="O1362" s="265">
        <v>0.90972222222222221</v>
      </c>
      <c r="P1362" s="265">
        <v>0.90972222222222221</v>
      </c>
      <c r="Q1362" s="266">
        <v>0.91249999999999998</v>
      </c>
      <c r="R1362" s="261">
        <f>IF(Table6[[#This Row],[Work Start TimeStamp]]="","",(Table6[[#This Row],[Work Start TimeStamp]]-Table6[[#This Row],[Fault Start TimeStamp]])*24)</f>
        <v>0</v>
      </c>
      <c r="S1362" s="261">
        <f>(Table6[[#This Row],[Fault Clearance time]]-Table6[[#This Row],[Work Start TimeStamp]])*24</f>
        <v>6.666666666666643E-2</v>
      </c>
      <c r="T1362" s="261">
        <f>(Table6[[#This Row],[Fault Clearance time]]-Table6[[#This Row],[Fault Start TimeStamp]])*24</f>
        <v>6.666666666666643E-2</v>
      </c>
      <c r="U1362" s="35" t="s">
        <v>483</v>
      </c>
      <c r="V1362" s="102" t="s">
        <v>268</v>
      </c>
      <c r="W1362" s="267">
        <f>IFERROR(Table6[[#This Row],[Breakdown Time]]*Table6[[#This Row],[Plant Equivalent Weightage]],"")</f>
        <v>2.5641025641025541E-3</v>
      </c>
      <c r="X1362" s="262" t="s">
        <v>296</v>
      </c>
      <c r="Y1362" s="263" t="s">
        <v>136</v>
      </c>
      <c r="Z1362" s="102">
        <v>58011</v>
      </c>
      <c r="AA1362" s="257">
        <f>(Table6[[#This Row],[Paired WTG Generation for loss calculation]]/24)*Table6[[#This Row],[Breakdown Time]]</f>
        <v>161.14166666666608</v>
      </c>
      <c r="AB1362" s="102"/>
      <c r="AC1362" s="35"/>
      <c r="AD1362" s="35"/>
    </row>
    <row r="1363" spans="1:30">
      <c r="A1363" s="102">
        <f t="shared" si="22"/>
        <v>1362</v>
      </c>
      <c r="B1363" s="257">
        <f>YEAR(Table6[[#This Row],[Date]])+IF(MONTH(Table6[[#This Row],[Date]])&gt;=4,1,0)</f>
        <v>2026</v>
      </c>
      <c r="C1363" s="102">
        <f>YEAR(Table6[[#This Row],[Date]])</f>
        <v>2025</v>
      </c>
      <c r="D1363" s="102" t="s">
        <v>265</v>
      </c>
      <c r="E1363" s="258">
        <f>Table6[[#This Row],[Date]]-DAY(Table6[[#This Row],[Date]])+1</f>
        <v>45809</v>
      </c>
      <c r="F1363" s="259">
        <v>45836</v>
      </c>
      <c r="G1363" s="35" t="s">
        <v>131</v>
      </c>
      <c r="H1363" s="35" t="str">
        <f>IFERROR(_xlfn.XLOOKUP(Table6[[#This Row],[Affected WTG]],'Basic Data'!$A:$A,'Basic Data'!$B:$B),"")</f>
        <v>TQGXIIPL</v>
      </c>
      <c r="I1363" s="35" t="str">
        <f>IFERROR(_xlfn.XLOOKUP(Table6[[#This Row],[Affected WTG]],'Basic Data'!$A:$A,'Basic Data'!$C:$C),"")</f>
        <v>GEDA</v>
      </c>
      <c r="J1363" s="260">
        <f>IFERROR(_xlfn.XLOOKUP(Table6[[#This Row],[Affected WTG]],'Basic Data'!$A:$A,'Basic Data'!$E:$E),"")</f>
        <v>3.846153846153845E-2</v>
      </c>
      <c r="K1363" s="102">
        <v>3211</v>
      </c>
      <c r="L1363" s="35" t="str">
        <f>IFERROR(_xlfn.XLOOKUP(Table6[[#This Row],[Error Code]],'Basic Data'!$AA:$AA,'Basic Data'!$AB:$AB),"Incorrect Error Code")</f>
        <v>Conv. load shedding (CAN)</v>
      </c>
      <c r="M1363" s="35" t="s">
        <v>266</v>
      </c>
      <c r="N1363" s="264"/>
      <c r="O1363" s="265">
        <v>0.93541666666666667</v>
      </c>
      <c r="P1363" s="265">
        <v>0.93541666666666667</v>
      </c>
      <c r="Q1363" s="266">
        <v>0.93819444444444444</v>
      </c>
      <c r="R1363" s="261">
        <f>IF(Table6[[#This Row],[Work Start TimeStamp]]="","",(Table6[[#This Row],[Work Start TimeStamp]]-Table6[[#This Row],[Fault Start TimeStamp]])*24)</f>
        <v>0</v>
      </c>
      <c r="S1363" s="261">
        <f>(Table6[[#This Row],[Fault Clearance time]]-Table6[[#This Row],[Work Start TimeStamp]])*24</f>
        <v>6.666666666666643E-2</v>
      </c>
      <c r="T1363" s="261">
        <f>(Table6[[#This Row],[Fault Clearance time]]-Table6[[#This Row],[Fault Start TimeStamp]])*24</f>
        <v>6.666666666666643E-2</v>
      </c>
      <c r="U1363" s="35" t="s">
        <v>483</v>
      </c>
      <c r="V1363" s="102" t="s">
        <v>268</v>
      </c>
      <c r="W1363" s="267">
        <f>IFERROR(Table6[[#This Row],[Breakdown Time]]*Table6[[#This Row],[Plant Equivalent Weightage]],"")</f>
        <v>2.5641025641025541E-3</v>
      </c>
      <c r="X1363" s="262" t="s">
        <v>296</v>
      </c>
      <c r="Y1363" s="263" t="s">
        <v>136</v>
      </c>
      <c r="Z1363" s="102">
        <v>58011</v>
      </c>
      <c r="AA1363" s="257">
        <f>(Table6[[#This Row],[Paired WTG Generation for loss calculation]]/24)*Table6[[#This Row],[Breakdown Time]]</f>
        <v>161.14166666666608</v>
      </c>
      <c r="AB1363" s="102"/>
      <c r="AC1363" s="35"/>
      <c r="AD1363" s="35"/>
    </row>
    <row r="1364" spans="1:30">
      <c r="A1364" s="102">
        <f t="shared" si="22"/>
        <v>1363</v>
      </c>
      <c r="B1364" s="257">
        <f>YEAR(Table6[[#This Row],[Date]])+IF(MONTH(Table6[[#This Row],[Date]])&gt;=4,1,0)</f>
        <v>2026</v>
      </c>
      <c r="C1364" s="102">
        <f>YEAR(Table6[[#This Row],[Date]])</f>
        <v>2025</v>
      </c>
      <c r="D1364" s="102" t="s">
        <v>265</v>
      </c>
      <c r="E1364" s="258">
        <f>Table6[[#This Row],[Date]]-DAY(Table6[[#This Row],[Date]])+1</f>
        <v>45809</v>
      </c>
      <c r="F1364" s="259">
        <v>45836</v>
      </c>
      <c r="G1364" s="35" t="s">
        <v>132</v>
      </c>
      <c r="H1364" s="35" t="str">
        <f>IFERROR(_xlfn.XLOOKUP(Table6[[#This Row],[Affected WTG]],'Basic Data'!$A:$A,'Basic Data'!$B:$B),"")</f>
        <v>TQGXIIPL</v>
      </c>
      <c r="I1364" s="35" t="str">
        <f>IFERROR(_xlfn.XLOOKUP(Table6[[#This Row],[Affected WTG]],'Basic Data'!$A:$A,'Basic Data'!$C:$C),"")</f>
        <v>GEDA</v>
      </c>
      <c r="J1364" s="260">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266</v>
      </c>
      <c r="N1364" s="264"/>
      <c r="O1364" s="265">
        <v>0.48472222222222222</v>
      </c>
      <c r="P1364" s="265">
        <v>0.48472222222222222</v>
      </c>
      <c r="Q1364" s="266">
        <v>0.48888888888888887</v>
      </c>
      <c r="R1364" s="261">
        <f>IF(Table6[[#This Row],[Work Start TimeStamp]]="","",(Table6[[#This Row],[Work Start TimeStamp]]-Table6[[#This Row],[Fault Start TimeStamp]])*24)</f>
        <v>0</v>
      </c>
      <c r="S1364" s="261">
        <f>(Table6[[#This Row],[Fault Clearance time]]-Table6[[#This Row],[Work Start TimeStamp]])*24</f>
        <v>9.9999999999999645E-2</v>
      </c>
      <c r="T1364" s="261">
        <f>(Table6[[#This Row],[Fault Clearance time]]-Table6[[#This Row],[Fault Start TimeStamp]])*24</f>
        <v>9.9999999999999645E-2</v>
      </c>
      <c r="U1364" s="35" t="s">
        <v>483</v>
      </c>
      <c r="V1364" s="102" t="s">
        <v>268</v>
      </c>
      <c r="W1364" s="267">
        <f>IFERROR(Table6[[#This Row],[Breakdown Time]]*Table6[[#This Row],[Plant Equivalent Weightage]],"")</f>
        <v>3.8461538461538312E-3</v>
      </c>
      <c r="X1364" s="262" t="s">
        <v>296</v>
      </c>
      <c r="Y1364" s="263" t="s">
        <v>120</v>
      </c>
      <c r="Z1364" s="102">
        <v>58092</v>
      </c>
      <c r="AA1364" s="257">
        <f>(Table6[[#This Row],[Paired WTG Generation for loss calculation]]/24)*Table6[[#This Row],[Breakdown Time]]</f>
        <v>242.04999999999913</v>
      </c>
      <c r="AB1364" s="102"/>
      <c r="AC1364" s="35"/>
      <c r="AD1364" s="35"/>
    </row>
    <row r="1365" spans="1:30">
      <c r="A1365" s="102">
        <f t="shared" si="22"/>
        <v>1364</v>
      </c>
      <c r="B1365" s="257">
        <f>YEAR(Table6[[#This Row],[Date]])+IF(MONTH(Table6[[#This Row],[Date]])&gt;=4,1,0)</f>
        <v>2026</v>
      </c>
      <c r="C1365" s="102">
        <f>YEAR(Table6[[#This Row],[Date]])</f>
        <v>2025</v>
      </c>
      <c r="D1365" s="102" t="s">
        <v>265</v>
      </c>
      <c r="E1365" s="258">
        <f>Table6[[#This Row],[Date]]-DAY(Table6[[#This Row],[Date]])+1</f>
        <v>45809</v>
      </c>
      <c r="F1365" s="259">
        <v>45836</v>
      </c>
      <c r="G1365" s="35" t="s">
        <v>134</v>
      </c>
      <c r="H1365" s="35" t="str">
        <f>IFERROR(_xlfn.XLOOKUP(Table6[[#This Row],[Affected WTG]],'Basic Data'!$A:$A,'Basic Data'!$B:$B),"")</f>
        <v>TQGXIIPL</v>
      </c>
      <c r="I1365" s="35" t="str">
        <f>IFERROR(_xlfn.XLOOKUP(Table6[[#This Row],[Affected WTG]],'Basic Data'!$A:$A,'Basic Data'!$C:$C),"")</f>
        <v>GEDA</v>
      </c>
      <c r="J1365" s="260">
        <f>IFERROR(_xlfn.XLOOKUP(Table6[[#This Row],[Affected WTG]],'Basic Data'!$A:$A,'Basic Data'!$E:$E),"")</f>
        <v>3.846153846153845E-2</v>
      </c>
      <c r="K1365" s="102">
        <v>6130</v>
      </c>
      <c r="L1365" s="35" t="str">
        <f>IFERROR(_xlfn.XLOOKUP(Table6[[#This Row],[Error Code]],'Basic Data'!$AA:$AA,'Basic Data'!$AB:$AB),"Incorrect Error Code")</f>
        <v>Yaw speed high</v>
      </c>
      <c r="M1365" s="35" t="s">
        <v>278</v>
      </c>
      <c r="N1365" s="264"/>
      <c r="O1365" s="265">
        <v>0.4861111111111111</v>
      </c>
      <c r="P1365" s="265">
        <v>0.4861111111111111</v>
      </c>
      <c r="Q1365" s="266">
        <v>0.49027777777777776</v>
      </c>
      <c r="R1365" s="261">
        <f>IF(Table6[[#This Row],[Work Start TimeStamp]]="","",(Table6[[#This Row],[Work Start TimeStamp]]-Table6[[#This Row],[Fault Start TimeStamp]])*24)</f>
        <v>0</v>
      </c>
      <c r="S1365" s="261">
        <f>(Table6[[#This Row],[Fault Clearance time]]-Table6[[#This Row],[Work Start TimeStamp]])*24</f>
        <v>9.9999999999999645E-2</v>
      </c>
      <c r="T1365" s="261">
        <f>(Table6[[#This Row],[Fault Clearance time]]-Table6[[#This Row],[Fault Start TimeStamp]])*24</f>
        <v>9.9999999999999645E-2</v>
      </c>
      <c r="U1365" s="35" t="s">
        <v>277</v>
      </c>
      <c r="V1365" s="102" t="s">
        <v>268</v>
      </c>
      <c r="W1365" s="267">
        <f>IFERROR(Table6[[#This Row],[Breakdown Time]]*Table6[[#This Row],[Plant Equivalent Weightage]],"")</f>
        <v>3.8461538461538312E-3</v>
      </c>
      <c r="X1365" s="262" t="s">
        <v>269</v>
      </c>
      <c r="Y1365" s="263" t="s">
        <v>138</v>
      </c>
      <c r="Z1365" s="102">
        <v>54860</v>
      </c>
      <c r="AA1365" s="257">
        <f>(Table6[[#This Row],[Paired WTG Generation for loss calculation]]/24)*Table6[[#This Row],[Breakdown Time]]</f>
        <v>228.58333333333255</v>
      </c>
      <c r="AB1365" s="102"/>
      <c r="AC1365" s="35"/>
      <c r="AD1365" s="35"/>
    </row>
    <row r="1366" spans="1:30">
      <c r="A1366" s="102">
        <f t="shared" si="22"/>
        <v>1365</v>
      </c>
      <c r="B1366" s="257">
        <f>YEAR(Table6[[#This Row],[Date]])+IF(MONTH(Table6[[#This Row],[Date]])&gt;=4,1,0)</f>
        <v>2026</v>
      </c>
      <c r="C1366" s="102">
        <f>YEAR(Table6[[#This Row],[Date]])</f>
        <v>2025</v>
      </c>
      <c r="D1366" s="102" t="s">
        <v>265</v>
      </c>
      <c r="E1366" s="258">
        <f>Table6[[#This Row],[Date]]-DAY(Table6[[#This Row],[Date]])+1</f>
        <v>45809</v>
      </c>
      <c r="F1366" s="259">
        <v>45836</v>
      </c>
      <c r="G1366" s="35" t="s">
        <v>135</v>
      </c>
      <c r="H1366" s="35" t="str">
        <f>IFERROR(_xlfn.XLOOKUP(Table6[[#This Row],[Affected WTG]],'Basic Data'!$A:$A,'Basic Data'!$B:$B),"")</f>
        <v>TQGXIIPL</v>
      </c>
      <c r="I1366" s="35" t="str">
        <f>IFERROR(_xlfn.XLOOKUP(Table6[[#This Row],[Affected WTG]],'Basic Data'!$A:$A,'Basic Data'!$C:$C),"")</f>
        <v>GEDA</v>
      </c>
      <c r="J1366" s="260">
        <f>IFERROR(_xlfn.XLOOKUP(Table6[[#This Row],[Affected WTG]],'Basic Data'!$A:$A,'Basic Data'!$E:$E),"")</f>
        <v>3.846153846153845E-2</v>
      </c>
      <c r="K1366" s="102">
        <v>4970</v>
      </c>
      <c r="L1366" s="35" t="str">
        <f>IFERROR(_xlfn.XLOOKUP(Table6[[#This Row],[Error Code]],'Basic Data'!$AA:$AA,'Basic Data'!$AB:$AB),"Incorrect Error Code")</f>
        <v>Tower oscillation XF</v>
      </c>
      <c r="M1366" s="35" t="s">
        <v>278</v>
      </c>
      <c r="N1366" s="264"/>
      <c r="O1366" s="265">
        <v>0.4</v>
      </c>
      <c r="P1366" s="265">
        <v>0.4</v>
      </c>
      <c r="Q1366" s="266">
        <v>0.40902777777777777</v>
      </c>
      <c r="R1366" s="261">
        <f>IF(Table6[[#This Row],[Work Start TimeStamp]]="","",(Table6[[#This Row],[Work Start TimeStamp]]-Table6[[#This Row],[Fault Start TimeStamp]])*24)</f>
        <v>0</v>
      </c>
      <c r="S1366" s="261">
        <f>(Table6[[#This Row],[Fault Clearance time]]-Table6[[#This Row],[Work Start TimeStamp]])*24</f>
        <v>0.2166666666666659</v>
      </c>
      <c r="T1366" s="261">
        <f>(Table6[[#This Row],[Fault Clearance time]]-Table6[[#This Row],[Fault Start TimeStamp]])*24</f>
        <v>0.2166666666666659</v>
      </c>
      <c r="U1366" s="35" t="s">
        <v>277</v>
      </c>
      <c r="V1366" s="102" t="s">
        <v>268</v>
      </c>
      <c r="W1366" s="267">
        <f>IFERROR(Table6[[#This Row],[Breakdown Time]]*Table6[[#This Row],[Plant Equivalent Weightage]],"")</f>
        <v>8.333333333333302E-3</v>
      </c>
      <c r="X1366" s="262" t="s">
        <v>269</v>
      </c>
      <c r="Y1366" s="263" t="s">
        <v>120</v>
      </c>
      <c r="Z1366" s="102">
        <v>58092</v>
      </c>
      <c r="AA1366" s="257">
        <f>(Table6[[#This Row],[Paired WTG Generation for loss calculation]]/24)*Table6[[#This Row],[Breakdown Time]]</f>
        <v>524.44166666666479</v>
      </c>
      <c r="AB1366" s="102"/>
      <c r="AC1366" s="35"/>
      <c r="AD1366" s="35"/>
    </row>
    <row r="1367" spans="1:30">
      <c r="A1367" s="102">
        <f t="shared" si="22"/>
        <v>1366</v>
      </c>
      <c r="B1367" s="257">
        <f>YEAR(Table6[[#This Row],[Date]])+IF(MONTH(Table6[[#This Row],[Date]])&gt;=4,1,0)</f>
        <v>2026</v>
      </c>
      <c r="C1367" s="102">
        <f>YEAR(Table6[[#This Row],[Date]])</f>
        <v>2025</v>
      </c>
      <c r="D1367" s="102" t="s">
        <v>265</v>
      </c>
      <c r="E1367" s="258">
        <f>Table6[[#This Row],[Date]]-DAY(Table6[[#This Row],[Date]])+1</f>
        <v>45809</v>
      </c>
      <c r="F1367" s="259">
        <v>45836</v>
      </c>
      <c r="G1367" s="35" t="s">
        <v>136</v>
      </c>
      <c r="H1367" s="35" t="str">
        <f>IFERROR(_xlfn.XLOOKUP(Table6[[#This Row],[Affected WTG]],'Basic Data'!$A:$A,'Basic Data'!$B:$B),"")</f>
        <v>TQGXIIPL</v>
      </c>
      <c r="I1367" s="35" t="str">
        <f>IFERROR(_xlfn.XLOOKUP(Table6[[#This Row],[Affected WTG]],'Basic Data'!$A:$A,'Basic Data'!$C:$C),"")</f>
        <v>GEDA</v>
      </c>
      <c r="J1367" s="260">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278</v>
      </c>
      <c r="N1367" s="264"/>
      <c r="O1367" s="265">
        <v>0.60833333333333328</v>
      </c>
      <c r="P1367" s="265">
        <v>0.60833333333333328</v>
      </c>
      <c r="Q1367" s="266">
        <v>0.60902777777777772</v>
      </c>
      <c r="R1367" s="261">
        <f>IF(Table6[[#This Row],[Work Start TimeStamp]]="","",(Table6[[#This Row],[Work Start TimeStamp]]-Table6[[#This Row],[Fault Start TimeStamp]])*24)</f>
        <v>0</v>
      </c>
      <c r="S1367" s="261">
        <f>(Table6[[#This Row],[Fault Clearance time]]-Table6[[#This Row],[Work Start TimeStamp]])*24</f>
        <v>1.6666666666666607E-2</v>
      </c>
      <c r="T1367" s="261">
        <f>(Table6[[#This Row],[Fault Clearance time]]-Table6[[#This Row],[Fault Start TimeStamp]])*24</f>
        <v>1.6666666666666607E-2</v>
      </c>
      <c r="U1367" s="35" t="s">
        <v>277</v>
      </c>
      <c r="V1367" s="102" t="s">
        <v>268</v>
      </c>
      <c r="W1367" s="267">
        <f>IFERROR(Table6[[#This Row],[Breakdown Time]]*Table6[[#This Row],[Plant Equivalent Weightage]],"")</f>
        <v>6.4102564102563853E-4</v>
      </c>
      <c r="X1367" s="262" t="s">
        <v>269</v>
      </c>
      <c r="Y1367" s="263" t="s">
        <v>120</v>
      </c>
      <c r="Z1367" s="102">
        <v>58092</v>
      </c>
      <c r="AA1367" s="257">
        <f>(Table6[[#This Row],[Paired WTG Generation for loss calculation]]/24)*Table6[[#This Row],[Breakdown Time]]</f>
        <v>40.341666666666526</v>
      </c>
      <c r="AB1367" s="102"/>
      <c r="AC1367" s="35"/>
      <c r="AD1367" s="35"/>
    </row>
    <row r="1368" spans="1:30">
      <c r="A1368" s="102">
        <f t="shared" si="22"/>
        <v>1367</v>
      </c>
      <c r="B1368" s="257">
        <f>YEAR(Table6[[#This Row],[Date]])+IF(MONTH(Table6[[#This Row],[Date]])&gt;=4,1,0)</f>
        <v>2026</v>
      </c>
      <c r="C1368" s="102">
        <f>YEAR(Table6[[#This Row],[Date]])</f>
        <v>2025</v>
      </c>
      <c r="D1368" s="102" t="s">
        <v>265</v>
      </c>
      <c r="E1368" s="258">
        <f>Table6[[#This Row],[Date]]-DAY(Table6[[#This Row],[Date]])+1</f>
        <v>45809</v>
      </c>
      <c r="F1368" s="259">
        <v>45836</v>
      </c>
      <c r="G1368" s="35" t="s">
        <v>137</v>
      </c>
      <c r="H1368" s="35" t="str">
        <f>IFERROR(_xlfn.XLOOKUP(Table6[[#This Row],[Affected WTG]],'Basic Data'!$A:$A,'Basic Data'!$B:$B),"")</f>
        <v>TQGXIIPL</v>
      </c>
      <c r="I1368" s="35" t="str">
        <f>IFERROR(_xlfn.XLOOKUP(Table6[[#This Row],[Affected WTG]],'Basic Data'!$A:$A,'Basic Data'!$C:$C),"")</f>
        <v>GEDA</v>
      </c>
      <c r="J1368" s="260">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278</v>
      </c>
      <c r="N1368" s="264"/>
      <c r="O1368" s="265">
        <v>0.66874999999999996</v>
      </c>
      <c r="P1368" s="265">
        <v>0.66874999999999996</v>
      </c>
      <c r="Q1368" s="266">
        <v>0.67291666666666672</v>
      </c>
      <c r="R1368" s="261">
        <f>IF(Table6[[#This Row],[Work Start TimeStamp]]="","",(Table6[[#This Row],[Work Start TimeStamp]]-Table6[[#This Row],[Fault Start TimeStamp]])*24)</f>
        <v>0</v>
      </c>
      <c r="S1368" s="261">
        <f>(Table6[[#This Row],[Fault Clearance time]]-Table6[[#This Row],[Work Start TimeStamp]])*24</f>
        <v>0.10000000000000231</v>
      </c>
      <c r="T1368" s="261">
        <f>(Table6[[#This Row],[Fault Clearance time]]-Table6[[#This Row],[Fault Start TimeStamp]])*24</f>
        <v>0.10000000000000231</v>
      </c>
      <c r="U1368" s="35" t="s">
        <v>277</v>
      </c>
      <c r="V1368" s="102" t="s">
        <v>268</v>
      </c>
      <c r="W1368" s="267">
        <f>IFERROR(Table6[[#This Row],[Breakdown Time]]*Table6[[#This Row],[Plant Equivalent Weightage]],"")</f>
        <v>3.846153846153934E-3</v>
      </c>
      <c r="X1368" s="262" t="s">
        <v>269</v>
      </c>
      <c r="Y1368" s="263" t="s">
        <v>125</v>
      </c>
      <c r="Z1368" s="102">
        <v>56457</v>
      </c>
      <c r="AA1368" s="257">
        <f>(Table6[[#This Row],[Paired WTG Generation for loss calculation]]/24)*Table6[[#This Row],[Breakdown Time]]</f>
        <v>235.23750000000544</v>
      </c>
      <c r="AB1368" s="102"/>
      <c r="AC1368" s="35"/>
      <c r="AD1368" s="35"/>
    </row>
    <row r="1369" spans="1:30">
      <c r="A1369" s="102">
        <f t="shared" si="22"/>
        <v>1368</v>
      </c>
      <c r="B1369" s="257">
        <f>YEAR(Table6[[#This Row],[Date]])+IF(MONTH(Table6[[#This Row],[Date]])&gt;=4,1,0)</f>
        <v>2026</v>
      </c>
      <c r="C1369" s="102">
        <f>YEAR(Table6[[#This Row],[Date]])</f>
        <v>2025</v>
      </c>
      <c r="D1369" s="102" t="s">
        <v>265</v>
      </c>
      <c r="E1369" s="258">
        <f>Table6[[#This Row],[Date]]-DAY(Table6[[#This Row],[Date]])+1</f>
        <v>45809</v>
      </c>
      <c r="F1369" s="259">
        <v>45836</v>
      </c>
      <c r="G1369" s="35" t="s">
        <v>137</v>
      </c>
      <c r="H1369" s="35" t="str">
        <f>IFERROR(_xlfn.XLOOKUP(Table6[[#This Row],[Affected WTG]],'Basic Data'!$A:$A,'Basic Data'!$B:$B),"")</f>
        <v>TQGXIIPL</v>
      </c>
      <c r="I1369" s="35" t="str">
        <f>IFERROR(_xlfn.XLOOKUP(Table6[[#This Row],[Affected WTG]],'Basic Data'!$A:$A,'Basic Data'!$C:$C),"")</f>
        <v>GEDA</v>
      </c>
      <c r="J1369" s="260">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266</v>
      </c>
      <c r="N1369" s="264"/>
      <c r="O1369" s="265">
        <v>0.83333333333333337</v>
      </c>
      <c r="P1369" s="265">
        <v>0.83333333333333337</v>
      </c>
      <c r="Q1369" s="266">
        <v>0.84097222222222223</v>
      </c>
      <c r="R1369" s="261">
        <f>IF(Table6[[#This Row],[Work Start TimeStamp]]="","",(Table6[[#This Row],[Work Start TimeStamp]]-Table6[[#This Row],[Fault Start TimeStamp]])*24)</f>
        <v>0</v>
      </c>
      <c r="S1369" s="261">
        <f>(Table6[[#This Row],[Fault Clearance time]]-Table6[[#This Row],[Work Start TimeStamp]])*24</f>
        <v>0.18333333333333268</v>
      </c>
      <c r="T1369" s="261">
        <f>(Table6[[#This Row],[Fault Clearance time]]-Table6[[#This Row],[Fault Start TimeStamp]])*24</f>
        <v>0.18333333333333268</v>
      </c>
      <c r="U1369" s="35" t="s">
        <v>483</v>
      </c>
      <c r="V1369" s="102" t="s">
        <v>268</v>
      </c>
      <c r="W1369" s="267">
        <f>IFERROR(Table6[[#This Row],[Breakdown Time]]*Table6[[#This Row],[Plant Equivalent Weightage]],"")</f>
        <v>7.0512820512820245E-3</v>
      </c>
      <c r="X1369" s="262" t="s">
        <v>296</v>
      </c>
      <c r="Y1369" s="263" t="s">
        <v>125</v>
      </c>
      <c r="Z1369" s="102">
        <v>56457</v>
      </c>
      <c r="AA1369" s="257">
        <f>(Table6[[#This Row],[Paired WTG Generation for loss calculation]]/24)*Table6[[#This Row],[Breakdown Time]]</f>
        <v>431.26874999999848</v>
      </c>
      <c r="AB1369" s="102"/>
      <c r="AC1369" s="35"/>
      <c r="AD1369" s="35"/>
    </row>
    <row r="1370" spans="1:30">
      <c r="A1370" s="102">
        <f t="shared" si="22"/>
        <v>1369</v>
      </c>
      <c r="B1370" s="257">
        <f>YEAR(Table6[[#This Row],[Date]])+IF(MONTH(Table6[[#This Row],[Date]])&gt;=4,1,0)</f>
        <v>2026</v>
      </c>
      <c r="C1370" s="102">
        <f>YEAR(Table6[[#This Row],[Date]])</f>
        <v>2025</v>
      </c>
      <c r="D1370" s="102" t="s">
        <v>265</v>
      </c>
      <c r="E1370" s="258">
        <f>Table6[[#This Row],[Date]]-DAY(Table6[[#This Row],[Date]])+1</f>
        <v>45809</v>
      </c>
      <c r="F1370" s="259">
        <v>45836</v>
      </c>
      <c r="G1370" s="35" t="s">
        <v>138</v>
      </c>
      <c r="H1370" s="35" t="str">
        <f>IFERROR(_xlfn.XLOOKUP(Table6[[#This Row],[Affected WTG]],'Basic Data'!$A:$A,'Basic Data'!$B:$B),"")</f>
        <v>TQGXIIPL</v>
      </c>
      <c r="I1370" s="35" t="str">
        <f>IFERROR(_xlfn.XLOOKUP(Table6[[#This Row],[Affected WTG]],'Basic Data'!$A:$A,'Basic Data'!$C:$C),"")</f>
        <v>GEDA</v>
      </c>
      <c r="J1370" s="260">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278</v>
      </c>
      <c r="N1370" s="264"/>
      <c r="O1370" s="265">
        <v>0.58680555555555558</v>
      </c>
      <c r="P1370" s="265">
        <v>0.58680555555555558</v>
      </c>
      <c r="Q1370" s="266">
        <v>0.59236111111111112</v>
      </c>
      <c r="R1370" s="261">
        <f>IF(Table6[[#This Row],[Work Start TimeStamp]]="","",(Table6[[#This Row],[Work Start TimeStamp]]-Table6[[#This Row],[Fault Start TimeStamp]])*24)</f>
        <v>0</v>
      </c>
      <c r="S1370" s="261">
        <f>(Table6[[#This Row],[Fault Clearance time]]-Table6[[#This Row],[Work Start TimeStamp]])*24</f>
        <v>0.13333333333333286</v>
      </c>
      <c r="T1370" s="261">
        <f>(Table6[[#This Row],[Fault Clearance time]]-Table6[[#This Row],[Fault Start TimeStamp]])*24</f>
        <v>0.13333333333333286</v>
      </c>
      <c r="U1370" s="35" t="s">
        <v>277</v>
      </c>
      <c r="V1370" s="102" t="s">
        <v>268</v>
      </c>
      <c r="W1370" s="267">
        <f>IFERROR(Table6[[#This Row],[Breakdown Time]]*Table6[[#This Row],[Plant Equivalent Weightage]],"")</f>
        <v>5.1282051282051083E-3</v>
      </c>
      <c r="X1370" s="262" t="s">
        <v>269</v>
      </c>
      <c r="Y1370" s="263" t="s">
        <v>134</v>
      </c>
      <c r="Z1370" s="102">
        <v>52311</v>
      </c>
      <c r="AA1370" s="257">
        <f>(Table6[[#This Row],[Paired WTG Generation for loss calculation]]/24)*Table6[[#This Row],[Breakdown Time]]</f>
        <v>290.61666666666565</v>
      </c>
      <c r="AB1370" s="102"/>
      <c r="AC1370" s="35"/>
      <c r="AD1370" s="35"/>
    </row>
    <row r="1371" spans="1:30">
      <c r="A1371" s="102">
        <f t="shared" si="22"/>
        <v>1370</v>
      </c>
      <c r="B1371" s="257">
        <f>YEAR(Table6[[#This Row],[Date]])+IF(MONTH(Table6[[#This Row],[Date]])&gt;=4,1,0)</f>
        <v>2026</v>
      </c>
      <c r="C1371" s="102">
        <f>YEAR(Table6[[#This Row],[Date]])</f>
        <v>2025</v>
      </c>
      <c r="D1371" s="102" t="s">
        <v>265</v>
      </c>
      <c r="E1371" s="258">
        <f>Table6[[#This Row],[Date]]-DAY(Table6[[#This Row],[Date]])+1</f>
        <v>45809</v>
      </c>
      <c r="F1371" s="259">
        <v>45836</v>
      </c>
      <c r="G1371" s="35" t="s">
        <v>118</v>
      </c>
      <c r="H1371" s="35" t="str">
        <f>IFERROR(_xlfn.XLOOKUP(Table6[[#This Row],[Affected WTG]],'Basic Data'!$A:$A,'Basic Data'!$B:$B),"")</f>
        <v>TQGXIIPL</v>
      </c>
      <c r="I1371" s="35" t="str">
        <f>IFERROR(_xlfn.XLOOKUP(Table6[[#This Row],[Affected WTG]],'Basic Data'!$A:$A,'Basic Data'!$C:$C),"")</f>
        <v>GEDA</v>
      </c>
      <c r="J1371" s="260">
        <f>IFERROR(_xlfn.XLOOKUP(Table6[[#This Row],[Affected WTG]],'Basic Data'!$A:$A,'Basic Data'!$E:$E),"")</f>
        <v>3.846153846153845E-2</v>
      </c>
      <c r="K1371" s="102">
        <v>6130</v>
      </c>
      <c r="L1371" s="35" t="str">
        <f>IFERROR(_xlfn.XLOOKUP(Table6[[#This Row],[Error Code]],'Basic Data'!$AA:$AA,'Basic Data'!$AB:$AB),"Incorrect Error Code")</f>
        <v>Yaw speed high</v>
      </c>
      <c r="M1371" s="35" t="s">
        <v>278</v>
      </c>
      <c r="N1371" s="264"/>
      <c r="O1371" s="265">
        <v>0.96527777777777779</v>
      </c>
      <c r="P1371" s="265">
        <v>0.96527777777777779</v>
      </c>
      <c r="Q1371" s="266">
        <v>0.96597222222222223</v>
      </c>
      <c r="R1371" s="261">
        <f>IF(Table6[[#This Row],[Work Start TimeStamp]]="","",(Table6[[#This Row],[Work Start TimeStamp]]-Table6[[#This Row],[Fault Start TimeStamp]])*24)</f>
        <v>0</v>
      </c>
      <c r="S1371" s="261">
        <f>(Table6[[#This Row],[Fault Clearance time]]-Table6[[#This Row],[Work Start TimeStamp]])*24</f>
        <v>1.6666666666666607E-2</v>
      </c>
      <c r="T1371" s="261">
        <f>(Table6[[#This Row],[Fault Clearance time]]-Table6[[#This Row],[Fault Start TimeStamp]])*24</f>
        <v>1.6666666666666607E-2</v>
      </c>
      <c r="U1371" s="35" t="s">
        <v>277</v>
      </c>
      <c r="V1371" s="102" t="s">
        <v>268</v>
      </c>
      <c r="W1371" s="267">
        <f>IFERROR(Table6[[#This Row],[Breakdown Time]]*Table6[[#This Row],[Plant Equivalent Weightage]],"")</f>
        <v>6.4102564102563853E-4</v>
      </c>
      <c r="X1371" s="262" t="s">
        <v>269</v>
      </c>
      <c r="Y1371" s="263" t="s">
        <v>121</v>
      </c>
      <c r="Z1371" s="102">
        <v>53572</v>
      </c>
      <c r="AA1371" s="257">
        <f>(Table6[[#This Row],[Paired WTG Generation for loss calculation]]/24)*Table6[[#This Row],[Breakdown Time]]</f>
        <v>37.202777777777641</v>
      </c>
      <c r="AB1371" s="102"/>
      <c r="AC1371" s="35"/>
      <c r="AD1371" s="35"/>
    </row>
    <row r="1372" spans="1:30">
      <c r="A1372" s="102">
        <f t="shared" si="22"/>
        <v>1371</v>
      </c>
      <c r="B1372" s="257">
        <f>YEAR(Table6[[#This Row],[Date]])+IF(MONTH(Table6[[#This Row],[Date]])&gt;=4,1,0)</f>
        <v>2026</v>
      </c>
      <c r="C1372" s="102">
        <f>YEAR(Table6[[#This Row],[Date]])</f>
        <v>2025</v>
      </c>
      <c r="D1372" s="102" t="s">
        <v>265</v>
      </c>
      <c r="E1372" s="258">
        <f>Table6[[#This Row],[Date]]-DAY(Table6[[#This Row],[Date]])+1</f>
        <v>45809</v>
      </c>
      <c r="F1372" s="259">
        <v>45836</v>
      </c>
      <c r="G1372" s="35" t="s">
        <v>122</v>
      </c>
      <c r="H1372" s="35" t="str">
        <f>IFERROR(_xlfn.XLOOKUP(Table6[[#This Row],[Affected WTG]],'Basic Data'!$A:$A,'Basic Data'!$B:$B),"")</f>
        <v>TQGXIIPL</v>
      </c>
      <c r="I1372" s="35" t="str">
        <f>IFERROR(_xlfn.XLOOKUP(Table6[[#This Row],[Affected WTG]],'Basic Data'!$A:$A,'Basic Data'!$C:$C),"")</f>
        <v>GEDA</v>
      </c>
      <c r="J1372" s="260">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266</v>
      </c>
      <c r="N1372" s="264"/>
      <c r="O1372" s="265">
        <v>0.98750000000000004</v>
      </c>
      <c r="P1372" s="265">
        <v>0.98750000000000004</v>
      </c>
      <c r="Q1372" s="266">
        <v>0.99097222222222225</v>
      </c>
      <c r="R1372" s="261">
        <f>IF(Table6[[#This Row],[Work Start TimeStamp]]="","",(Table6[[#This Row],[Work Start TimeStamp]]-Table6[[#This Row],[Fault Start TimeStamp]])*24)</f>
        <v>0</v>
      </c>
      <c r="S1372" s="261">
        <f>(Table6[[#This Row],[Fault Clearance time]]-Table6[[#This Row],[Work Start TimeStamp]])*24</f>
        <v>8.3333333333333037E-2</v>
      </c>
      <c r="T1372" s="261">
        <f>(Table6[[#This Row],[Fault Clearance time]]-Table6[[#This Row],[Fault Start TimeStamp]])*24</f>
        <v>8.3333333333333037E-2</v>
      </c>
      <c r="U1372" s="35" t="s">
        <v>483</v>
      </c>
      <c r="V1372" s="102" t="s">
        <v>268</v>
      </c>
      <c r="W1372" s="267">
        <f>IFERROR(Table6[[#This Row],[Breakdown Time]]*Table6[[#This Row],[Plant Equivalent Weightage]],"")</f>
        <v>3.2051282051281929E-3</v>
      </c>
      <c r="X1372" s="262" t="s">
        <v>296</v>
      </c>
      <c r="Y1372" s="263" t="s">
        <v>140</v>
      </c>
      <c r="Z1372" s="102">
        <v>55344</v>
      </c>
      <c r="AA1372" s="257">
        <f>(Table6[[#This Row],[Paired WTG Generation for loss calculation]]/24)*Table6[[#This Row],[Breakdown Time]]</f>
        <v>192.16666666666598</v>
      </c>
      <c r="AB1372" s="102"/>
      <c r="AC1372" s="35"/>
      <c r="AD1372" s="35"/>
    </row>
    <row r="1373" spans="1:30">
      <c r="A1373" s="102">
        <f t="shared" si="22"/>
        <v>1372</v>
      </c>
      <c r="B1373" s="257">
        <f>YEAR(Table6[[#This Row],[Date]])+IF(MONTH(Table6[[#This Row],[Date]])&gt;=4,1,0)</f>
        <v>2026</v>
      </c>
      <c r="C1373" s="102">
        <f>YEAR(Table6[[#This Row],[Date]])</f>
        <v>2025</v>
      </c>
      <c r="D1373" s="102" t="s">
        <v>265</v>
      </c>
      <c r="E1373" s="258">
        <f>Table6[[#This Row],[Date]]-DAY(Table6[[#This Row],[Date]])+1</f>
        <v>45809</v>
      </c>
      <c r="F1373" s="259">
        <v>45836</v>
      </c>
      <c r="G1373" s="35" t="s">
        <v>131</v>
      </c>
      <c r="H1373" s="35" t="str">
        <f>IFERROR(_xlfn.XLOOKUP(Table6[[#This Row],[Affected WTG]],'Basic Data'!$A:$A,'Basic Data'!$B:$B),"")</f>
        <v>TQGXIIPL</v>
      </c>
      <c r="I1373" s="35" t="str">
        <f>IFERROR(_xlfn.XLOOKUP(Table6[[#This Row],[Affected WTG]],'Basic Data'!$A:$A,'Basic Data'!$C:$C),"")</f>
        <v>GEDA</v>
      </c>
      <c r="J1373" s="260">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266</v>
      </c>
      <c r="N1373" s="264"/>
      <c r="O1373" s="265">
        <v>0.98750000000000004</v>
      </c>
      <c r="P1373" s="265">
        <v>0.98750000000000004</v>
      </c>
      <c r="Q1373" s="266">
        <v>0.9916666666666667</v>
      </c>
      <c r="R1373" s="261">
        <f>IF(Table6[[#This Row],[Work Start TimeStamp]]="","",(Table6[[#This Row],[Work Start TimeStamp]]-Table6[[#This Row],[Fault Start TimeStamp]])*24)</f>
        <v>0</v>
      </c>
      <c r="S1373" s="261">
        <f>(Table6[[#This Row],[Fault Clearance time]]-Table6[[#This Row],[Work Start TimeStamp]])*24</f>
        <v>9.9999999999999645E-2</v>
      </c>
      <c r="T1373" s="261">
        <f>(Table6[[#This Row],[Fault Clearance time]]-Table6[[#This Row],[Fault Start TimeStamp]])*24</f>
        <v>9.9999999999999645E-2</v>
      </c>
      <c r="U1373" s="35" t="s">
        <v>483</v>
      </c>
      <c r="V1373" s="102" t="s">
        <v>268</v>
      </c>
      <c r="W1373" s="267">
        <f>IFERROR(Table6[[#This Row],[Breakdown Time]]*Table6[[#This Row],[Plant Equivalent Weightage]],"")</f>
        <v>3.8461538461538312E-3</v>
      </c>
      <c r="X1373" s="262" t="s">
        <v>296</v>
      </c>
      <c r="Y1373" s="263" t="s">
        <v>136</v>
      </c>
      <c r="Z1373" s="102">
        <v>58011</v>
      </c>
      <c r="AA1373" s="257">
        <f>(Table6[[#This Row],[Paired WTG Generation for loss calculation]]/24)*Table6[[#This Row],[Breakdown Time]]</f>
        <v>241.71249999999915</v>
      </c>
      <c r="AB1373" s="102"/>
      <c r="AC1373" s="35"/>
      <c r="AD1373" s="35"/>
    </row>
    <row r="1374" spans="1:30">
      <c r="A1374" s="102">
        <f t="shared" si="22"/>
        <v>1373</v>
      </c>
      <c r="B1374" s="257">
        <f>YEAR(Table6[[#This Row],[Date]])+IF(MONTH(Table6[[#This Row],[Date]])&gt;=4,1,0)</f>
        <v>2026</v>
      </c>
      <c r="C1374" s="102">
        <f>YEAR(Table6[[#This Row],[Date]])</f>
        <v>2025</v>
      </c>
      <c r="D1374" s="102" t="s">
        <v>265</v>
      </c>
      <c r="E1374" s="258">
        <f>Table6[[#This Row],[Date]]-DAY(Table6[[#This Row],[Date]])+1</f>
        <v>45809</v>
      </c>
      <c r="F1374" s="259">
        <v>45837</v>
      </c>
      <c r="G1374" s="35" t="s">
        <v>115</v>
      </c>
      <c r="H1374" s="35" t="str">
        <f>IFERROR(_xlfn.XLOOKUP(Table6[[#This Row],[Affected WTG]],'Basic Data'!$A:$A,'Basic Data'!$B:$B),"")</f>
        <v>TQGXIIPL</v>
      </c>
      <c r="I1374" s="35" t="str">
        <f>IFERROR(_xlfn.XLOOKUP(Table6[[#This Row],[Affected WTG]],'Basic Data'!$A:$A,'Basic Data'!$C:$C),"")</f>
        <v>GEDA</v>
      </c>
      <c r="J1374" s="260">
        <f>IFERROR(_xlfn.XLOOKUP(Table6[[#This Row],[Affected WTG]],'Basic Data'!$A:$A,'Basic Data'!$E:$E),"")</f>
        <v>3.846153846153845E-2</v>
      </c>
      <c r="K1374" s="102">
        <v>6130</v>
      </c>
      <c r="L1374" s="35" t="str">
        <f>IFERROR(_xlfn.XLOOKUP(Table6[[#This Row],[Error Code]],'Basic Data'!$AA:$AA,'Basic Data'!$AB:$AB),"Incorrect Error Code")</f>
        <v>Yaw speed high</v>
      </c>
      <c r="M1374" s="35" t="s">
        <v>266</v>
      </c>
      <c r="N1374" s="264"/>
      <c r="O1374" s="265">
        <v>0.42708333333333331</v>
      </c>
      <c r="P1374" s="265">
        <v>0.42708333333333331</v>
      </c>
      <c r="Q1374" s="266">
        <v>0.43125000000000002</v>
      </c>
      <c r="R1374" s="261">
        <f>IF(Table6[[#This Row],[Work Start TimeStamp]]="","",(Table6[[#This Row],[Work Start TimeStamp]]-Table6[[#This Row],[Fault Start TimeStamp]])*24)</f>
        <v>0</v>
      </c>
      <c r="S1374" s="261">
        <f>(Table6[[#This Row],[Fault Clearance time]]-Table6[[#This Row],[Work Start TimeStamp]])*24</f>
        <v>0.10000000000000098</v>
      </c>
      <c r="T1374" s="261">
        <f>(Table6[[#This Row],[Fault Clearance time]]-Table6[[#This Row],[Fault Start TimeStamp]])*24</f>
        <v>0.10000000000000098</v>
      </c>
      <c r="U1374" s="35" t="s">
        <v>277</v>
      </c>
      <c r="V1374" s="102" t="s">
        <v>268</v>
      </c>
      <c r="W1374" s="267">
        <f>IFERROR(Table6[[#This Row],[Breakdown Time]]*Table6[[#This Row],[Plant Equivalent Weightage]],"")</f>
        <v>3.8461538461538824E-3</v>
      </c>
      <c r="X1374" s="262" t="s">
        <v>269</v>
      </c>
      <c r="Y1374" s="263" t="s">
        <v>140</v>
      </c>
      <c r="Z1374" s="102">
        <v>55208</v>
      </c>
      <c r="AA1374" s="257">
        <f>(Table6[[#This Row],[Paired WTG Generation for loss calculation]]/24)*Table6[[#This Row],[Breakdown Time]]</f>
        <v>230.03333333333561</v>
      </c>
      <c r="AB1374" s="102"/>
      <c r="AC1374" s="35"/>
      <c r="AD1374" s="35"/>
    </row>
    <row r="1375" spans="1:30">
      <c r="A1375" s="102">
        <f t="shared" si="22"/>
        <v>1374</v>
      </c>
      <c r="B1375" s="257">
        <f>YEAR(Table6[[#This Row],[Date]])+IF(MONTH(Table6[[#This Row],[Date]])&gt;=4,1,0)</f>
        <v>2026</v>
      </c>
      <c r="C1375" s="102">
        <f>YEAR(Table6[[#This Row],[Date]])</f>
        <v>2025</v>
      </c>
      <c r="D1375" s="102" t="s">
        <v>265</v>
      </c>
      <c r="E1375" s="258">
        <f>Table6[[#This Row],[Date]]-DAY(Table6[[#This Row],[Date]])+1</f>
        <v>45809</v>
      </c>
      <c r="F1375" s="259">
        <v>45837</v>
      </c>
      <c r="G1375" s="35" t="s">
        <v>117</v>
      </c>
      <c r="H1375" s="35" t="str">
        <f>IFERROR(_xlfn.XLOOKUP(Table6[[#This Row],[Affected WTG]],'Basic Data'!$A:$A,'Basic Data'!$B:$B),"")</f>
        <v>TQGXIIPL</v>
      </c>
      <c r="I1375" s="35" t="str">
        <f>IFERROR(_xlfn.XLOOKUP(Table6[[#This Row],[Affected WTG]],'Basic Data'!$A:$A,'Basic Data'!$C:$C),"")</f>
        <v>GEDA</v>
      </c>
      <c r="J1375" s="260">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266</v>
      </c>
      <c r="N1375" s="264"/>
      <c r="O1375" s="265">
        <v>0.12222222222222222</v>
      </c>
      <c r="P1375" s="265">
        <v>0.12222222222222222</v>
      </c>
      <c r="Q1375" s="266">
        <v>0.125</v>
      </c>
      <c r="R1375" s="261">
        <f>IF(Table6[[#This Row],[Work Start TimeStamp]]="","",(Table6[[#This Row],[Work Start TimeStamp]]-Table6[[#This Row],[Fault Start TimeStamp]])*24)</f>
        <v>0</v>
      </c>
      <c r="S1375" s="261">
        <f>(Table6[[#This Row],[Fault Clearance time]]-Table6[[#This Row],[Work Start TimeStamp]])*24</f>
        <v>6.6666666666666763E-2</v>
      </c>
      <c r="T1375" s="261">
        <f>(Table6[[#This Row],[Fault Clearance time]]-Table6[[#This Row],[Fault Start TimeStamp]])*24</f>
        <v>6.6666666666666763E-2</v>
      </c>
      <c r="U1375" s="35" t="s">
        <v>277</v>
      </c>
      <c r="V1375" s="102" t="s">
        <v>268</v>
      </c>
      <c r="W1375" s="267">
        <f>IFERROR(Table6[[#This Row],[Breakdown Time]]*Table6[[#This Row],[Plant Equivalent Weightage]],"")</f>
        <v>2.5641025641025671E-3</v>
      </c>
      <c r="X1375" s="262" t="s">
        <v>269</v>
      </c>
      <c r="Y1375" s="263" t="s">
        <v>123</v>
      </c>
      <c r="Z1375" s="102">
        <v>45425</v>
      </c>
      <c r="AA1375" s="257">
        <f>(Table6[[#This Row],[Paired WTG Generation for loss calculation]]/24)*Table6[[#This Row],[Breakdown Time]]</f>
        <v>126.18055555555573</v>
      </c>
      <c r="AB1375" s="102"/>
      <c r="AC1375" s="35"/>
      <c r="AD1375" s="35"/>
    </row>
    <row r="1376" spans="1:30">
      <c r="A1376" s="102">
        <f t="shared" si="22"/>
        <v>1375</v>
      </c>
      <c r="B1376" s="257">
        <f>YEAR(Table6[[#This Row],[Date]])+IF(MONTH(Table6[[#This Row],[Date]])&gt;=4,1,0)</f>
        <v>2026</v>
      </c>
      <c r="C1376" s="102">
        <f>YEAR(Table6[[#This Row],[Date]])</f>
        <v>2025</v>
      </c>
      <c r="D1376" s="102" t="s">
        <v>265</v>
      </c>
      <c r="E1376" s="258">
        <f>Table6[[#This Row],[Date]]-DAY(Table6[[#This Row],[Date]])+1</f>
        <v>45809</v>
      </c>
      <c r="F1376" s="259">
        <v>45837</v>
      </c>
      <c r="G1376" s="35" t="s">
        <v>119</v>
      </c>
      <c r="H1376" s="35" t="str">
        <f>IFERROR(_xlfn.XLOOKUP(Table6[[#This Row],[Affected WTG]],'Basic Data'!$A:$A,'Basic Data'!$B:$B),"")</f>
        <v>TQGXIIPL</v>
      </c>
      <c r="I1376" s="35" t="str">
        <f>IFERROR(_xlfn.XLOOKUP(Table6[[#This Row],[Affected WTG]],'Basic Data'!$A:$A,'Basic Data'!$C:$C),"")</f>
        <v>GEDA</v>
      </c>
      <c r="J1376" s="260">
        <f>IFERROR(_xlfn.XLOOKUP(Table6[[#This Row],[Affected WTG]],'Basic Data'!$A:$A,'Basic Data'!$E:$E),"")</f>
        <v>3.846153846153845E-2</v>
      </c>
      <c r="K1376" s="102">
        <v>3211</v>
      </c>
      <c r="L1376" s="35" t="str">
        <f>IFERROR(_xlfn.XLOOKUP(Table6[[#This Row],[Error Code]],'Basic Data'!$AA:$AA,'Basic Data'!$AB:$AB),"Incorrect Error Code")</f>
        <v>Conv. load shedding (CAN)</v>
      </c>
      <c r="M1376" s="35" t="s">
        <v>266</v>
      </c>
      <c r="N1376" s="264"/>
      <c r="O1376" s="265">
        <v>2.2916666666666665E-2</v>
      </c>
      <c r="P1376" s="265">
        <v>2.2916666666666665E-2</v>
      </c>
      <c r="Q1376" s="266">
        <v>2.4305555555555556E-2</v>
      </c>
      <c r="R1376" s="261">
        <f>IF(Table6[[#This Row],[Work Start TimeStamp]]="","",(Table6[[#This Row],[Work Start TimeStamp]]-Table6[[#This Row],[Fault Start TimeStamp]])*24)</f>
        <v>0</v>
      </c>
      <c r="S1376" s="261">
        <f>(Table6[[#This Row],[Fault Clearance time]]-Table6[[#This Row],[Work Start TimeStamp]])*24</f>
        <v>3.3333333333333381E-2</v>
      </c>
      <c r="T1376" s="261">
        <f>(Table6[[#This Row],[Fault Clearance time]]-Table6[[#This Row],[Fault Start TimeStamp]])*24</f>
        <v>3.3333333333333381E-2</v>
      </c>
      <c r="U1376" s="35" t="s">
        <v>483</v>
      </c>
      <c r="V1376" s="102" t="s">
        <v>268</v>
      </c>
      <c r="W1376" s="267">
        <f>IFERROR(Table6[[#This Row],[Breakdown Time]]*Table6[[#This Row],[Plant Equivalent Weightage]],"")</f>
        <v>1.2820512820512836E-3</v>
      </c>
      <c r="X1376" s="262" t="s">
        <v>296</v>
      </c>
      <c r="Y1376" s="263" t="s">
        <v>116</v>
      </c>
      <c r="Z1376" s="102">
        <v>56261</v>
      </c>
      <c r="AA1376" s="257">
        <f>(Table6[[#This Row],[Paired WTG Generation for loss calculation]]/24)*Table6[[#This Row],[Breakdown Time]]</f>
        <v>78.140277777777897</v>
      </c>
      <c r="AB1376" s="102"/>
      <c r="AC1376" s="35"/>
      <c r="AD1376" s="35"/>
    </row>
    <row r="1377" spans="1:30">
      <c r="A1377" s="102">
        <f t="shared" si="22"/>
        <v>1376</v>
      </c>
      <c r="B1377" s="257">
        <f>YEAR(Table6[[#This Row],[Date]])+IF(MONTH(Table6[[#This Row],[Date]])&gt;=4,1,0)</f>
        <v>2026</v>
      </c>
      <c r="C1377" s="102">
        <f>YEAR(Table6[[#This Row],[Date]])</f>
        <v>2025</v>
      </c>
      <c r="D1377" s="102" t="s">
        <v>265</v>
      </c>
      <c r="E1377" s="258">
        <f>Table6[[#This Row],[Date]]-DAY(Table6[[#This Row],[Date]])+1</f>
        <v>45809</v>
      </c>
      <c r="F1377" s="259">
        <v>45837</v>
      </c>
      <c r="G1377" s="35" t="s">
        <v>119</v>
      </c>
      <c r="H1377" s="35" t="str">
        <f>IFERROR(_xlfn.XLOOKUP(Table6[[#This Row],[Affected WTG]],'Basic Data'!$A:$A,'Basic Data'!$B:$B),"")</f>
        <v>TQGXIIPL</v>
      </c>
      <c r="I1377" s="35" t="str">
        <f>IFERROR(_xlfn.XLOOKUP(Table6[[#This Row],[Affected WTG]],'Basic Data'!$A:$A,'Basic Data'!$C:$C),"")</f>
        <v>GEDA</v>
      </c>
      <c r="J1377" s="260">
        <f>IFERROR(_xlfn.XLOOKUP(Table6[[#This Row],[Affected WTG]],'Basic Data'!$A:$A,'Basic Data'!$E:$E),"")</f>
        <v>3.846153846153845E-2</v>
      </c>
      <c r="K1377" s="102">
        <v>3211</v>
      </c>
      <c r="L1377" s="35" t="str">
        <f>IFERROR(_xlfn.XLOOKUP(Table6[[#This Row],[Error Code]],'Basic Data'!$AA:$AA,'Basic Data'!$AB:$AB),"Incorrect Error Code")</f>
        <v>Conv. load shedding (CAN)</v>
      </c>
      <c r="M1377" s="35" t="s">
        <v>266</v>
      </c>
      <c r="N1377" s="264"/>
      <c r="O1377" s="265">
        <v>0.13263888888888889</v>
      </c>
      <c r="P1377" s="265">
        <v>0.13263888888888889</v>
      </c>
      <c r="Q1377" s="266">
        <v>0.13402777777777777</v>
      </c>
      <c r="R1377" s="261">
        <f>IF(Table6[[#This Row],[Work Start TimeStamp]]="","",(Table6[[#This Row],[Work Start TimeStamp]]-Table6[[#This Row],[Fault Start TimeStamp]])*24)</f>
        <v>0</v>
      </c>
      <c r="S1377" s="261">
        <f>(Table6[[#This Row],[Fault Clearance time]]-Table6[[#This Row],[Work Start TimeStamp]])*24</f>
        <v>3.3333333333333215E-2</v>
      </c>
      <c r="T1377" s="261">
        <f>(Table6[[#This Row],[Fault Clearance time]]-Table6[[#This Row],[Fault Start TimeStamp]])*24</f>
        <v>3.3333333333333215E-2</v>
      </c>
      <c r="U1377" s="35" t="s">
        <v>483</v>
      </c>
      <c r="V1377" s="102" t="s">
        <v>268</v>
      </c>
      <c r="W1377" s="267">
        <f>IFERROR(Table6[[#This Row],[Breakdown Time]]*Table6[[#This Row],[Plant Equivalent Weightage]],"")</f>
        <v>1.2820512820512771E-3</v>
      </c>
      <c r="X1377" s="262" t="s">
        <v>296</v>
      </c>
      <c r="Y1377" s="263" t="s">
        <v>116</v>
      </c>
      <c r="Z1377" s="102">
        <v>56261</v>
      </c>
      <c r="AA1377" s="257">
        <f>(Table6[[#This Row],[Paired WTG Generation for loss calculation]]/24)*Table6[[#This Row],[Breakdown Time]]</f>
        <v>78.140277777777499</v>
      </c>
      <c r="AB1377" s="102"/>
      <c r="AC1377" s="35"/>
      <c r="AD1377" s="35"/>
    </row>
    <row r="1378" spans="1:30">
      <c r="A1378" s="102">
        <f t="shared" si="22"/>
        <v>1377</v>
      </c>
      <c r="B1378" s="257">
        <f>YEAR(Table6[[#This Row],[Date]])+IF(MONTH(Table6[[#This Row],[Date]])&gt;=4,1,0)</f>
        <v>2026</v>
      </c>
      <c r="C1378" s="102">
        <f>YEAR(Table6[[#This Row],[Date]])</f>
        <v>2025</v>
      </c>
      <c r="D1378" s="102" t="s">
        <v>265</v>
      </c>
      <c r="E1378" s="258">
        <f>Table6[[#This Row],[Date]]-DAY(Table6[[#This Row],[Date]])+1</f>
        <v>45809</v>
      </c>
      <c r="F1378" s="259">
        <v>45837</v>
      </c>
      <c r="G1378" s="35" t="s">
        <v>119</v>
      </c>
      <c r="H1378" s="35" t="str">
        <f>IFERROR(_xlfn.XLOOKUP(Table6[[#This Row],[Affected WTG]],'Basic Data'!$A:$A,'Basic Data'!$B:$B),"")</f>
        <v>TQGXIIPL</v>
      </c>
      <c r="I1378" s="35" t="str">
        <f>IFERROR(_xlfn.XLOOKUP(Table6[[#This Row],[Affected WTG]],'Basic Data'!$A:$A,'Basic Data'!$C:$C),"")</f>
        <v>GEDA</v>
      </c>
      <c r="J1378" s="260">
        <f>IFERROR(_xlfn.XLOOKUP(Table6[[#This Row],[Affected WTG]],'Basic Data'!$A:$A,'Basic Data'!$E:$E),"")</f>
        <v>3.846153846153845E-2</v>
      </c>
      <c r="K1378" s="102">
        <v>3211</v>
      </c>
      <c r="L1378" s="35" t="str">
        <f>IFERROR(_xlfn.XLOOKUP(Table6[[#This Row],[Error Code]],'Basic Data'!$AA:$AA,'Basic Data'!$AB:$AB),"Incorrect Error Code")</f>
        <v>Conv. load shedding (CAN)</v>
      </c>
      <c r="M1378" s="35" t="s">
        <v>266</v>
      </c>
      <c r="N1378" s="264"/>
      <c r="O1378" s="265">
        <v>0.19236111111111112</v>
      </c>
      <c r="P1378" s="265">
        <v>0.19236111111111112</v>
      </c>
      <c r="Q1378" s="266">
        <v>0.19444444444444445</v>
      </c>
      <c r="R1378" s="261">
        <f>IF(Table6[[#This Row],[Work Start TimeStamp]]="","",(Table6[[#This Row],[Work Start TimeStamp]]-Table6[[#This Row],[Fault Start TimeStamp]])*24)</f>
        <v>0</v>
      </c>
      <c r="S1378" s="261">
        <f>(Table6[[#This Row],[Fault Clearance time]]-Table6[[#This Row],[Work Start TimeStamp]])*24</f>
        <v>4.9999999999999822E-2</v>
      </c>
      <c r="T1378" s="261">
        <f>(Table6[[#This Row],[Fault Clearance time]]-Table6[[#This Row],[Fault Start TimeStamp]])*24</f>
        <v>4.9999999999999822E-2</v>
      </c>
      <c r="U1378" s="35" t="s">
        <v>483</v>
      </c>
      <c r="V1378" s="102" t="s">
        <v>268</v>
      </c>
      <c r="W1378" s="267">
        <f>IFERROR(Table6[[#This Row],[Breakdown Time]]*Table6[[#This Row],[Plant Equivalent Weightage]],"")</f>
        <v>1.9230769230769156E-3</v>
      </c>
      <c r="X1378" s="262" t="s">
        <v>296</v>
      </c>
      <c r="Y1378" s="263" t="s">
        <v>116</v>
      </c>
      <c r="Z1378" s="102">
        <v>56261</v>
      </c>
      <c r="AA1378" s="257">
        <f>(Table6[[#This Row],[Paired WTG Generation for loss calculation]]/24)*Table6[[#This Row],[Breakdown Time]]</f>
        <v>117.21041666666626</v>
      </c>
      <c r="AB1378" s="102"/>
      <c r="AC1378" s="35"/>
      <c r="AD1378" s="35"/>
    </row>
    <row r="1379" spans="1:30">
      <c r="A1379" s="102">
        <f t="shared" si="22"/>
        <v>1378</v>
      </c>
      <c r="B1379" s="257">
        <f>YEAR(Table6[[#This Row],[Date]])+IF(MONTH(Table6[[#This Row],[Date]])&gt;=4,1,0)</f>
        <v>2026</v>
      </c>
      <c r="C1379" s="102">
        <f>YEAR(Table6[[#This Row],[Date]])</f>
        <v>2025</v>
      </c>
      <c r="D1379" s="102" t="s">
        <v>265</v>
      </c>
      <c r="E1379" s="258">
        <f>Table6[[#This Row],[Date]]-DAY(Table6[[#This Row],[Date]])+1</f>
        <v>45809</v>
      </c>
      <c r="F1379" s="259">
        <v>45837</v>
      </c>
      <c r="G1379" s="35" t="s">
        <v>119</v>
      </c>
      <c r="H1379" s="35" t="str">
        <f>IFERROR(_xlfn.XLOOKUP(Table6[[#This Row],[Affected WTG]],'Basic Data'!$A:$A,'Basic Data'!$B:$B),"")</f>
        <v>TQGXIIPL</v>
      </c>
      <c r="I1379" s="35" t="str">
        <f>IFERROR(_xlfn.XLOOKUP(Table6[[#This Row],[Affected WTG]],'Basic Data'!$A:$A,'Basic Data'!$C:$C),"")</f>
        <v>GEDA</v>
      </c>
      <c r="J1379" s="260">
        <f>IFERROR(_xlfn.XLOOKUP(Table6[[#This Row],[Affected WTG]],'Basic Data'!$A:$A,'Basic Data'!$E:$E),"")</f>
        <v>3.846153846153845E-2</v>
      </c>
      <c r="K1379" s="102">
        <v>3211</v>
      </c>
      <c r="L1379" s="35" t="str">
        <f>IFERROR(_xlfn.XLOOKUP(Table6[[#This Row],[Error Code]],'Basic Data'!$AA:$AA,'Basic Data'!$AB:$AB),"Incorrect Error Code")</f>
        <v>Conv. load shedding (CAN)</v>
      </c>
      <c r="M1379" s="35" t="s">
        <v>266</v>
      </c>
      <c r="N1379" s="264"/>
      <c r="O1379" s="265">
        <v>0.83333333333333337</v>
      </c>
      <c r="P1379" s="265">
        <v>0.83333333333333337</v>
      </c>
      <c r="Q1379" s="266">
        <v>0.83888888888888891</v>
      </c>
      <c r="R1379" s="261">
        <f>IF(Table6[[#This Row],[Work Start TimeStamp]]="","",(Table6[[#This Row],[Work Start TimeStamp]]-Table6[[#This Row],[Fault Start TimeStamp]])*24)</f>
        <v>0</v>
      </c>
      <c r="S1379" s="261">
        <f>(Table6[[#This Row],[Fault Clearance time]]-Table6[[#This Row],[Work Start TimeStamp]])*24</f>
        <v>0.13333333333333286</v>
      </c>
      <c r="T1379" s="261">
        <f>(Table6[[#This Row],[Fault Clearance time]]-Table6[[#This Row],[Fault Start TimeStamp]])*24</f>
        <v>0.13333333333333286</v>
      </c>
      <c r="U1379" s="35" t="s">
        <v>483</v>
      </c>
      <c r="V1379" s="102" t="s">
        <v>268</v>
      </c>
      <c r="W1379" s="267">
        <f>IFERROR(Table6[[#This Row],[Breakdown Time]]*Table6[[#This Row],[Plant Equivalent Weightage]],"")</f>
        <v>5.1282051282051083E-3</v>
      </c>
      <c r="X1379" s="262" t="s">
        <v>296</v>
      </c>
      <c r="Y1379" s="263" t="s">
        <v>116</v>
      </c>
      <c r="Z1379" s="102">
        <v>56261</v>
      </c>
      <c r="AA1379" s="257">
        <f>(Table6[[#This Row],[Paired WTG Generation for loss calculation]]/24)*Table6[[#This Row],[Breakdown Time]]</f>
        <v>312.56111111110999</v>
      </c>
      <c r="AB1379" s="102"/>
      <c r="AC1379" s="35"/>
      <c r="AD1379" s="35"/>
    </row>
    <row r="1380" spans="1:30">
      <c r="A1380" s="102">
        <f t="shared" si="22"/>
        <v>1379</v>
      </c>
      <c r="B1380" s="257">
        <f>YEAR(Table6[[#This Row],[Date]])+IF(MONTH(Table6[[#This Row],[Date]])&gt;=4,1,0)</f>
        <v>2026</v>
      </c>
      <c r="C1380" s="102">
        <f>YEAR(Table6[[#This Row],[Date]])</f>
        <v>2025</v>
      </c>
      <c r="D1380" s="102" t="s">
        <v>265</v>
      </c>
      <c r="E1380" s="258">
        <f>Table6[[#This Row],[Date]]-DAY(Table6[[#This Row],[Date]])+1</f>
        <v>45809</v>
      </c>
      <c r="F1380" s="259">
        <v>45837</v>
      </c>
      <c r="G1380" s="35" t="s">
        <v>119</v>
      </c>
      <c r="H1380" s="35" t="str">
        <f>IFERROR(_xlfn.XLOOKUP(Table6[[#This Row],[Affected WTG]],'Basic Data'!$A:$A,'Basic Data'!$B:$B),"")</f>
        <v>TQGXIIPL</v>
      </c>
      <c r="I1380" s="35" t="str">
        <f>IFERROR(_xlfn.XLOOKUP(Table6[[#This Row],[Affected WTG]],'Basic Data'!$A:$A,'Basic Data'!$C:$C),"")</f>
        <v>GEDA</v>
      </c>
      <c r="J1380" s="260">
        <f>IFERROR(_xlfn.XLOOKUP(Table6[[#This Row],[Affected WTG]],'Basic Data'!$A:$A,'Basic Data'!$E:$E),"")</f>
        <v>3.846153846153845E-2</v>
      </c>
      <c r="K1380" s="102">
        <v>3211</v>
      </c>
      <c r="L1380" s="35" t="str">
        <f>IFERROR(_xlfn.XLOOKUP(Table6[[#This Row],[Error Code]],'Basic Data'!$AA:$AA,'Basic Data'!$AB:$AB),"Incorrect Error Code")</f>
        <v>Conv. load shedding (CAN)</v>
      </c>
      <c r="M1380" s="35" t="s">
        <v>266</v>
      </c>
      <c r="N1380" s="264"/>
      <c r="O1380" s="265">
        <v>0.86111111111111116</v>
      </c>
      <c r="P1380" s="265">
        <v>0.86111111111111116</v>
      </c>
      <c r="Q1380" s="266">
        <v>0.86250000000000004</v>
      </c>
      <c r="R1380" s="261">
        <f>IF(Table6[[#This Row],[Work Start TimeStamp]]="","",(Table6[[#This Row],[Work Start TimeStamp]]-Table6[[#This Row],[Fault Start TimeStamp]])*24)</f>
        <v>0</v>
      </c>
      <c r="S1380" s="261">
        <f>(Table6[[#This Row],[Fault Clearance time]]-Table6[[#This Row],[Work Start TimeStamp]])*24</f>
        <v>3.3333333333333215E-2</v>
      </c>
      <c r="T1380" s="261">
        <f>(Table6[[#This Row],[Fault Clearance time]]-Table6[[#This Row],[Fault Start TimeStamp]])*24</f>
        <v>3.3333333333333215E-2</v>
      </c>
      <c r="U1380" s="35" t="s">
        <v>483</v>
      </c>
      <c r="V1380" s="102" t="s">
        <v>268</v>
      </c>
      <c r="W1380" s="267">
        <f>IFERROR(Table6[[#This Row],[Breakdown Time]]*Table6[[#This Row],[Plant Equivalent Weightage]],"")</f>
        <v>1.2820512820512771E-3</v>
      </c>
      <c r="X1380" s="262" t="s">
        <v>296</v>
      </c>
      <c r="Y1380" s="263" t="s">
        <v>116</v>
      </c>
      <c r="Z1380" s="102">
        <v>56261</v>
      </c>
      <c r="AA1380" s="257">
        <f>(Table6[[#This Row],[Paired WTG Generation for loss calculation]]/24)*Table6[[#This Row],[Breakdown Time]]</f>
        <v>78.140277777777499</v>
      </c>
      <c r="AB1380" s="102"/>
      <c r="AC1380" s="35"/>
      <c r="AD1380" s="35"/>
    </row>
    <row r="1381" spans="1:30">
      <c r="A1381" s="102">
        <f t="shared" si="22"/>
        <v>1380</v>
      </c>
      <c r="B1381" s="257">
        <f>YEAR(Table6[[#This Row],[Date]])+IF(MONTH(Table6[[#This Row],[Date]])&gt;=4,1,0)</f>
        <v>2026</v>
      </c>
      <c r="C1381" s="102">
        <f>YEAR(Table6[[#This Row],[Date]])</f>
        <v>2025</v>
      </c>
      <c r="D1381" s="102" t="s">
        <v>265</v>
      </c>
      <c r="E1381" s="258">
        <f>Table6[[#This Row],[Date]]-DAY(Table6[[#This Row],[Date]])+1</f>
        <v>45809</v>
      </c>
      <c r="F1381" s="259">
        <v>45837</v>
      </c>
      <c r="G1381" s="35" t="s">
        <v>122</v>
      </c>
      <c r="H1381" s="35" t="str">
        <f>IFERROR(_xlfn.XLOOKUP(Table6[[#This Row],[Affected WTG]],'Basic Data'!$A:$A,'Basic Data'!$B:$B),"")</f>
        <v>TQGXIIPL</v>
      </c>
      <c r="I1381" s="35" t="str">
        <f>IFERROR(_xlfn.XLOOKUP(Table6[[#This Row],[Affected WTG]],'Basic Data'!$A:$A,'Basic Data'!$C:$C),"")</f>
        <v>GEDA</v>
      </c>
      <c r="J1381" s="260">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266</v>
      </c>
      <c r="N1381" s="264"/>
      <c r="O1381" s="265">
        <v>6.5972222222222224E-2</v>
      </c>
      <c r="P1381" s="265">
        <v>6.5972222222222224E-2</v>
      </c>
      <c r="Q1381" s="266">
        <v>6.8750000000000006E-2</v>
      </c>
      <c r="R1381" s="261">
        <f>IF(Table6[[#This Row],[Work Start TimeStamp]]="","",(Table6[[#This Row],[Work Start TimeStamp]]-Table6[[#This Row],[Fault Start TimeStamp]])*24)</f>
        <v>0</v>
      </c>
      <c r="S1381" s="261">
        <f>(Table6[[#This Row],[Fault Clearance time]]-Table6[[#This Row],[Work Start TimeStamp]])*24</f>
        <v>6.6666666666666763E-2</v>
      </c>
      <c r="T1381" s="261">
        <f>(Table6[[#This Row],[Fault Clearance time]]-Table6[[#This Row],[Fault Start TimeStamp]])*24</f>
        <v>6.6666666666666763E-2</v>
      </c>
      <c r="U1381" s="35" t="s">
        <v>277</v>
      </c>
      <c r="V1381" s="102" t="s">
        <v>268</v>
      </c>
      <c r="W1381" s="267">
        <f>IFERROR(Table6[[#This Row],[Breakdown Time]]*Table6[[#This Row],[Plant Equivalent Weightage]],"")</f>
        <v>2.5641025641025671E-3</v>
      </c>
      <c r="X1381" s="262" t="s">
        <v>269</v>
      </c>
      <c r="Y1381" s="263" t="s">
        <v>140</v>
      </c>
      <c r="Z1381" s="102">
        <v>55208</v>
      </c>
      <c r="AA1381" s="257">
        <f>(Table6[[#This Row],[Paired WTG Generation for loss calculation]]/24)*Table6[[#This Row],[Breakdown Time]]</f>
        <v>153.35555555555578</v>
      </c>
      <c r="AB1381" s="102"/>
      <c r="AC1381" s="35"/>
      <c r="AD1381" s="35"/>
    </row>
    <row r="1382" spans="1:30">
      <c r="A1382" s="102">
        <f t="shared" si="22"/>
        <v>1381</v>
      </c>
      <c r="B1382" s="257">
        <f>YEAR(Table6[[#This Row],[Date]])+IF(MONTH(Table6[[#This Row],[Date]])&gt;=4,1,0)</f>
        <v>2026</v>
      </c>
      <c r="C1382" s="102">
        <f>YEAR(Table6[[#This Row],[Date]])</f>
        <v>2025</v>
      </c>
      <c r="D1382" s="102" t="s">
        <v>265</v>
      </c>
      <c r="E1382" s="258">
        <f>Table6[[#This Row],[Date]]-DAY(Table6[[#This Row],[Date]])+1</f>
        <v>45809</v>
      </c>
      <c r="F1382" s="259">
        <v>45837</v>
      </c>
      <c r="G1382" s="35" t="s">
        <v>122</v>
      </c>
      <c r="H1382" s="35" t="str">
        <f>IFERROR(_xlfn.XLOOKUP(Table6[[#This Row],[Affected WTG]],'Basic Data'!$A:$A,'Basic Data'!$B:$B),"")</f>
        <v>TQGXIIPL</v>
      </c>
      <c r="I1382" s="35" t="str">
        <f>IFERROR(_xlfn.XLOOKUP(Table6[[#This Row],[Affected WTG]],'Basic Data'!$A:$A,'Basic Data'!$C:$C),"")</f>
        <v>GEDA</v>
      </c>
      <c r="J1382" s="260">
        <f>IFERROR(_xlfn.XLOOKUP(Table6[[#This Row],[Affected WTG]],'Basic Data'!$A:$A,'Basic Data'!$E:$E),"")</f>
        <v>3.846153846153845E-2</v>
      </c>
      <c r="K1382" s="102">
        <v>665</v>
      </c>
      <c r="L1382" s="35" t="str">
        <f>IFERROR(_xlfn.XLOOKUP(Table6[[#This Row],[Error Code]],'Basic Data'!$AA:$AA,'Basic Data'!$AB:$AB),"Incorrect Error Code")</f>
        <v>Pitch error</v>
      </c>
      <c r="M1382" s="35" t="s">
        <v>266</v>
      </c>
      <c r="N1382" s="264"/>
      <c r="O1382" s="265">
        <v>7.6388888888888895E-2</v>
      </c>
      <c r="P1382" s="265">
        <v>7.6388888888888895E-2</v>
      </c>
      <c r="Q1382" s="266">
        <v>7.7777777777777779E-2</v>
      </c>
      <c r="R1382" s="261">
        <f>IF(Table6[[#This Row],[Work Start TimeStamp]]="","",(Table6[[#This Row],[Work Start TimeStamp]]-Table6[[#This Row],[Fault Start TimeStamp]])*24)</f>
        <v>0</v>
      </c>
      <c r="S1382" s="261">
        <f>(Table6[[#This Row],[Fault Clearance time]]-Table6[[#This Row],[Work Start TimeStamp]])*24</f>
        <v>3.3333333333333215E-2</v>
      </c>
      <c r="T1382" s="261">
        <f>(Table6[[#This Row],[Fault Clearance time]]-Table6[[#This Row],[Fault Start TimeStamp]])*24</f>
        <v>3.3333333333333215E-2</v>
      </c>
      <c r="U1382" s="35" t="s">
        <v>483</v>
      </c>
      <c r="V1382" s="102" t="s">
        <v>268</v>
      </c>
      <c r="W1382" s="267">
        <f>IFERROR(Table6[[#This Row],[Breakdown Time]]*Table6[[#This Row],[Plant Equivalent Weightage]],"")</f>
        <v>1.2820512820512771E-3</v>
      </c>
      <c r="X1382" s="262" t="s">
        <v>296</v>
      </c>
      <c r="Y1382" s="263" t="s">
        <v>140</v>
      </c>
      <c r="Z1382" s="102">
        <v>55208</v>
      </c>
      <c r="AA1382" s="257">
        <f>(Table6[[#This Row],[Paired WTG Generation for loss calculation]]/24)*Table6[[#This Row],[Breakdown Time]]</f>
        <v>76.677777777777507</v>
      </c>
      <c r="AB1382" s="102"/>
      <c r="AC1382" s="35"/>
      <c r="AD1382" s="35"/>
    </row>
    <row r="1383" spans="1:30">
      <c r="A1383" s="102">
        <f t="shared" si="22"/>
        <v>1382</v>
      </c>
      <c r="B1383" s="257">
        <f>YEAR(Table6[[#This Row],[Date]])+IF(MONTH(Table6[[#This Row],[Date]])&gt;=4,1,0)</f>
        <v>2026</v>
      </c>
      <c r="C1383" s="102">
        <f>YEAR(Table6[[#This Row],[Date]])</f>
        <v>2025</v>
      </c>
      <c r="D1383" s="102" t="s">
        <v>265</v>
      </c>
      <c r="E1383" s="258">
        <f>Table6[[#This Row],[Date]]-DAY(Table6[[#This Row],[Date]])+1</f>
        <v>45809</v>
      </c>
      <c r="F1383" s="259">
        <v>45837</v>
      </c>
      <c r="G1383" s="35" t="s">
        <v>122</v>
      </c>
      <c r="H1383" s="35" t="str">
        <f>IFERROR(_xlfn.XLOOKUP(Table6[[#This Row],[Affected WTG]],'Basic Data'!$A:$A,'Basic Data'!$B:$B),"")</f>
        <v>TQGXIIPL</v>
      </c>
      <c r="I1383" s="35" t="str">
        <f>IFERROR(_xlfn.XLOOKUP(Table6[[#This Row],[Affected WTG]],'Basic Data'!$A:$A,'Basic Data'!$C:$C),"")</f>
        <v>GEDA</v>
      </c>
      <c r="J1383" s="260">
        <f>IFERROR(_xlfn.XLOOKUP(Table6[[#This Row],[Affected WTG]],'Basic Data'!$A:$A,'Basic Data'!$E:$E),"")</f>
        <v>3.846153846153845E-2</v>
      </c>
      <c r="K1383" s="102">
        <v>665</v>
      </c>
      <c r="L1383" s="35" t="str">
        <f>IFERROR(_xlfn.XLOOKUP(Table6[[#This Row],[Error Code]],'Basic Data'!$AA:$AA,'Basic Data'!$AB:$AB),"Incorrect Error Code")</f>
        <v>Pitch error</v>
      </c>
      <c r="M1383" s="35" t="s">
        <v>266</v>
      </c>
      <c r="N1383" s="264"/>
      <c r="O1383" s="265">
        <v>0.28472222222222221</v>
      </c>
      <c r="P1383" s="265">
        <v>0.28472222222222221</v>
      </c>
      <c r="Q1383" s="266">
        <v>0.28819444444444442</v>
      </c>
      <c r="R1383" s="261">
        <f>IF(Table6[[#This Row],[Work Start TimeStamp]]="","",(Table6[[#This Row],[Work Start TimeStamp]]-Table6[[#This Row],[Fault Start TimeStamp]])*24)</f>
        <v>0</v>
      </c>
      <c r="S1383" s="261">
        <f>(Table6[[#This Row],[Fault Clearance time]]-Table6[[#This Row],[Work Start TimeStamp]])*24</f>
        <v>8.3333333333333037E-2</v>
      </c>
      <c r="T1383" s="261">
        <f>(Table6[[#This Row],[Fault Clearance time]]-Table6[[#This Row],[Fault Start TimeStamp]])*24</f>
        <v>8.3333333333333037E-2</v>
      </c>
      <c r="U1383" s="35" t="s">
        <v>483</v>
      </c>
      <c r="V1383" s="102" t="s">
        <v>268</v>
      </c>
      <c r="W1383" s="267">
        <f>IFERROR(Table6[[#This Row],[Breakdown Time]]*Table6[[#This Row],[Plant Equivalent Weightage]],"")</f>
        <v>3.2051282051281929E-3</v>
      </c>
      <c r="X1383" s="262" t="s">
        <v>296</v>
      </c>
      <c r="Y1383" s="263" t="s">
        <v>140</v>
      </c>
      <c r="Z1383" s="102">
        <v>55208</v>
      </c>
      <c r="AA1383" s="257">
        <f>(Table6[[#This Row],[Paired WTG Generation for loss calculation]]/24)*Table6[[#This Row],[Breakdown Time]]</f>
        <v>191.69444444444377</v>
      </c>
      <c r="AB1383" s="102"/>
      <c r="AC1383" s="35"/>
      <c r="AD1383" s="35"/>
    </row>
    <row r="1384" spans="1:30">
      <c r="A1384" s="102">
        <f t="shared" si="22"/>
        <v>1383</v>
      </c>
      <c r="B1384" s="257">
        <f>YEAR(Table6[[#This Row],[Date]])+IF(MONTH(Table6[[#This Row],[Date]])&gt;=4,1,0)</f>
        <v>2026</v>
      </c>
      <c r="C1384" s="102">
        <f>YEAR(Table6[[#This Row],[Date]])</f>
        <v>2025</v>
      </c>
      <c r="D1384" s="102" t="s">
        <v>265</v>
      </c>
      <c r="E1384" s="258">
        <f>Table6[[#This Row],[Date]]-DAY(Table6[[#This Row],[Date]])+1</f>
        <v>45809</v>
      </c>
      <c r="F1384" s="259">
        <v>45837</v>
      </c>
      <c r="G1384" s="35" t="s">
        <v>122</v>
      </c>
      <c r="H1384" s="35" t="str">
        <f>IFERROR(_xlfn.XLOOKUP(Table6[[#This Row],[Affected WTG]],'Basic Data'!$A:$A,'Basic Data'!$B:$B),"")</f>
        <v>TQGXIIPL</v>
      </c>
      <c r="I1384" s="35" t="str">
        <f>IFERROR(_xlfn.XLOOKUP(Table6[[#This Row],[Affected WTG]],'Basic Data'!$A:$A,'Basic Data'!$C:$C),"")</f>
        <v>GEDA</v>
      </c>
      <c r="J1384" s="260">
        <f>IFERROR(_xlfn.XLOOKUP(Table6[[#This Row],[Affected WTG]],'Basic Data'!$A:$A,'Basic Data'!$E:$E),"")</f>
        <v>3.846153846153845E-2</v>
      </c>
      <c r="K1384" s="102">
        <v>665</v>
      </c>
      <c r="L1384" s="35" t="str">
        <f>IFERROR(_xlfn.XLOOKUP(Table6[[#This Row],[Error Code]],'Basic Data'!$AA:$AA,'Basic Data'!$AB:$AB),"Incorrect Error Code")</f>
        <v>Pitch error</v>
      </c>
      <c r="M1384" s="35" t="s">
        <v>266</v>
      </c>
      <c r="N1384" s="264"/>
      <c r="O1384" s="265">
        <v>0.3215277777777778</v>
      </c>
      <c r="P1384" s="265">
        <v>0.3215277777777778</v>
      </c>
      <c r="Q1384" s="266">
        <v>0.32500000000000001</v>
      </c>
      <c r="R1384" s="261">
        <f>IF(Table6[[#This Row],[Work Start TimeStamp]]="","",(Table6[[#This Row],[Work Start TimeStamp]]-Table6[[#This Row],[Fault Start TimeStamp]])*24)</f>
        <v>0</v>
      </c>
      <c r="S1384" s="261">
        <f>(Table6[[#This Row],[Fault Clearance time]]-Table6[[#This Row],[Work Start TimeStamp]])*24</f>
        <v>8.3333333333333037E-2</v>
      </c>
      <c r="T1384" s="261">
        <f>(Table6[[#This Row],[Fault Clearance time]]-Table6[[#This Row],[Fault Start TimeStamp]])*24</f>
        <v>8.3333333333333037E-2</v>
      </c>
      <c r="U1384" s="35" t="s">
        <v>483</v>
      </c>
      <c r="V1384" s="102" t="s">
        <v>268</v>
      </c>
      <c r="W1384" s="267">
        <f>IFERROR(Table6[[#This Row],[Breakdown Time]]*Table6[[#This Row],[Plant Equivalent Weightage]],"")</f>
        <v>3.2051282051281929E-3</v>
      </c>
      <c r="X1384" s="262" t="s">
        <v>296</v>
      </c>
      <c r="Y1384" s="263" t="s">
        <v>140</v>
      </c>
      <c r="Z1384" s="102">
        <v>55208</v>
      </c>
      <c r="AA1384" s="257">
        <f>(Table6[[#This Row],[Paired WTG Generation for loss calculation]]/24)*Table6[[#This Row],[Breakdown Time]]</f>
        <v>191.69444444444377</v>
      </c>
      <c r="AB1384" s="102"/>
      <c r="AC1384" s="35"/>
      <c r="AD1384" s="35"/>
    </row>
    <row r="1385" spans="1:30">
      <c r="A1385" s="102">
        <f t="shared" si="22"/>
        <v>1384</v>
      </c>
      <c r="B1385" s="257">
        <f>YEAR(Table6[[#This Row],[Date]])+IF(MONTH(Table6[[#This Row],[Date]])&gt;=4,1,0)</f>
        <v>2026</v>
      </c>
      <c r="C1385" s="102">
        <f>YEAR(Table6[[#This Row],[Date]])</f>
        <v>2025</v>
      </c>
      <c r="D1385" s="102" t="s">
        <v>265</v>
      </c>
      <c r="E1385" s="258">
        <f>Table6[[#This Row],[Date]]-DAY(Table6[[#This Row],[Date]])+1</f>
        <v>45809</v>
      </c>
      <c r="F1385" s="259">
        <v>45837</v>
      </c>
      <c r="G1385" s="35" t="s">
        <v>122</v>
      </c>
      <c r="H1385" s="35" t="str">
        <f>IFERROR(_xlfn.XLOOKUP(Table6[[#This Row],[Affected WTG]],'Basic Data'!$A:$A,'Basic Data'!$B:$B),"")</f>
        <v>TQGXIIPL</v>
      </c>
      <c r="I1385" s="35" t="str">
        <f>IFERROR(_xlfn.XLOOKUP(Table6[[#This Row],[Affected WTG]],'Basic Data'!$A:$A,'Basic Data'!$C:$C),"")</f>
        <v>GEDA</v>
      </c>
      <c r="J1385" s="260">
        <f>IFERROR(_xlfn.XLOOKUP(Table6[[#This Row],[Affected WTG]],'Basic Data'!$A:$A,'Basic Data'!$E:$E),"")</f>
        <v>3.846153846153845E-2</v>
      </c>
      <c r="K1385" s="102">
        <v>665</v>
      </c>
      <c r="L1385" s="35" t="str">
        <f>IFERROR(_xlfn.XLOOKUP(Table6[[#This Row],[Error Code]],'Basic Data'!$AA:$AA,'Basic Data'!$AB:$AB),"Incorrect Error Code")</f>
        <v>Pitch error</v>
      </c>
      <c r="M1385" s="35" t="s">
        <v>266</v>
      </c>
      <c r="N1385" s="264"/>
      <c r="O1385" s="265">
        <v>0.42638888888888887</v>
      </c>
      <c r="P1385" s="265">
        <v>0.42638888888888887</v>
      </c>
      <c r="Q1385" s="266">
        <v>0.4375</v>
      </c>
      <c r="R1385" s="261">
        <f>IF(Table6[[#This Row],[Work Start TimeStamp]]="","",(Table6[[#This Row],[Work Start TimeStamp]]-Table6[[#This Row],[Fault Start TimeStamp]])*24)</f>
        <v>0</v>
      </c>
      <c r="S1385" s="261">
        <f>(Table6[[#This Row],[Fault Clearance time]]-Table6[[#This Row],[Work Start TimeStamp]])*24</f>
        <v>0.26666666666666705</v>
      </c>
      <c r="T1385" s="261">
        <f>(Table6[[#This Row],[Fault Clearance time]]-Table6[[#This Row],[Fault Start TimeStamp]])*24</f>
        <v>0.26666666666666705</v>
      </c>
      <c r="U1385" s="35" t="s">
        <v>483</v>
      </c>
      <c r="V1385" s="102" t="s">
        <v>268</v>
      </c>
      <c r="W1385" s="267">
        <f>IFERROR(Table6[[#This Row],[Breakdown Time]]*Table6[[#This Row],[Plant Equivalent Weightage]],"")</f>
        <v>1.0256410256410269E-2</v>
      </c>
      <c r="X1385" s="262" t="s">
        <v>296</v>
      </c>
      <c r="Y1385" s="263" t="s">
        <v>140</v>
      </c>
      <c r="Z1385" s="102">
        <v>55208</v>
      </c>
      <c r="AA1385" s="257">
        <f>(Table6[[#This Row],[Paired WTG Generation for loss calculation]]/24)*Table6[[#This Row],[Breakdown Time]]</f>
        <v>613.42222222222313</v>
      </c>
      <c r="AB1385" s="102"/>
      <c r="AC1385" s="35"/>
      <c r="AD1385" s="35"/>
    </row>
    <row r="1386" spans="1:30">
      <c r="A1386" s="102">
        <f t="shared" si="22"/>
        <v>1385</v>
      </c>
      <c r="B1386" s="257">
        <f>YEAR(Table6[[#This Row],[Date]])+IF(MONTH(Table6[[#This Row],[Date]])&gt;=4,1,0)</f>
        <v>2026</v>
      </c>
      <c r="C1386" s="102">
        <f>YEAR(Table6[[#This Row],[Date]])</f>
        <v>2025</v>
      </c>
      <c r="D1386" s="102" t="s">
        <v>265</v>
      </c>
      <c r="E1386" s="258">
        <f>Table6[[#This Row],[Date]]-DAY(Table6[[#This Row],[Date]])+1</f>
        <v>45809</v>
      </c>
      <c r="F1386" s="259">
        <v>45837</v>
      </c>
      <c r="G1386" s="35" t="s">
        <v>122</v>
      </c>
      <c r="H1386" s="35" t="str">
        <f>IFERROR(_xlfn.XLOOKUP(Table6[[#This Row],[Affected WTG]],'Basic Data'!$A:$A,'Basic Data'!$B:$B),"")</f>
        <v>TQGXIIPL</v>
      </c>
      <c r="I1386" s="35" t="str">
        <f>IFERROR(_xlfn.XLOOKUP(Table6[[#This Row],[Affected WTG]],'Basic Data'!$A:$A,'Basic Data'!$C:$C),"")</f>
        <v>GEDA</v>
      </c>
      <c r="J1386" s="260">
        <f>IFERROR(_xlfn.XLOOKUP(Table6[[#This Row],[Affected WTG]],'Basic Data'!$A:$A,'Basic Data'!$E:$E),"")</f>
        <v>3.846153846153845E-2</v>
      </c>
      <c r="K1386" s="102">
        <v>665</v>
      </c>
      <c r="L1386" s="35" t="str">
        <f>IFERROR(_xlfn.XLOOKUP(Table6[[#This Row],[Error Code]],'Basic Data'!$AA:$AA,'Basic Data'!$AB:$AB),"Incorrect Error Code")</f>
        <v>Pitch error</v>
      </c>
      <c r="M1386" s="35" t="s">
        <v>266</v>
      </c>
      <c r="N1386" s="264"/>
      <c r="O1386" s="265">
        <v>0.49166666666666664</v>
      </c>
      <c r="P1386" s="265">
        <v>0.49166666666666664</v>
      </c>
      <c r="Q1386" s="266">
        <v>0.49861111111111112</v>
      </c>
      <c r="R1386" s="261">
        <f>IF(Table6[[#This Row],[Work Start TimeStamp]]="","",(Table6[[#This Row],[Work Start TimeStamp]]-Table6[[#This Row],[Fault Start TimeStamp]])*24)</f>
        <v>0</v>
      </c>
      <c r="S1386" s="261">
        <f>(Table6[[#This Row],[Fault Clearance time]]-Table6[[#This Row],[Work Start TimeStamp]])*24</f>
        <v>0.16666666666666741</v>
      </c>
      <c r="T1386" s="261">
        <f>(Table6[[#This Row],[Fault Clearance time]]-Table6[[#This Row],[Fault Start TimeStamp]])*24</f>
        <v>0.16666666666666741</v>
      </c>
      <c r="U1386" s="35" t="s">
        <v>483</v>
      </c>
      <c r="V1386" s="102" t="s">
        <v>268</v>
      </c>
      <c r="W1386" s="267">
        <f>IFERROR(Table6[[#This Row],[Breakdown Time]]*Table6[[#This Row],[Plant Equivalent Weightage]],"")</f>
        <v>6.4102564102564369E-3</v>
      </c>
      <c r="X1386" s="262" t="s">
        <v>296</v>
      </c>
      <c r="Y1386" s="263" t="s">
        <v>140</v>
      </c>
      <c r="Z1386" s="102">
        <v>55208</v>
      </c>
      <c r="AA1386" s="257">
        <f>(Table6[[#This Row],[Paired WTG Generation for loss calculation]]/24)*Table6[[#This Row],[Breakdown Time]]</f>
        <v>383.38888888889062</v>
      </c>
      <c r="AB1386" s="102"/>
      <c r="AC1386" s="35"/>
      <c r="AD1386" s="35"/>
    </row>
    <row r="1387" spans="1:30">
      <c r="A1387" s="102">
        <f t="shared" si="22"/>
        <v>1386</v>
      </c>
      <c r="B1387" s="257">
        <f>YEAR(Table6[[#This Row],[Date]])+IF(MONTH(Table6[[#This Row],[Date]])&gt;=4,1,0)</f>
        <v>2026</v>
      </c>
      <c r="C1387" s="102">
        <f>YEAR(Table6[[#This Row],[Date]])</f>
        <v>2025</v>
      </c>
      <c r="D1387" s="102" t="s">
        <v>265</v>
      </c>
      <c r="E1387" s="258">
        <f>Table6[[#This Row],[Date]]-DAY(Table6[[#This Row],[Date]])+1</f>
        <v>45809</v>
      </c>
      <c r="F1387" s="259">
        <v>45837</v>
      </c>
      <c r="G1387" s="35" t="s">
        <v>122</v>
      </c>
      <c r="H1387" s="35" t="str">
        <f>IFERROR(_xlfn.XLOOKUP(Table6[[#This Row],[Affected WTG]],'Basic Data'!$A:$A,'Basic Data'!$B:$B),"")</f>
        <v>TQGXIIPL</v>
      </c>
      <c r="I1387" s="35" t="str">
        <f>IFERROR(_xlfn.XLOOKUP(Table6[[#This Row],[Affected WTG]],'Basic Data'!$A:$A,'Basic Data'!$C:$C),"")</f>
        <v>GEDA</v>
      </c>
      <c r="J1387" s="260">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266</v>
      </c>
      <c r="N1387" s="264"/>
      <c r="O1387" s="265">
        <v>0.58333333333333337</v>
      </c>
      <c r="P1387" s="265">
        <v>0.58333333333333337</v>
      </c>
      <c r="Q1387" s="266">
        <v>0.60069444444444442</v>
      </c>
      <c r="R1387" s="261">
        <f>IF(Table6[[#This Row],[Work Start TimeStamp]]="","",(Table6[[#This Row],[Work Start TimeStamp]]-Table6[[#This Row],[Fault Start TimeStamp]])*24)</f>
        <v>0</v>
      </c>
      <c r="S1387" s="261">
        <f>(Table6[[#This Row],[Fault Clearance time]]-Table6[[#This Row],[Work Start TimeStamp]])*24</f>
        <v>0.41666666666666519</v>
      </c>
      <c r="T1387" s="261">
        <f>(Table6[[#This Row],[Fault Clearance time]]-Table6[[#This Row],[Fault Start TimeStamp]])*24</f>
        <v>0.41666666666666519</v>
      </c>
      <c r="U1387" s="35" t="s">
        <v>483</v>
      </c>
      <c r="V1387" s="102" t="s">
        <v>268</v>
      </c>
      <c r="W1387" s="267">
        <f>IFERROR(Table6[[#This Row],[Breakdown Time]]*Table6[[#This Row],[Plant Equivalent Weightage]],"")</f>
        <v>1.6025641025640965E-2</v>
      </c>
      <c r="X1387" s="262" t="s">
        <v>296</v>
      </c>
      <c r="Y1387" s="263" t="s">
        <v>140</v>
      </c>
      <c r="Z1387" s="102">
        <v>55208</v>
      </c>
      <c r="AA1387" s="257">
        <f>(Table6[[#This Row],[Paired WTG Generation for loss calculation]]/24)*Table6[[#This Row],[Breakdown Time]]</f>
        <v>958.47222222221887</v>
      </c>
      <c r="AB1387" s="102"/>
      <c r="AC1387" s="35"/>
      <c r="AD1387" s="35"/>
    </row>
    <row r="1388" spans="1:30">
      <c r="A1388" s="102">
        <f t="shared" si="22"/>
        <v>1387</v>
      </c>
      <c r="B1388" s="257">
        <f>YEAR(Table6[[#This Row],[Date]])+IF(MONTH(Table6[[#This Row],[Date]])&gt;=4,1,0)</f>
        <v>2026</v>
      </c>
      <c r="C1388" s="102">
        <f>YEAR(Table6[[#This Row],[Date]])</f>
        <v>2025</v>
      </c>
      <c r="D1388" s="102" t="s">
        <v>265</v>
      </c>
      <c r="E1388" s="258">
        <f>Table6[[#This Row],[Date]]-DAY(Table6[[#This Row],[Date]])+1</f>
        <v>45809</v>
      </c>
      <c r="F1388" s="259">
        <v>45837</v>
      </c>
      <c r="G1388" s="35" t="s">
        <v>122</v>
      </c>
      <c r="H1388" s="35" t="str">
        <f>IFERROR(_xlfn.XLOOKUP(Table6[[#This Row],[Affected WTG]],'Basic Data'!$A:$A,'Basic Data'!$B:$B),"")</f>
        <v>TQGXIIPL</v>
      </c>
      <c r="I1388" s="35" t="str">
        <f>IFERROR(_xlfn.XLOOKUP(Table6[[#This Row],[Affected WTG]],'Basic Data'!$A:$A,'Basic Data'!$C:$C),"")</f>
        <v>GEDA</v>
      </c>
      <c r="J1388" s="260">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266</v>
      </c>
      <c r="N1388" s="264"/>
      <c r="O1388" s="265">
        <v>0.78888888888888886</v>
      </c>
      <c r="P1388" s="265">
        <v>0.78888888888888886</v>
      </c>
      <c r="Q1388" s="266">
        <v>0.80208333333333337</v>
      </c>
      <c r="R1388" s="261">
        <f>IF(Table6[[#This Row],[Work Start TimeStamp]]="","",(Table6[[#This Row],[Work Start TimeStamp]]-Table6[[#This Row],[Fault Start TimeStamp]])*24)</f>
        <v>0</v>
      </c>
      <c r="S1388" s="261">
        <f>(Table6[[#This Row],[Fault Clearance time]]-Table6[[#This Row],[Work Start TimeStamp]])*24</f>
        <v>0.31666666666666821</v>
      </c>
      <c r="T1388" s="261">
        <f>(Table6[[#This Row],[Fault Clearance time]]-Table6[[#This Row],[Fault Start TimeStamp]])*24</f>
        <v>0.31666666666666821</v>
      </c>
      <c r="U1388" s="35" t="s">
        <v>483</v>
      </c>
      <c r="V1388" s="102" t="s">
        <v>268</v>
      </c>
      <c r="W1388" s="267">
        <f>IFERROR(Table6[[#This Row],[Breakdown Time]]*Table6[[#This Row],[Plant Equivalent Weightage]],"")</f>
        <v>1.2179487179487235E-2</v>
      </c>
      <c r="X1388" s="262" t="s">
        <v>296</v>
      </c>
      <c r="Y1388" s="263" t="s">
        <v>140</v>
      </c>
      <c r="Z1388" s="102">
        <v>55208</v>
      </c>
      <c r="AA1388" s="257">
        <f>(Table6[[#This Row],[Paired WTG Generation for loss calculation]]/24)*Table6[[#This Row],[Breakdown Time]]</f>
        <v>728.43888888889251</v>
      </c>
      <c r="AB1388" s="102"/>
      <c r="AC1388" s="35"/>
      <c r="AD1388" s="35"/>
    </row>
    <row r="1389" spans="1:30">
      <c r="A1389" s="102">
        <f t="shared" si="22"/>
        <v>1388</v>
      </c>
      <c r="B1389" s="257">
        <f>YEAR(Table6[[#This Row],[Date]])+IF(MONTH(Table6[[#This Row],[Date]])&gt;=4,1,0)</f>
        <v>2026</v>
      </c>
      <c r="C1389" s="102">
        <f>YEAR(Table6[[#This Row],[Date]])</f>
        <v>2025</v>
      </c>
      <c r="D1389" s="102" t="s">
        <v>265</v>
      </c>
      <c r="E1389" s="258">
        <f>Table6[[#This Row],[Date]]-DAY(Table6[[#This Row],[Date]])+1</f>
        <v>45809</v>
      </c>
      <c r="F1389" s="259">
        <v>45837</v>
      </c>
      <c r="G1389" s="35" t="s">
        <v>122</v>
      </c>
      <c r="H1389" s="35" t="str">
        <f>IFERROR(_xlfn.XLOOKUP(Table6[[#This Row],[Affected WTG]],'Basic Data'!$A:$A,'Basic Data'!$B:$B),"")</f>
        <v>TQGXIIPL</v>
      </c>
      <c r="I1389" s="35" t="str">
        <f>IFERROR(_xlfn.XLOOKUP(Table6[[#This Row],[Affected WTG]],'Basic Data'!$A:$A,'Basic Data'!$C:$C),"")</f>
        <v>GEDA</v>
      </c>
      <c r="J1389" s="260">
        <f>IFERROR(_xlfn.XLOOKUP(Table6[[#This Row],[Affected WTG]],'Basic Data'!$A:$A,'Basic Data'!$E:$E),"")</f>
        <v>3.846153846153845E-2</v>
      </c>
      <c r="K1389" s="102">
        <v>665</v>
      </c>
      <c r="L1389" s="35" t="str">
        <f>IFERROR(_xlfn.XLOOKUP(Table6[[#This Row],[Error Code]],'Basic Data'!$AA:$AA,'Basic Data'!$AB:$AB),"Incorrect Error Code")</f>
        <v>Pitch error</v>
      </c>
      <c r="M1389" s="35" t="s">
        <v>266</v>
      </c>
      <c r="N1389" s="264"/>
      <c r="O1389" s="265">
        <v>0.81597222222222221</v>
      </c>
      <c r="P1389" s="265">
        <v>0.81597222222222221</v>
      </c>
      <c r="Q1389" s="266">
        <v>0.82916666666666672</v>
      </c>
      <c r="R1389" s="261">
        <f>IF(Table6[[#This Row],[Work Start TimeStamp]]="","",(Table6[[#This Row],[Work Start TimeStamp]]-Table6[[#This Row],[Fault Start TimeStamp]])*24)</f>
        <v>0</v>
      </c>
      <c r="S1389" s="261">
        <f>(Table6[[#This Row],[Fault Clearance time]]-Table6[[#This Row],[Work Start TimeStamp]])*24</f>
        <v>0.31666666666666821</v>
      </c>
      <c r="T1389" s="261">
        <f>(Table6[[#This Row],[Fault Clearance time]]-Table6[[#This Row],[Fault Start TimeStamp]])*24</f>
        <v>0.31666666666666821</v>
      </c>
      <c r="U1389" s="35" t="s">
        <v>483</v>
      </c>
      <c r="V1389" s="102" t="s">
        <v>268</v>
      </c>
      <c r="W1389" s="267">
        <f>IFERROR(Table6[[#This Row],[Breakdown Time]]*Table6[[#This Row],[Plant Equivalent Weightage]],"")</f>
        <v>1.2179487179487235E-2</v>
      </c>
      <c r="X1389" s="262" t="s">
        <v>296</v>
      </c>
      <c r="Y1389" s="263" t="s">
        <v>140</v>
      </c>
      <c r="Z1389" s="102">
        <v>55208</v>
      </c>
      <c r="AA1389" s="257">
        <f>(Table6[[#This Row],[Paired WTG Generation for loss calculation]]/24)*Table6[[#This Row],[Breakdown Time]]</f>
        <v>728.43888888889251</v>
      </c>
      <c r="AB1389" s="102"/>
      <c r="AC1389" s="35"/>
      <c r="AD1389" s="35"/>
    </row>
    <row r="1390" spans="1:30">
      <c r="A1390" s="102">
        <f t="shared" si="22"/>
        <v>1389</v>
      </c>
      <c r="B1390" s="257">
        <f>YEAR(Table6[[#This Row],[Date]])+IF(MONTH(Table6[[#This Row],[Date]])&gt;=4,1,0)</f>
        <v>2026</v>
      </c>
      <c r="C1390" s="102">
        <f>YEAR(Table6[[#This Row],[Date]])</f>
        <v>2025</v>
      </c>
      <c r="D1390" s="102" t="s">
        <v>265</v>
      </c>
      <c r="E1390" s="258">
        <f>Table6[[#This Row],[Date]]-DAY(Table6[[#This Row],[Date]])+1</f>
        <v>45809</v>
      </c>
      <c r="F1390" s="259">
        <v>45837</v>
      </c>
      <c r="G1390" s="35" t="s">
        <v>123</v>
      </c>
      <c r="H1390" s="35" t="str">
        <f>IFERROR(_xlfn.XLOOKUP(Table6[[#This Row],[Affected WTG]],'Basic Data'!$A:$A,'Basic Data'!$B:$B),"")</f>
        <v>TQGXIIPL</v>
      </c>
      <c r="I1390" s="35" t="str">
        <f>IFERROR(_xlfn.XLOOKUP(Table6[[#This Row],[Affected WTG]],'Basic Data'!$A:$A,'Basic Data'!$C:$C),"")</f>
        <v>GEDA</v>
      </c>
      <c r="J1390" s="260">
        <f>IFERROR(_xlfn.XLOOKUP(Table6[[#This Row],[Affected WTG]],'Basic Data'!$A:$A,'Basic Data'!$E:$E),"")</f>
        <v>3.846153846153845E-2</v>
      </c>
      <c r="K1390" s="102">
        <v>4970</v>
      </c>
      <c r="L1390" s="35" t="str">
        <f>IFERROR(_xlfn.XLOOKUP(Table6[[#This Row],[Error Code]],'Basic Data'!$AA:$AA,'Basic Data'!$AB:$AB),"Incorrect Error Code")</f>
        <v>Tower oscillation XF</v>
      </c>
      <c r="M1390" s="35" t="s">
        <v>266</v>
      </c>
      <c r="N1390" s="264"/>
      <c r="O1390" s="265">
        <v>0.52430555555555558</v>
      </c>
      <c r="P1390" s="265">
        <v>0.52430555555555558</v>
      </c>
      <c r="Q1390" s="266">
        <v>0.53541666666666665</v>
      </c>
      <c r="R1390" s="261">
        <f>IF(Table6[[#This Row],[Work Start TimeStamp]]="","",(Table6[[#This Row],[Work Start TimeStamp]]-Table6[[#This Row],[Fault Start TimeStamp]])*24)</f>
        <v>0</v>
      </c>
      <c r="S1390" s="261">
        <f>(Table6[[#This Row],[Fault Clearance time]]-Table6[[#This Row],[Work Start TimeStamp]])*24</f>
        <v>0.26666666666666572</v>
      </c>
      <c r="T1390" s="261">
        <f>(Table6[[#This Row],[Fault Clearance time]]-Table6[[#This Row],[Fault Start TimeStamp]])*24</f>
        <v>0.26666666666666572</v>
      </c>
      <c r="U1390" s="35" t="s">
        <v>277</v>
      </c>
      <c r="V1390" s="102" t="s">
        <v>268</v>
      </c>
      <c r="W1390" s="267">
        <f>IFERROR(Table6[[#This Row],[Breakdown Time]]*Table6[[#This Row],[Plant Equivalent Weightage]],"")</f>
        <v>1.0256410256410217E-2</v>
      </c>
      <c r="X1390" s="262" t="s">
        <v>269</v>
      </c>
      <c r="Y1390" s="263" t="s">
        <v>117</v>
      </c>
      <c r="Z1390" s="102">
        <v>53336</v>
      </c>
      <c r="AA1390" s="257">
        <f>(Table6[[#This Row],[Paired WTG Generation for loss calculation]]/24)*Table6[[#This Row],[Breakdown Time]]</f>
        <v>592.6222222222201</v>
      </c>
      <c r="AB1390" s="102"/>
      <c r="AC1390" s="35"/>
      <c r="AD1390" s="35"/>
    </row>
    <row r="1391" spans="1:30">
      <c r="A1391" s="102">
        <f t="shared" si="22"/>
        <v>1390</v>
      </c>
      <c r="B1391" s="257">
        <f>YEAR(Table6[[#This Row],[Date]])+IF(MONTH(Table6[[#This Row],[Date]])&gt;=4,1,0)</f>
        <v>2026</v>
      </c>
      <c r="C1391" s="102">
        <f>YEAR(Table6[[#This Row],[Date]])</f>
        <v>2025</v>
      </c>
      <c r="D1391" s="102" t="s">
        <v>265</v>
      </c>
      <c r="E1391" s="258">
        <f>Table6[[#This Row],[Date]]-DAY(Table6[[#This Row],[Date]])+1</f>
        <v>45809</v>
      </c>
      <c r="F1391" s="259">
        <v>45837</v>
      </c>
      <c r="G1391" s="35" t="s">
        <v>123</v>
      </c>
      <c r="H1391" s="35" t="str">
        <f>IFERROR(_xlfn.XLOOKUP(Table6[[#This Row],[Affected WTG]],'Basic Data'!$A:$A,'Basic Data'!$B:$B),"")</f>
        <v>TQGXIIPL</v>
      </c>
      <c r="I1391" s="35" t="str">
        <f>IFERROR(_xlfn.XLOOKUP(Table6[[#This Row],[Affected WTG]],'Basic Data'!$A:$A,'Basic Data'!$C:$C),"")</f>
        <v>GEDA</v>
      </c>
      <c r="J1391" s="260">
        <f>IFERROR(_xlfn.XLOOKUP(Table6[[#This Row],[Affected WTG]],'Basic Data'!$A:$A,'Basic Data'!$E:$E),"")</f>
        <v>3.846153846153845E-2</v>
      </c>
      <c r="K1391" s="102">
        <v>3110</v>
      </c>
      <c r="L1391" s="35" t="str">
        <f>IFERROR(_xlfn.XLOOKUP(Table6[[#This Row],[Error Code]],'Basic Data'!$AA:$AA,'Basic Data'!$AB:$AB),"Incorrect Error Code")</f>
        <v>Frequency converter error</v>
      </c>
      <c r="M1391" s="35" t="s">
        <v>266</v>
      </c>
      <c r="N1391" s="264"/>
      <c r="O1391" s="265">
        <v>0.53819444444444442</v>
      </c>
      <c r="P1391" s="265">
        <v>0.53819444444444442</v>
      </c>
      <c r="Q1391" s="266">
        <v>0.5395833333333333</v>
      </c>
      <c r="R1391" s="261">
        <f>IF(Table6[[#This Row],[Work Start TimeStamp]]="","",(Table6[[#This Row],[Work Start TimeStamp]]-Table6[[#This Row],[Fault Start TimeStamp]])*24)</f>
        <v>0</v>
      </c>
      <c r="S1391" s="261">
        <f>(Table6[[#This Row],[Fault Clearance time]]-Table6[[#This Row],[Work Start TimeStamp]])*24</f>
        <v>3.3333333333333215E-2</v>
      </c>
      <c r="T1391" s="261">
        <f>(Table6[[#This Row],[Fault Clearance time]]-Table6[[#This Row],[Fault Start TimeStamp]])*24</f>
        <v>3.3333333333333215E-2</v>
      </c>
      <c r="U1391" s="35" t="s">
        <v>483</v>
      </c>
      <c r="V1391" s="102" t="s">
        <v>268</v>
      </c>
      <c r="W1391" s="267">
        <f>IFERROR(Table6[[#This Row],[Breakdown Time]]*Table6[[#This Row],[Plant Equivalent Weightage]],"")</f>
        <v>1.2820512820512771E-3</v>
      </c>
      <c r="X1391" s="262" t="s">
        <v>296</v>
      </c>
      <c r="Y1391" s="263" t="s">
        <v>117</v>
      </c>
      <c r="Z1391" s="102">
        <v>53336</v>
      </c>
      <c r="AA1391" s="257">
        <f>(Table6[[#This Row],[Paired WTG Generation for loss calculation]]/24)*Table6[[#This Row],[Breakdown Time]]</f>
        <v>74.077777777777513</v>
      </c>
      <c r="AB1391" s="102"/>
      <c r="AC1391" s="35"/>
      <c r="AD1391" s="35"/>
    </row>
    <row r="1392" spans="1:30">
      <c r="A1392" s="102">
        <f t="shared" si="22"/>
        <v>1391</v>
      </c>
      <c r="B1392" s="257">
        <f>YEAR(Table6[[#This Row],[Date]])+IF(MONTH(Table6[[#This Row],[Date]])&gt;=4,1,0)</f>
        <v>2026</v>
      </c>
      <c r="C1392" s="102">
        <f>YEAR(Table6[[#This Row],[Date]])</f>
        <v>2025</v>
      </c>
      <c r="D1392" s="102" t="s">
        <v>265</v>
      </c>
      <c r="E1392" s="258">
        <f>Table6[[#This Row],[Date]]-DAY(Table6[[#This Row],[Date]])+1</f>
        <v>45809</v>
      </c>
      <c r="F1392" s="259">
        <v>45837</v>
      </c>
      <c r="G1392" s="35" t="s">
        <v>123</v>
      </c>
      <c r="H1392" s="35" t="str">
        <f>IFERROR(_xlfn.XLOOKUP(Table6[[#This Row],[Affected WTG]],'Basic Data'!$A:$A,'Basic Data'!$B:$B),"")</f>
        <v>TQGXIIPL</v>
      </c>
      <c r="I1392" s="35" t="str">
        <f>IFERROR(_xlfn.XLOOKUP(Table6[[#This Row],[Affected WTG]],'Basic Data'!$A:$A,'Basic Data'!$C:$C),"")</f>
        <v>GEDA</v>
      </c>
      <c r="J1392" s="260">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266</v>
      </c>
      <c r="N1392" s="264"/>
      <c r="O1392" s="265">
        <v>0.80486111111111114</v>
      </c>
      <c r="P1392" s="265">
        <v>0.80486111111111114</v>
      </c>
      <c r="Q1392" s="266">
        <v>0.81319444444444444</v>
      </c>
      <c r="R1392" s="261">
        <f>IF(Table6[[#This Row],[Work Start TimeStamp]]="","",(Table6[[#This Row],[Work Start TimeStamp]]-Table6[[#This Row],[Fault Start TimeStamp]])*24)</f>
        <v>0</v>
      </c>
      <c r="S1392" s="261">
        <f>(Table6[[#This Row],[Fault Clearance time]]-Table6[[#This Row],[Work Start TimeStamp]])*24</f>
        <v>0.19999999999999929</v>
      </c>
      <c r="T1392" s="261">
        <f>(Table6[[#This Row],[Fault Clearance time]]-Table6[[#This Row],[Fault Start TimeStamp]])*24</f>
        <v>0.19999999999999929</v>
      </c>
      <c r="U1392" s="35" t="s">
        <v>483</v>
      </c>
      <c r="V1392" s="102" t="s">
        <v>268</v>
      </c>
      <c r="W1392" s="267">
        <f>IFERROR(Table6[[#This Row],[Breakdown Time]]*Table6[[#This Row],[Plant Equivalent Weightage]],"")</f>
        <v>7.6923076923076624E-3</v>
      </c>
      <c r="X1392" s="262" t="s">
        <v>296</v>
      </c>
      <c r="Y1392" s="263" t="s">
        <v>117</v>
      </c>
      <c r="Z1392" s="102">
        <v>53336</v>
      </c>
      <c r="AA1392" s="257">
        <f>(Table6[[#This Row],[Paired WTG Generation for loss calculation]]/24)*Table6[[#This Row],[Breakdown Time]]</f>
        <v>444.46666666666511</v>
      </c>
      <c r="AB1392" s="102"/>
      <c r="AC1392" s="35"/>
      <c r="AD1392" s="35"/>
    </row>
    <row r="1393" spans="1:30">
      <c r="A1393" s="102">
        <f t="shared" si="22"/>
        <v>1392</v>
      </c>
      <c r="B1393" s="257">
        <f>YEAR(Table6[[#This Row],[Date]])+IF(MONTH(Table6[[#This Row],[Date]])&gt;=4,1,0)</f>
        <v>2026</v>
      </c>
      <c r="C1393" s="102">
        <f>YEAR(Table6[[#This Row],[Date]])</f>
        <v>2025</v>
      </c>
      <c r="D1393" s="102" t="s">
        <v>265</v>
      </c>
      <c r="E1393" s="258">
        <f>Table6[[#This Row],[Date]]-DAY(Table6[[#This Row],[Date]])+1</f>
        <v>45809</v>
      </c>
      <c r="F1393" s="259">
        <v>45837</v>
      </c>
      <c r="G1393" s="35" t="s">
        <v>123</v>
      </c>
      <c r="H1393" s="35" t="str">
        <f>IFERROR(_xlfn.XLOOKUP(Table6[[#This Row],[Affected WTG]],'Basic Data'!$A:$A,'Basic Data'!$B:$B),"")</f>
        <v>TQGXIIPL</v>
      </c>
      <c r="I1393" s="35" t="str">
        <f>IFERROR(_xlfn.XLOOKUP(Table6[[#This Row],[Affected WTG]],'Basic Data'!$A:$A,'Basic Data'!$C:$C),"")</f>
        <v>GEDA</v>
      </c>
      <c r="J1393" s="260">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266</v>
      </c>
      <c r="N1393" s="264"/>
      <c r="O1393" s="265">
        <v>0.875</v>
      </c>
      <c r="P1393" s="265">
        <v>0.91666666666666663</v>
      </c>
      <c r="Q1393" s="266">
        <v>0.99998842592592596</v>
      </c>
      <c r="R1393" s="261">
        <f>IF(Table6[[#This Row],[Work Start TimeStamp]]="","",(Table6[[#This Row],[Work Start TimeStamp]]-Table6[[#This Row],[Fault Start TimeStamp]])*24)</f>
        <v>0.99999999999999911</v>
      </c>
      <c r="S1393" s="261">
        <f>(Table6[[#This Row],[Fault Clearance time]]-Table6[[#This Row],[Work Start TimeStamp]])*24</f>
        <v>1.999722222222224</v>
      </c>
      <c r="T1393" s="261">
        <f>(Table6[[#This Row],[Fault Clearance time]]-Table6[[#This Row],[Fault Start TimeStamp]])*24</f>
        <v>2.9997222222222231</v>
      </c>
      <c r="U1393" s="35" t="s">
        <v>564</v>
      </c>
      <c r="V1393" s="102" t="s">
        <v>549</v>
      </c>
      <c r="W1393" s="267">
        <f>IFERROR(Table6[[#This Row],[Breakdown Time]]*Table6[[#This Row],[Plant Equivalent Weightage]],"")</f>
        <v>0.11537393162393163</v>
      </c>
      <c r="X1393" s="262" t="s">
        <v>296</v>
      </c>
      <c r="Y1393" s="263" t="s">
        <v>117</v>
      </c>
      <c r="Z1393" s="102">
        <v>53336</v>
      </c>
      <c r="AA1393" s="257">
        <f>(Table6[[#This Row],[Paired WTG Generation for loss calculation]]/24)*Table6[[#This Row],[Breakdown Time]]</f>
        <v>6666.3826851851873</v>
      </c>
      <c r="AB1393" s="102"/>
      <c r="AC1393" s="35"/>
      <c r="AD1393" s="35"/>
    </row>
    <row r="1394" spans="1:30">
      <c r="A1394" s="102">
        <f t="shared" si="22"/>
        <v>1393</v>
      </c>
      <c r="B1394" s="257">
        <f>YEAR(Table6[[#This Row],[Date]])+IF(MONTH(Table6[[#This Row],[Date]])&gt;=4,1,0)</f>
        <v>2026</v>
      </c>
      <c r="C1394" s="102">
        <f>YEAR(Table6[[#This Row],[Date]])</f>
        <v>2025</v>
      </c>
      <c r="D1394" s="102" t="s">
        <v>265</v>
      </c>
      <c r="E1394" s="258">
        <f>Table6[[#This Row],[Date]]-DAY(Table6[[#This Row],[Date]])+1</f>
        <v>45809</v>
      </c>
      <c r="F1394" s="259">
        <v>45837</v>
      </c>
      <c r="G1394" s="35" t="s">
        <v>124</v>
      </c>
      <c r="H1394" s="35" t="str">
        <f>IFERROR(_xlfn.XLOOKUP(Table6[[#This Row],[Affected WTG]],'Basic Data'!$A:$A,'Basic Data'!$B:$B),"")</f>
        <v>TQGXIIPL</v>
      </c>
      <c r="I1394" s="35" t="str">
        <f>IFERROR(_xlfn.XLOOKUP(Table6[[#This Row],[Affected WTG]],'Basic Data'!$A:$A,'Basic Data'!$C:$C),"")</f>
        <v>GEDA</v>
      </c>
      <c r="J1394" s="260">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266</v>
      </c>
      <c r="N1394" s="264"/>
      <c r="O1394" s="265">
        <v>0.81388888888888888</v>
      </c>
      <c r="P1394" s="265">
        <v>0.81388888888888888</v>
      </c>
      <c r="Q1394" s="266">
        <v>0.81527777777777777</v>
      </c>
      <c r="R1394" s="261">
        <f>IF(Table6[[#This Row],[Work Start TimeStamp]]="","",(Table6[[#This Row],[Work Start TimeStamp]]-Table6[[#This Row],[Fault Start TimeStamp]])*24)</f>
        <v>0</v>
      </c>
      <c r="S1394" s="261">
        <f>(Table6[[#This Row],[Fault Clearance time]]-Table6[[#This Row],[Work Start TimeStamp]])*24</f>
        <v>3.3333333333333215E-2</v>
      </c>
      <c r="T1394" s="261">
        <f>(Table6[[#This Row],[Fault Clearance time]]-Table6[[#This Row],[Fault Start TimeStamp]])*24</f>
        <v>3.3333333333333215E-2</v>
      </c>
      <c r="U1394" s="35" t="s">
        <v>483</v>
      </c>
      <c r="V1394" s="102" t="s">
        <v>268</v>
      </c>
      <c r="W1394" s="267">
        <f>IFERROR(Table6[[#This Row],[Breakdown Time]]*Table6[[#This Row],[Plant Equivalent Weightage]],"")</f>
        <v>1.2820512820512771E-3</v>
      </c>
      <c r="X1394" s="262" t="s">
        <v>296</v>
      </c>
      <c r="Y1394" s="263" t="s">
        <v>129</v>
      </c>
      <c r="Z1394" s="102">
        <v>56720</v>
      </c>
      <c r="AA1394" s="257">
        <f>(Table6[[#This Row],[Paired WTG Generation for loss calculation]]/24)*Table6[[#This Row],[Breakdown Time]]</f>
        <v>78.777777777777501</v>
      </c>
      <c r="AB1394" s="102"/>
      <c r="AC1394" s="35"/>
      <c r="AD1394" s="35"/>
    </row>
    <row r="1395" spans="1:30">
      <c r="A1395" s="102">
        <f t="shared" si="22"/>
        <v>1394</v>
      </c>
      <c r="B1395" s="257">
        <f>YEAR(Table6[[#This Row],[Date]])+IF(MONTH(Table6[[#This Row],[Date]])&gt;=4,1,0)</f>
        <v>2026</v>
      </c>
      <c r="C1395" s="102">
        <f>YEAR(Table6[[#This Row],[Date]])</f>
        <v>2025</v>
      </c>
      <c r="D1395" s="102" t="s">
        <v>265</v>
      </c>
      <c r="E1395" s="258">
        <f>Table6[[#This Row],[Date]]-DAY(Table6[[#This Row],[Date]])+1</f>
        <v>45809</v>
      </c>
      <c r="F1395" s="259">
        <v>45837</v>
      </c>
      <c r="G1395" s="35" t="s">
        <v>126</v>
      </c>
      <c r="H1395" s="35" t="str">
        <f>IFERROR(_xlfn.XLOOKUP(Table6[[#This Row],[Affected WTG]],'Basic Data'!$A:$A,'Basic Data'!$B:$B),"")</f>
        <v>TQGXIIPL</v>
      </c>
      <c r="I1395" s="35" t="str">
        <f>IFERROR(_xlfn.XLOOKUP(Table6[[#This Row],[Affected WTG]],'Basic Data'!$A:$A,'Basic Data'!$C:$C),"")</f>
        <v>GEDA</v>
      </c>
      <c r="J1395" s="260">
        <f>IFERROR(_xlfn.XLOOKUP(Table6[[#This Row],[Affected WTG]],'Basic Data'!$A:$A,'Basic Data'!$E:$E),"")</f>
        <v>3.846153846153845E-2</v>
      </c>
      <c r="K1395" s="102">
        <v>55</v>
      </c>
      <c r="L1395" s="35" t="str">
        <f>IFERROR(_xlfn.XLOOKUP(Table6[[#This Row],[Error Code]],'Basic Data'!$AA:$AA,'Basic Data'!$AB:$AB),"Incorrect Error Code")</f>
        <v>WTG shut down</v>
      </c>
      <c r="M1395" s="35" t="s">
        <v>291</v>
      </c>
      <c r="N1395" s="264"/>
      <c r="O1395" s="265">
        <v>0</v>
      </c>
      <c r="P1395" s="265">
        <v>0</v>
      </c>
      <c r="Q1395" s="266">
        <v>0.90277777777777779</v>
      </c>
      <c r="R1395" s="261">
        <f>IF(Table6[[#This Row],[Work Start TimeStamp]]="","",(Table6[[#This Row],[Work Start TimeStamp]]-Table6[[#This Row],[Fault Start TimeStamp]])*24)</f>
        <v>0</v>
      </c>
      <c r="S1395" s="261">
        <f>(Table6[[#This Row],[Fault Clearance time]]-Table6[[#This Row],[Work Start TimeStamp]])*24</f>
        <v>21.666666666666668</v>
      </c>
      <c r="T1395" s="261">
        <f>(Table6[[#This Row],[Fault Clearance time]]-Table6[[#This Row],[Fault Start TimeStamp]])*24</f>
        <v>21.666666666666668</v>
      </c>
      <c r="U1395" s="35" t="s">
        <v>561</v>
      </c>
      <c r="V1395" s="102" t="s">
        <v>549</v>
      </c>
      <c r="W1395" s="267">
        <f>IFERROR(Table6[[#This Row],[Breakdown Time]]*Table6[[#This Row],[Plant Equivalent Weightage]],"")</f>
        <v>0.83333333333333315</v>
      </c>
      <c r="X1395" s="262" t="s">
        <v>531</v>
      </c>
      <c r="Y1395" s="263" t="s">
        <v>128</v>
      </c>
      <c r="Z1395" s="102">
        <v>58023</v>
      </c>
      <c r="AA1395" s="257">
        <f>(Table6[[#This Row],[Paired WTG Generation for loss calculation]]/24)*Table6[[#This Row],[Breakdown Time]]</f>
        <v>52381.875</v>
      </c>
      <c r="AB1395" s="102"/>
      <c r="AC1395" s="35"/>
      <c r="AD1395" s="35"/>
    </row>
    <row r="1396" spans="1:30">
      <c r="A1396" s="102">
        <f t="shared" si="22"/>
        <v>1395</v>
      </c>
      <c r="B1396" s="257">
        <f>YEAR(Table6[[#This Row],[Date]])+IF(MONTH(Table6[[#This Row],[Date]])&gt;=4,1,0)</f>
        <v>2026</v>
      </c>
      <c r="C1396" s="102">
        <f>YEAR(Table6[[#This Row],[Date]])</f>
        <v>2025</v>
      </c>
      <c r="D1396" s="102" t="s">
        <v>265</v>
      </c>
      <c r="E1396" s="258">
        <f>Table6[[#This Row],[Date]]-DAY(Table6[[#This Row],[Date]])+1</f>
        <v>45809</v>
      </c>
      <c r="F1396" s="259">
        <v>45837</v>
      </c>
      <c r="G1396" s="35" t="s">
        <v>126</v>
      </c>
      <c r="H1396" s="35" t="str">
        <f>IFERROR(_xlfn.XLOOKUP(Table6[[#This Row],[Affected WTG]],'Basic Data'!$A:$A,'Basic Data'!$B:$B),"")</f>
        <v>TQGXIIPL</v>
      </c>
      <c r="I1396" s="35" t="str">
        <f>IFERROR(_xlfn.XLOOKUP(Table6[[#This Row],[Affected WTG]],'Basic Data'!$A:$A,'Basic Data'!$C:$C),"")</f>
        <v>GEDA</v>
      </c>
      <c r="J1396" s="260">
        <f>IFERROR(_xlfn.XLOOKUP(Table6[[#This Row],[Affected WTG]],'Basic Data'!$A:$A,'Basic Data'!$E:$E),"")</f>
        <v>3.846153846153845E-2</v>
      </c>
      <c r="K1396" s="102">
        <v>55</v>
      </c>
      <c r="L1396" s="35" t="str">
        <f>IFERROR(_xlfn.XLOOKUP(Table6[[#This Row],[Error Code]],'Basic Data'!$AA:$AA,'Basic Data'!$AB:$AB),"Incorrect Error Code")</f>
        <v>WTG shut down</v>
      </c>
      <c r="M1396" s="35" t="s">
        <v>291</v>
      </c>
      <c r="N1396" s="264"/>
      <c r="O1396" s="265">
        <v>0.90277777777777779</v>
      </c>
      <c r="P1396" s="265">
        <v>0.90277777777777779</v>
      </c>
      <c r="Q1396" s="266">
        <v>0.99998842592592596</v>
      </c>
      <c r="R1396" s="261">
        <f>IF(Table6[[#This Row],[Work Start TimeStamp]]="","",(Table6[[#This Row],[Work Start TimeStamp]]-Table6[[#This Row],[Fault Start TimeStamp]])*24)</f>
        <v>0</v>
      </c>
      <c r="S1396" s="261">
        <f>(Table6[[#This Row],[Fault Clearance time]]-Table6[[#This Row],[Work Start TimeStamp]])*24</f>
        <v>2.3330555555555561</v>
      </c>
      <c r="T1396" s="261">
        <f>(Table6[[#This Row],[Fault Clearance time]]-Table6[[#This Row],[Fault Start TimeStamp]])*24</f>
        <v>2.3330555555555561</v>
      </c>
      <c r="U1396" s="35" t="s">
        <v>561</v>
      </c>
      <c r="V1396" s="102" t="s">
        <v>549</v>
      </c>
      <c r="W1396" s="267">
        <f>IFERROR(Table6[[#This Row],[Breakdown Time]]*Table6[[#This Row],[Plant Equivalent Weightage]],"")</f>
        <v>8.9732905982905981E-2</v>
      </c>
      <c r="X1396" s="262" t="s">
        <v>269</v>
      </c>
      <c r="Y1396" s="263" t="s">
        <v>128</v>
      </c>
      <c r="Z1396" s="102">
        <v>58023</v>
      </c>
      <c r="AA1396" s="257">
        <f>(Table6[[#This Row],[Paired WTG Generation for loss calculation]]/24)*Table6[[#This Row],[Breakdown Time]]</f>
        <v>5640.4534375000012</v>
      </c>
      <c r="AB1396" s="102"/>
      <c r="AC1396" s="35"/>
      <c r="AD1396" s="35"/>
    </row>
    <row r="1397" spans="1:30">
      <c r="A1397" s="102">
        <f t="shared" si="22"/>
        <v>1396</v>
      </c>
      <c r="B1397" s="257">
        <f>YEAR(Table6[[#This Row],[Date]])+IF(MONTH(Table6[[#This Row],[Date]])&gt;=4,1,0)</f>
        <v>2026</v>
      </c>
      <c r="C1397" s="102">
        <f>YEAR(Table6[[#This Row],[Date]])</f>
        <v>2025</v>
      </c>
      <c r="D1397" s="102" t="s">
        <v>265</v>
      </c>
      <c r="E1397" s="258">
        <f>Table6[[#This Row],[Date]]-DAY(Table6[[#This Row],[Date]])+1</f>
        <v>45809</v>
      </c>
      <c r="F1397" s="259">
        <v>45837</v>
      </c>
      <c r="G1397" s="35" t="s">
        <v>130</v>
      </c>
      <c r="H1397" s="35" t="str">
        <f>IFERROR(_xlfn.XLOOKUP(Table6[[#This Row],[Affected WTG]],'Basic Data'!$A:$A,'Basic Data'!$B:$B),"")</f>
        <v>TQGXIIPL</v>
      </c>
      <c r="I1397" s="35" t="str">
        <f>IFERROR(_xlfn.XLOOKUP(Table6[[#This Row],[Affected WTG]],'Basic Data'!$A:$A,'Basic Data'!$C:$C),"")</f>
        <v>GEDA</v>
      </c>
      <c r="J1397" s="260">
        <f>IFERROR(_xlfn.XLOOKUP(Table6[[#This Row],[Affected WTG]],'Basic Data'!$A:$A,'Basic Data'!$E:$E),"")</f>
        <v>3.846153846153845E-2</v>
      </c>
      <c r="K1397" s="102">
        <v>175</v>
      </c>
      <c r="L1397" s="35" t="str">
        <f>IFERROR(_xlfn.XLOOKUP(Table6[[#This Row],[Error Code]],'Basic Data'!$AA:$AA,'Basic Data'!$AB:$AB),"Incorrect Error Code")</f>
        <v>SLC error</v>
      </c>
      <c r="M1397" s="35" t="s">
        <v>266</v>
      </c>
      <c r="N1397" s="264"/>
      <c r="O1397" s="265">
        <v>4.1666666666666664E-2</v>
      </c>
      <c r="P1397" s="265">
        <v>4.1666666666666664E-2</v>
      </c>
      <c r="Q1397" s="266">
        <v>4.2361111111111113E-2</v>
      </c>
      <c r="R1397" s="261">
        <f>IF(Table6[[#This Row],[Work Start TimeStamp]]="","",(Table6[[#This Row],[Work Start TimeStamp]]-Table6[[#This Row],[Fault Start TimeStamp]])*24)</f>
        <v>0</v>
      </c>
      <c r="S1397" s="261">
        <f>(Table6[[#This Row],[Fault Clearance time]]-Table6[[#This Row],[Work Start TimeStamp]])*24</f>
        <v>1.6666666666666774E-2</v>
      </c>
      <c r="T1397" s="261">
        <f>(Table6[[#This Row],[Fault Clearance time]]-Table6[[#This Row],[Fault Start TimeStamp]])*24</f>
        <v>1.6666666666666774E-2</v>
      </c>
      <c r="U1397" s="35" t="s">
        <v>483</v>
      </c>
      <c r="V1397" s="102" t="s">
        <v>268</v>
      </c>
      <c r="W1397" s="267">
        <f>IFERROR(Table6[[#This Row],[Breakdown Time]]*Table6[[#This Row],[Plant Equivalent Weightage]],"")</f>
        <v>6.4102564102564493E-4</v>
      </c>
      <c r="X1397" s="262" t="s">
        <v>296</v>
      </c>
      <c r="Y1397" s="263" t="s">
        <v>135</v>
      </c>
      <c r="Z1397" s="102">
        <v>62347</v>
      </c>
      <c r="AA1397" s="257">
        <f>(Table6[[#This Row],[Paired WTG Generation for loss calculation]]/24)*Table6[[#This Row],[Breakdown Time]]</f>
        <v>43.296527777778053</v>
      </c>
      <c r="AB1397" s="102"/>
      <c r="AC1397" s="35"/>
      <c r="AD1397" s="35"/>
    </row>
    <row r="1398" spans="1:30">
      <c r="A1398" s="102">
        <f t="shared" si="22"/>
        <v>1397</v>
      </c>
      <c r="B1398" s="257">
        <f>YEAR(Table6[[#This Row],[Date]])+IF(MONTH(Table6[[#This Row],[Date]])&gt;=4,1,0)</f>
        <v>2026</v>
      </c>
      <c r="C1398" s="102">
        <f>YEAR(Table6[[#This Row],[Date]])</f>
        <v>2025</v>
      </c>
      <c r="D1398" s="102" t="s">
        <v>265</v>
      </c>
      <c r="E1398" s="258">
        <f>Table6[[#This Row],[Date]]-DAY(Table6[[#This Row],[Date]])+1</f>
        <v>45809</v>
      </c>
      <c r="F1398" s="259">
        <v>45837</v>
      </c>
      <c r="G1398" s="35" t="s">
        <v>131</v>
      </c>
      <c r="H1398" s="35" t="str">
        <f>IFERROR(_xlfn.XLOOKUP(Table6[[#This Row],[Affected WTG]],'Basic Data'!$A:$A,'Basic Data'!$B:$B),"")</f>
        <v>TQGXIIPL</v>
      </c>
      <c r="I1398" s="35" t="str">
        <f>IFERROR(_xlfn.XLOOKUP(Table6[[#This Row],[Affected WTG]],'Basic Data'!$A:$A,'Basic Data'!$C:$C),"")</f>
        <v>GEDA</v>
      </c>
      <c r="J1398" s="260">
        <f>IFERROR(_xlfn.XLOOKUP(Table6[[#This Row],[Affected WTG]],'Basic Data'!$A:$A,'Basic Data'!$E:$E),"")</f>
        <v>3.846153846153845E-2</v>
      </c>
      <c r="K1398" s="102">
        <v>3211</v>
      </c>
      <c r="L1398" s="35" t="str">
        <f>IFERROR(_xlfn.XLOOKUP(Table6[[#This Row],[Error Code]],'Basic Data'!$AA:$AA,'Basic Data'!$AB:$AB),"Incorrect Error Code")</f>
        <v>Conv. load shedding (CAN)</v>
      </c>
      <c r="M1398" s="35" t="s">
        <v>266</v>
      </c>
      <c r="N1398" s="264"/>
      <c r="O1398" s="265">
        <v>8.2638888888888887E-2</v>
      </c>
      <c r="P1398" s="265">
        <v>8.2638888888888887E-2</v>
      </c>
      <c r="Q1398" s="266">
        <v>8.4027777777777785E-2</v>
      </c>
      <c r="R1398" s="261">
        <f>IF(Table6[[#This Row],[Work Start TimeStamp]]="","",(Table6[[#This Row],[Work Start TimeStamp]]-Table6[[#This Row],[Fault Start TimeStamp]])*24)</f>
        <v>0</v>
      </c>
      <c r="S1398" s="261">
        <f>(Table6[[#This Row],[Fault Clearance time]]-Table6[[#This Row],[Work Start TimeStamp]])*24</f>
        <v>3.3333333333333548E-2</v>
      </c>
      <c r="T1398" s="261">
        <f>(Table6[[#This Row],[Fault Clearance time]]-Table6[[#This Row],[Fault Start TimeStamp]])*24</f>
        <v>3.3333333333333548E-2</v>
      </c>
      <c r="U1398" s="35" t="s">
        <v>483</v>
      </c>
      <c r="V1398" s="102" t="s">
        <v>268</v>
      </c>
      <c r="W1398" s="267">
        <f>IFERROR(Table6[[#This Row],[Breakdown Time]]*Table6[[#This Row],[Plant Equivalent Weightage]],"")</f>
        <v>1.2820512820512899E-3</v>
      </c>
      <c r="X1398" s="262" t="s">
        <v>296</v>
      </c>
      <c r="Y1398" s="263" t="s">
        <v>136</v>
      </c>
      <c r="Z1398" s="102">
        <v>63422</v>
      </c>
      <c r="AA1398" s="257">
        <f>(Table6[[#This Row],[Paired WTG Generation for loss calculation]]/24)*Table6[[#This Row],[Breakdown Time]]</f>
        <v>88.086111111111677</v>
      </c>
      <c r="AB1398" s="102"/>
      <c r="AC1398" s="35"/>
      <c r="AD1398" s="35"/>
    </row>
    <row r="1399" spans="1:30">
      <c r="A1399" s="102">
        <f t="shared" si="22"/>
        <v>1398</v>
      </c>
      <c r="B1399" s="257">
        <f>YEAR(Table6[[#This Row],[Date]])+IF(MONTH(Table6[[#This Row],[Date]])&gt;=4,1,0)</f>
        <v>2026</v>
      </c>
      <c r="C1399" s="102">
        <f>YEAR(Table6[[#This Row],[Date]])</f>
        <v>2025</v>
      </c>
      <c r="D1399" s="102" t="s">
        <v>265</v>
      </c>
      <c r="E1399" s="258">
        <f>Table6[[#This Row],[Date]]-DAY(Table6[[#This Row],[Date]])+1</f>
        <v>45809</v>
      </c>
      <c r="F1399" s="259">
        <v>45837</v>
      </c>
      <c r="G1399" s="35" t="s">
        <v>131</v>
      </c>
      <c r="H1399" s="35" t="str">
        <f>IFERROR(_xlfn.XLOOKUP(Table6[[#This Row],[Affected WTG]],'Basic Data'!$A:$A,'Basic Data'!$B:$B),"")</f>
        <v>TQGXIIPL</v>
      </c>
      <c r="I1399" s="35" t="str">
        <f>IFERROR(_xlfn.XLOOKUP(Table6[[#This Row],[Affected WTG]],'Basic Data'!$A:$A,'Basic Data'!$C:$C),"")</f>
        <v>GEDA</v>
      </c>
      <c r="J1399" s="260">
        <f>IFERROR(_xlfn.XLOOKUP(Table6[[#This Row],[Affected WTG]],'Basic Data'!$A:$A,'Basic Data'!$E:$E),"")</f>
        <v>3.846153846153845E-2</v>
      </c>
      <c r="K1399" s="102">
        <v>3211</v>
      </c>
      <c r="L1399" s="35" t="str">
        <f>IFERROR(_xlfn.XLOOKUP(Table6[[#This Row],[Error Code]],'Basic Data'!$AA:$AA,'Basic Data'!$AB:$AB),"Incorrect Error Code")</f>
        <v>Conv. load shedding (CAN)</v>
      </c>
      <c r="M1399" s="35" t="s">
        <v>266</v>
      </c>
      <c r="N1399" s="264"/>
      <c r="O1399" s="265">
        <v>0.10347222222222222</v>
      </c>
      <c r="P1399" s="265">
        <v>0.10347222222222222</v>
      </c>
      <c r="Q1399" s="266">
        <v>0.10555555555555556</v>
      </c>
      <c r="R1399" s="261">
        <f>IF(Table6[[#This Row],[Work Start TimeStamp]]="","",(Table6[[#This Row],[Work Start TimeStamp]]-Table6[[#This Row],[Fault Start TimeStamp]])*24)</f>
        <v>0</v>
      </c>
      <c r="S1399" s="261">
        <f>(Table6[[#This Row],[Fault Clearance time]]-Table6[[#This Row],[Work Start TimeStamp]])*24</f>
        <v>5.0000000000000155E-2</v>
      </c>
      <c r="T1399" s="261">
        <f>(Table6[[#This Row],[Fault Clearance time]]-Table6[[#This Row],[Fault Start TimeStamp]])*24</f>
        <v>5.0000000000000155E-2</v>
      </c>
      <c r="U1399" s="35" t="s">
        <v>483</v>
      </c>
      <c r="V1399" s="102" t="s">
        <v>268</v>
      </c>
      <c r="W1399" s="267">
        <f>IFERROR(Table6[[#This Row],[Breakdown Time]]*Table6[[#This Row],[Plant Equivalent Weightage]],"")</f>
        <v>1.9230769230769284E-3</v>
      </c>
      <c r="X1399" s="262" t="s">
        <v>296</v>
      </c>
      <c r="Y1399" s="263" t="s">
        <v>136</v>
      </c>
      <c r="Z1399" s="102">
        <v>63422</v>
      </c>
      <c r="AA1399" s="257">
        <f>(Table6[[#This Row],[Paired WTG Generation for loss calculation]]/24)*Table6[[#This Row],[Breakdown Time]]</f>
        <v>132.12916666666709</v>
      </c>
      <c r="AB1399" s="102"/>
      <c r="AC1399" s="35"/>
      <c r="AD1399" s="35"/>
    </row>
    <row r="1400" spans="1:30">
      <c r="A1400" s="102">
        <f t="shared" si="22"/>
        <v>1399</v>
      </c>
      <c r="B1400" s="257">
        <f>YEAR(Table6[[#This Row],[Date]])+IF(MONTH(Table6[[#This Row],[Date]])&gt;=4,1,0)</f>
        <v>2026</v>
      </c>
      <c r="C1400" s="102">
        <f>YEAR(Table6[[#This Row],[Date]])</f>
        <v>2025</v>
      </c>
      <c r="D1400" s="102" t="s">
        <v>265</v>
      </c>
      <c r="E1400" s="258">
        <f>Table6[[#This Row],[Date]]-DAY(Table6[[#This Row],[Date]])+1</f>
        <v>45809</v>
      </c>
      <c r="F1400" s="259">
        <v>45837</v>
      </c>
      <c r="G1400" s="35" t="s">
        <v>131</v>
      </c>
      <c r="H1400" s="35" t="str">
        <f>IFERROR(_xlfn.XLOOKUP(Table6[[#This Row],[Affected WTG]],'Basic Data'!$A:$A,'Basic Data'!$B:$B),"")</f>
        <v>TQGXIIPL</v>
      </c>
      <c r="I1400" s="35" t="str">
        <f>IFERROR(_xlfn.XLOOKUP(Table6[[#This Row],[Affected WTG]],'Basic Data'!$A:$A,'Basic Data'!$C:$C),"")</f>
        <v>GEDA</v>
      </c>
      <c r="J1400" s="260">
        <f>IFERROR(_xlfn.XLOOKUP(Table6[[#This Row],[Affected WTG]],'Basic Data'!$A:$A,'Basic Data'!$E:$E),"")</f>
        <v>3.846153846153845E-2</v>
      </c>
      <c r="K1400" s="102">
        <v>3211</v>
      </c>
      <c r="L1400" s="35" t="str">
        <f>IFERROR(_xlfn.XLOOKUP(Table6[[#This Row],[Error Code]],'Basic Data'!$AA:$AA,'Basic Data'!$AB:$AB),"Incorrect Error Code")</f>
        <v>Conv. load shedding (CAN)</v>
      </c>
      <c r="M1400" s="35" t="s">
        <v>266</v>
      </c>
      <c r="N1400" s="264"/>
      <c r="O1400" s="265">
        <v>0.22013888888888888</v>
      </c>
      <c r="P1400" s="265">
        <v>0.22013888888888888</v>
      </c>
      <c r="Q1400" s="266">
        <v>0.22152777777777777</v>
      </c>
      <c r="R1400" s="261">
        <f>IF(Table6[[#This Row],[Work Start TimeStamp]]="","",(Table6[[#This Row],[Work Start TimeStamp]]-Table6[[#This Row],[Fault Start TimeStamp]])*24)</f>
        <v>0</v>
      </c>
      <c r="S1400" s="261">
        <f>(Table6[[#This Row],[Fault Clearance time]]-Table6[[#This Row],[Work Start TimeStamp]])*24</f>
        <v>3.3333333333333215E-2</v>
      </c>
      <c r="T1400" s="261">
        <f>(Table6[[#This Row],[Fault Clearance time]]-Table6[[#This Row],[Fault Start TimeStamp]])*24</f>
        <v>3.3333333333333215E-2</v>
      </c>
      <c r="U1400" s="35" t="s">
        <v>483</v>
      </c>
      <c r="V1400" s="102" t="s">
        <v>268</v>
      </c>
      <c r="W1400" s="267">
        <f>IFERROR(Table6[[#This Row],[Breakdown Time]]*Table6[[#This Row],[Plant Equivalent Weightage]],"")</f>
        <v>1.2820512820512771E-3</v>
      </c>
      <c r="X1400" s="262" t="s">
        <v>296</v>
      </c>
      <c r="Y1400" s="263" t="s">
        <v>136</v>
      </c>
      <c r="Z1400" s="102">
        <v>63422</v>
      </c>
      <c r="AA1400" s="257">
        <f>(Table6[[#This Row],[Paired WTG Generation for loss calculation]]/24)*Table6[[#This Row],[Breakdown Time]]</f>
        <v>88.08611111111081</v>
      </c>
      <c r="AB1400" s="102"/>
      <c r="AC1400" s="35"/>
      <c r="AD1400" s="35"/>
    </row>
    <row r="1401" spans="1:30">
      <c r="A1401" s="102">
        <f t="shared" si="22"/>
        <v>1400</v>
      </c>
      <c r="B1401" s="257">
        <f>YEAR(Table6[[#This Row],[Date]])+IF(MONTH(Table6[[#This Row],[Date]])&gt;=4,1,0)</f>
        <v>2026</v>
      </c>
      <c r="C1401" s="102">
        <f>YEAR(Table6[[#This Row],[Date]])</f>
        <v>2025</v>
      </c>
      <c r="D1401" s="102" t="s">
        <v>265</v>
      </c>
      <c r="E1401" s="258">
        <f>Table6[[#This Row],[Date]]-DAY(Table6[[#This Row],[Date]])+1</f>
        <v>45809</v>
      </c>
      <c r="F1401" s="259">
        <v>45837</v>
      </c>
      <c r="G1401" s="35" t="s">
        <v>131</v>
      </c>
      <c r="H1401" s="35" t="str">
        <f>IFERROR(_xlfn.XLOOKUP(Table6[[#This Row],[Affected WTG]],'Basic Data'!$A:$A,'Basic Data'!$B:$B),"")</f>
        <v>TQGXIIPL</v>
      </c>
      <c r="I1401" s="35" t="str">
        <f>IFERROR(_xlfn.XLOOKUP(Table6[[#This Row],[Affected WTG]],'Basic Data'!$A:$A,'Basic Data'!$C:$C),"")</f>
        <v>GEDA</v>
      </c>
      <c r="J1401" s="260">
        <f>IFERROR(_xlfn.XLOOKUP(Table6[[#This Row],[Affected WTG]],'Basic Data'!$A:$A,'Basic Data'!$E:$E),"")</f>
        <v>3.846153846153845E-2</v>
      </c>
      <c r="K1401" s="102">
        <v>3211</v>
      </c>
      <c r="L1401" s="35" t="str">
        <f>IFERROR(_xlfn.XLOOKUP(Table6[[#This Row],[Error Code]],'Basic Data'!$AA:$AA,'Basic Data'!$AB:$AB),"Incorrect Error Code")</f>
        <v>Conv. load shedding (CAN)</v>
      </c>
      <c r="M1401" s="35" t="s">
        <v>266</v>
      </c>
      <c r="N1401" s="264"/>
      <c r="O1401" s="265">
        <v>0.24652777777777779</v>
      </c>
      <c r="P1401" s="265">
        <v>0.24652777777777779</v>
      </c>
      <c r="Q1401" s="266">
        <v>0.24930555555555556</v>
      </c>
      <c r="R1401" s="261">
        <f>IF(Table6[[#This Row],[Work Start TimeStamp]]="","",(Table6[[#This Row],[Work Start TimeStamp]]-Table6[[#This Row],[Fault Start TimeStamp]])*24)</f>
        <v>0</v>
      </c>
      <c r="S1401" s="261">
        <f>(Table6[[#This Row],[Fault Clearance time]]-Table6[[#This Row],[Work Start TimeStamp]])*24</f>
        <v>6.666666666666643E-2</v>
      </c>
      <c r="T1401" s="261">
        <f>(Table6[[#This Row],[Fault Clearance time]]-Table6[[#This Row],[Fault Start TimeStamp]])*24</f>
        <v>6.666666666666643E-2</v>
      </c>
      <c r="U1401" s="35" t="s">
        <v>483</v>
      </c>
      <c r="V1401" s="102" t="s">
        <v>268</v>
      </c>
      <c r="W1401" s="267">
        <f>IFERROR(Table6[[#This Row],[Breakdown Time]]*Table6[[#This Row],[Plant Equivalent Weightage]],"")</f>
        <v>2.5641025641025541E-3</v>
      </c>
      <c r="X1401" s="262" t="s">
        <v>296</v>
      </c>
      <c r="Y1401" s="263" t="s">
        <v>136</v>
      </c>
      <c r="Z1401" s="102">
        <v>63422</v>
      </c>
      <c r="AA1401" s="257">
        <f>(Table6[[#This Row],[Paired WTG Generation for loss calculation]]/24)*Table6[[#This Row],[Breakdown Time]]</f>
        <v>176.17222222222162</v>
      </c>
      <c r="AB1401" s="102"/>
      <c r="AC1401" s="35"/>
      <c r="AD1401" s="35"/>
    </row>
    <row r="1402" spans="1:30">
      <c r="A1402" s="102">
        <f t="shared" si="22"/>
        <v>1401</v>
      </c>
      <c r="B1402" s="257">
        <f>YEAR(Table6[[#This Row],[Date]])+IF(MONTH(Table6[[#This Row],[Date]])&gt;=4,1,0)</f>
        <v>2026</v>
      </c>
      <c r="C1402" s="102">
        <f>YEAR(Table6[[#This Row],[Date]])</f>
        <v>2025</v>
      </c>
      <c r="D1402" s="102" t="s">
        <v>265</v>
      </c>
      <c r="E1402" s="258">
        <f>Table6[[#This Row],[Date]]-DAY(Table6[[#This Row],[Date]])+1</f>
        <v>45809</v>
      </c>
      <c r="F1402" s="259">
        <v>45837</v>
      </c>
      <c r="G1402" s="35" t="s">
        <v>131</v>
      </c>
      <c r="H1402" s="35" t="str">
        <f>IFERROR(_xlfn.XLOOKUP(Table6[[#This Row],[Affected WTG]],'Basic Data'!$A:$A,'Basic Data'!$B:$B),"")</f>
        <v>TQGXIIPL</v>
      </c>
      <c r="I1402" s="35" t="str">
        <f>IFERROR(_xlfn.XLOOKUP(Table6[[#This Row],[Affected WTG]],'Basic Data'!$A:$A,'Basic Data'!$C:$C),"")</f>
        <v>GEDA</v>
      </c>
      <c r="J1402" s="260">
        <f>IFERROR(_xlfn.XLOOKUP(Table6[[#This Row],[Affected WTG]],'Basic Data'!$A:$A,'Basic Data'!$E:$E),"")</f>
        <v>3.846153846153845E-2</v>
      </c>
      <c r="K1402" s="102">
        <v>3211</v>
      </c>
      <c r="L1402" s="35" t="str">
        <f>IFERROR(_xlfn.XLOOKUP(Table6[[#This Row],[Error Code]],'Basic Data'!$AA:$AA,'Basic Data'!$AB:$AB),"Incorrect Error Code")</f>
        <v>Conv. load shedding (CAN)</v>
      </c>
      <c r="M1402" s="35" t="s">
        <v>266</v>
      </c>
      <c r="N1402" s="264"/>
      <c r="O1402" s="265">
        <v>0.26874999999999999</v>
      </c>
      <c r="P1402" s="265">
        <v>0.26874999999999999</v>
      </c>
      <c r="Q1402" s="266">
        <v>0.27152777777777776</v>
      </c>
      <c r="R1402" s="261">
        <f>IF(Table6[[#This Row],[Work Start TimeStamp]]="","",(Table6[[#This Row],[Work Start TimeStamp]]-Table6[[#This Row],[Fault Start TimeStamp]])*24)</f>
        <v>0</v>
      </c>
      <c r="S1402" s="261">
        <f>(Table6[[#This Row],[Fault Clearance time]]-Table6[[#This Row],[Work Start TimeStamp]])*24</f>
        <v>6.666666666666643E-2</v>
      </c>
      <c r="T1402" s="261">
        <f>(Table6[[#This Row],[Fault Clearance time]]-Table6[[#This Row],[Fault Start TimeStamp]])*24</f>
        <v>6.666666666666643E-2</v>
      </c>
      <c r="U1402" s="35" t="s">
        <v>483</v>
      </c>
      <c r="V1402" s="102" t="s">
        <v>268</v>
      </c>
      <c r="W1402" s="267">
        <f>IFERROR(Table6[[#This Row],[Breakdown Time]]*Table6[[#This Row],[Plant Equivalent Weightage]],"")</f>
        <v>2.5641025641025541E-3</v>
      </c>
      <c r="X1402" s="262" t="s">
        <v>296</v>
      </c>
      <c r="Y1402" s="263" t="s">
        <v>136</v>
      </c>
      <c r="Z1402" s="102">
        <v>63422</v>
      </c>
      <c r="AA1402" s="257">
        <f>(Table6[[#This Row],[Paired WTG Generation for loss calculation]]/24)*Table6[[#This Row],[Breakdown Time]]</f>
        <v>176.17222222222162</v>
      </c>
      <c r="AB1402" s="102"/>
      <c r="AC1402" s="35"/>
      <c r="AD1402" s="35"/>
    </row>
    <row r="1403" spans="1:30">
      <c r="A1403" s="102">
        <f t="shared" si="22"/>
        <v>1402</v>
      </c>
      <c r="B1403" s="257">
        <f>YEAR(Table6[[#This Row],[Date]])+IF(MONTH(Table6[[#This Row],[Date]])&gt;=4,1,0)</f>
        <v>2026</v>
      </c>
      <c r="C1403" s="102">
        <f>YEAR(Table6[[#This Row],[Date]])</f>
        <v>2025</v>
      </c>
      <c r="D1403" s="102" t="s">
        <v>265</v>
      </c>
      <c r="E1403" s="258">
        <f>Table6[[#This Row],[Date]]-DAY(Table6[[#This Row],[Date]])+1</f>
        <v>45809</v>
      </c>
      <c r="F1403" s="259">
        <v>45837</v>
      </c>
      <c r="G1403" s="35" t="s">
        <v>131</v>
      </c>
      <c r="H1403" s="35" t="str">
        <f>IFERROR(_xlfn.XLOOKUP(Table6[[#This Row],[Affected WTG]],'Basic Data'!$A:$A,'Basic Data'!$B:$B),"")</f>
        <v>TQGXIIPL</v>
      </c>
      <c r="I1403" s="35" t="str">
        <f>IFERROR(_xlfn.XLOOKUP(Table6[[#This Row],[Affected WTG]],'Basic Data'!$A:$A,'Basic Data'!$C:$C),"")</f>
        <v>GEDA</v>
      </c>
      <c r="J1403" s="260">
        <f>IFERROR(_xlfn.XLOOKUP(Table6[[#This Row],[Affected WTG]],'Basic Data'!$A:$A,'Basic Data'!$E:$E),"")</f>
        <v>3.846153846153845E-2</v>
      </c>
      <c r="K1403" s="102">
        <v>3211</v>
      </c>
      <c r="L1403" s="35" t="str">
        <f>IFERROR(_xlfn.XLOOKUP(Table6[[#This Row],[Error Code]],'Basic Data'!$AA:$AA,'Basic Data'!$AB:$AB),"Incorrect Error Code")</f>
        <v>Conv. load shedding (CAN)</v>
      </c>
      <c r="M1403" s="35" t="s">
        <v>266</v>
      </c>
      <c r="N1403" s="264"/>
      <c r="O1403" s="265">
        <v>0.84375</v>
      </c>
      <c r="P1403" s="265">
        <v>0.84375</v>
      </c>
      <c r="Q1403" s="266">
        <v>0.84930555555555554</v>
      </c>
      <c r="R1403" s="261">
        <f>IF(Table6[[#This Row],[Work Start TimeStamp]]="","",(Table6[[#This Row],[Work Start TimeStamp]]-Table6[[#This Row],[Fault Start TimeStamp]])*24)</f>
        <v>0</v>
      </c>
      <c r="S1403" s="261">
        <f>(Table6[[#This Row],[Fault Clearance time]]-Table6[[#This Row],[Work Start TimeStamp]])*24</f>
        <v>0.13333333333333286</v>
      </c>
      <c r="T1403" s="261">
        <f>(Table6[[#This Row],[Fault Clearance time]]-Table6[[#This Row],[Fault Start TimeStamp]])*24</f>
        <v>0.13333333333333286</v>
      </c>
      <c r="U1403" s="35" t="s">
        <v>483</v>
      </c>
      <c r="V1403" s="102" t="s">
        <v>268</v>
      </c>
      <c r="W1403" s="267">
        <f>IFERROR(Table6[[#This Row],[Breakdown Time]]*Table6[[#This Row],[Plant Equivalent Weightage]],"")</f>
        <v>5.1282051282051083E-3</v>
      </c>
      <c r="X1403" s="262" t="s">
        <v>296</v>
      </c>
      <c r="Y1403" s="263" t="s">
        <v>136</v>
      </c>
      <c r="Z1403" s="102">
        <v>63422</v>
      </c>
      <c r="AA1403" s="257">
        <f>(Table6[[#This Row],[Paired WTG Generation for loss calculation]]/24)*Table6[[#This Row],[Breakdown Time]]</f>
        <v>352.34444444444324</v>
      </c>
      <c r="AB1403" s="102"/>
      <c r="AC1403" s="35"/>
      <c r="AD1403" s="35"/>
    </row>
    <row r="1404" spans="1:30">
      <c r="A1404" s="102">
        <f t="shared" si="22"/>
        <v>1403</v>
      </c>
      <c r="B1404" s="257">
        <f>YEAR(Table6[[#This Row],[Date]])+IF(MONTH(Table6[[#This Row],[Date]])&gt;=4,1,0)</f>
        <v>2026</v>
      </c>
      <c r="C1404" s="102">
        <f>YEAR(Table6[[#This Row],[Date]])</f>
        <v>2025</v>
      </c>
      <c r="D1404" s="102" t="s">
        <v>265</v>
      </c>
      <c r="E1404" s="258">
        <f>Table6[[#This Row],[Date]]-DAY(Table6[[#This Row],[Date]])+1</f>
        <v>45809</v>
      </c>
      <c r="F1404" s="259">
        <v>45837</v>
      </c>
      <c r="G1404" s="35" t="s">
        <v>133</v>
      </c>
      <c r="H1404" s="35" t="str">
        <f>IFERROR(_xlfn.XLOOKUP(Table6[[#This Row],[Affected WTG]],'Basic Data'!$A:$A,'Basic Data'!$B:$B),"")</f>
        <v>TQGXIIPL</v>
      </c>
      <c r="I1404" s="35" t="str">
        <f>IFERROR(_xlfn.XLOOKUP(Table6[[#This Row],[Affected WTG]],'Basic Data'!$A:$A,'Basic Data'!$C:$C),"")</f>
        <v>GEDA</v>
      </c>
      <c r="J1404" s="260">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266</v>
      </c>
      <c r="N1404" s="264"/>
      <c r="O1404" s="265">
        <v>0.52013888888888893</v>
      </c>
      <c r="P1404" s="265">
        <v>0.52013888888888893</v>
      </c>
      <c r="Q1404" s="266">
        <v>0.52569444444444446</v>
      </c>
      <c r="R1404" s="261">
        <f>IF(Table6[[#This Row],[Work Start TimeStamp]]="","",(Table6[[#This Row],[Work Start TimeStamp]]-Table6[[#This Row],[Fault Start TimeStamp]])*24)</f>
        <v>0</v>
      </c>
      <c r="S1404" s="261">
        <f>(Table6[[#This Row],[Fault Clearance time]]-Table6[[#This Row],[Work Start TimeStamp]])*24</f>
        <v>0.13333333333333286</v>
      </c>
      <c r="T1404" s="261">
        <f>(Table6[[#This Row],[Fault Clearance time]]-Table6[[#This Row],[Fault Start TimeStamp]])*24</f>
        <v>0.13333333333333286</v>
      </c>
      <c r="U1404" s="35" t="s">
        <v>483</v>
      </c>
      <c r="V1404" s="102" t="s">
        <v>268</v>
      </c>
      <c r="W1404" s="267">
        <f>IFERROR(Table6[[#This Row],[Breakdown Time]]*Table6[[#This Row],[Plant Equivalent Weightage]],"")</f>
        <v>5.1282051282051083E-3</v>
      </c>
      <c r="X1404" s="262" t="s">
        <v>296</v>
      </c>
      <c r="Y1404" s="263" t="s">
        <v>121</v>
      </c>
      <c r="Z1404" s="102">
        <v>57606</v>
      </c>
      <c r="AA1404" s="257">
        <f>(Table6[[#This Row],[Paired WTG Generation for loss calculation]]/24)*Table6[[#This Row],[Breakdown Time]]</f>
        <v>320.03333333333222</v>
      </c>
      <c r="AB1404" s="102"/>
      <c r="AC1404" s="35"/>
      <c r="AD1404" s="35"/>
    </row>
    <row r="1405" spans="1:30">
      <c r="A1405" s="102">
        <f t="shared" si="22"/>
        <v>1404</v>
      </c>
      <c r="B1405" s="257">
        <f>YEAR(Table6[[#This Row],[Date]])+IF(MONTH(Table6[[#This Row],[Date]])&gt;=4,1,0)</f>
        <v>2026</v>
      </c>
      <c r="C1405" s="102">
        <f>YEAR(Table6[[#This Row],[Date]])</f>
        <v>2025</v>
      </c>
      <c r="D1405" s="102" t="s">
        <v>265</v>
      </c>
      <c r="E1405" s="258">
        <f>Table6[[#This Row],[Date]]-DAY(Table6[[#This Row],[Date]])+1</f>
        <v>45809</v>
      </c>
      <c r="F1405" s="259">
        <v>45837</v>
      </c>
      <c r="G1405" s="35" t="s">
        <v>135</v>
      </c>
      <c r="H1405" s="35" t="str">
        <f>IFERROR(_xlfn.XLOOKUP(Table6[[#This Row],[Affected WTG]],'Basic Data'!$A:$A,'Basic Data'!$B:$B),"")</f>
        <v>TQGXIIPL</v>
      </c>
      <c r="I1405" s="35" t="str">
        <f>IFERROR(_xlfn.XLOOKUP(Table6[[#This Row],[Affected WTG]],'Basic Data'!$A:$A,'Basic Data'!$C:$C),"")</f>
        <v>GEDA</v>
      </c>
      <c r="J1405" s="260">
        <f>IFERROR(_xlfn.XLOOKUP(Table6[[#This Row],[Affected WTG]],'Basic Data'!$A:$A,'Basic Data'!$E:$E),"")</f>
        <v>3.846153846153845E-2</v>
      </c>
      <c r="K1405" s="102">
        <v>6130</v>
      </c>
      <c r="L1405" s="35" t="str">
        <f>IFERROR(_xlfn.XLOOKUP(Table6[[#This Row],[Error Code]],'Basic Data'!$AA:$AA,'Basic Data'!$AB:$AB),"Incorrect Error Code")</f>
        <v>Yaw speed high</v>
      </c>
      <c r="M1405" s="35" t="s">
        <v>266</v>
      </c>
      <c r="N1405" s="264"/>
      <c r="O1405" s="265">
        <v>0.88402777777777775</v>
      </c>
      <c r="P1405" s="265">
        <v>0.88402777777777775</v>
      </c>
      <c r="Q1405" s="266">
        <v>0.88472222222222219</v>
      </c>
      <c r="R1405" s="261">
        <f>IF(Table6[[#This Row],[Work Start TimeStamp]]="","",(Table6[[#This Row],[Work Start TimeStamp]]-Table6[[#This Row],[Fault Start TimeStamp]])*24)</f>
        <v>0</v>
      </c>
      <c r="S1405" s="261">
        <f>(Table6[[#This Row],[Fault Clearance time]]-Table6[[#This Row],[Work Start TimeStamp]])*24</f>
        <v>1.6666666666666607E-2</v>
      </c>
      <c r="T1405" s="261">
        <f>(Table6[[#This Row],[Fault Clearance time]]-Table6[[#This Row],[Fault Start TimeStamp]])*24</f>
        <v>1.6666666666666607E-2</v>
      </c>
      <c r="U1405" s="35" t="s">
        <v>277</v>
      </c>
      <c r="V1405" s="102" t="s">
        <v>268</v>
      </c>
      <c r="W1405" s="267">
        <f>IFERROR(Table6[[#This Row],[Breakdown Time]]*Table6[[#This Row],[Plant Equivalent Weightage]],"")</f>
        <v>6.4102564102563853E-4</v>
      </c>
      <c r="X1405" s="262" t="s">
        <v>269</v>
      </c>
      <c r="Y1405" s="263" t="s">
        <v>120</v>
      </c>
      <c r="Z1405" s="102">
        <v>62725</v>
      </c>
      <c r="AA1405" s="257">
        <f>(Table6[[#This Row],[Paired WTG Generation for loss calculation]]/24)*Table6[[#This Row],[Breakdown Time]]</f>
        <v>43.559027777777622</v>
      </c>
      <c r="AB1405" s="102"/>
      <c r="AC1405" s="35"/>
      <c r="AD1405" s="35"/>
    </row>
    <row r="1406" spans="1:30">
      <c r="A1406" s="102">
        <f t="shared" si="22"/>
        <v>1405</v>
      </c>
      <c r="B1406" s="257">
        <f>YEAR(Table6[[#This Row],[Date]])+IF(MONTH(Table6[[#This Row],[Date]])&gt;=4,1,0)</f>
        <v>2026</v>
      </c>
      <c r="C1406" s="102">
        <f>YEAR(Table6[[#This Row],[Date]])</f>
        <v>2025</v>
      </c>
      <c r="D1406" s="102" t="s">
        <v>265</v>
      </c>
      <c r="E1406" s="258">
        <f>Table6[[#This Row],[Date]]-DAY(Table6[[#This Row],[Date]])+1</f>
        <v>45809</v>
      </c>
      <c r="F1406" s="259">
        <v>45837</v>
      </c>
      <c r="G1406" s="35" t="s">
        <v>137</v>
      </c>
      <c r="H1406" s="35" t="str">
        <f>IFERROR(_xlfn.XLOOKUP(Table6[[#This Row],[Affected WTG]],'Basic Data'!$A:$A,'Basic Data'!$B:$B),"")</f>
        <v>TQGXIIPL</v>
      </c>
      <c r="I1406" s="35" t="str">
        <f>IFERROR(_xlfn.XLOOKUP(Table6[[#This Row],[Affected WTG]],'Basic Data'!$A:$A,'Basic Data'!$C:$C),"")</f>
        <v>GEDA</v>
      </c>
      <c r="J1406" s="260">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266</v>
      </c>
      <c r="N1406" s="264"/>
      <c r="O1406" s="265">
        <v>0.81805555555555554</v>
      </c>
      <c r="P1406" s="265">
        <v>0.81805555555555554</v>
      </c>
      <c r="Q1406" s="266">
        <v>0.82986111111111116</v>
      </c>
      <c r="R1406" s="261">
        <f>IF(Table6[[#This Row],[Work Start TimeStamp]]="","",(Table6[[#This Row],[Work Start TimeStamp]]-Table6[[#This Row],[Fault Start TimeStamp]])*24)</f>
        <v>0</v>
      </c>
      <c r="S1406" s="261">
        <f>(Table6[[#This Row],[Fault Clearance time]]-Table6[[#This Row],[Work Start TimeStamp]])*24</f>
        <v>0.28333333333333499</v>
      </c>
      <c r="T1406" s="261">
        <f>(Table6[[#This Row],[Fault Clearance time]]-Table6[[#This Row],[Fault Start TimeStamp]])*24</f>
        <v>0.28333333333333499</v>
      </c>
      <c r="U1406" s="35" t="s">
        <v>565</v>
      </c>
      <c r="V1406" s="102" t="s">
        <v>268</v>
      </c>
      <c r="W1406" s="267">
        <f>IFERROR(Table6[[#This Row],[Breakdown Time]]*Table6[[#This Row],[Plant Equivalent Weightage]],"")</f>
        <v>1.0897435897435958E-2</v>
      </c>
      <c r="X1406" s="262" t="s">
        <v>296</v>
      </c>
      <c r="Y1406" s="263" t="s">
        <v>125</v>
      </c>
      <c r="Z1406" s="102">
        <v>57284</v>
      </c>
      <c r="AA1406" s="257">
        <f>(Table6[[#This Row],[Paired WTG Generation for loss calculation]]/24)*Table6[[#This Row],[Breakdown Time]]</f>
        <v>676.26944444444848</v>
      </c>
      <c r="AB1406" s="102"/>
      <c r="AC1406" s="35"/>
      <c r="AD1406" s="35"/>
    </row>
    <row r="1407" spans="1:30">
      <c r="A1407" s="102">
        <f t="shared" si="22"/>
        <v>1406</v>
      </c>
      <c r="B1407" s="257">
        <f>YEAR(Table6[[#This Row],[Date]])+IF(MONTH(Table6[[#This Row],[Date]])&gt;=4,1,0)</f>
        <v>2026</v>
      </c>
      <c r="C1407" s="102">
        <f>YEAR(Table6[[#This Row],[Date]])</f>
        <v>2025</v>
      </c>
      <c r="D1407" s="102" t="s">
        <v>265</v>
      </c>
      <c r="E1407" s="258">
        <f>Table6[[#This Row],[Date]]-DAY(Table6[[#This Row],[Date]])+1</f>
        <v>45809</v>
      </c>
      <c r="F1407" s="259">
        <v>45838</v>
      </c>
      <c r="G1407" s="35" t="s">
        <v>119</v>
      </c>
      <c r="H1407" s="35" t="str">
        <f>IFERROR(_xlfn.XLOOKUP(Table6[[#This Row],[Affected WTG]],'Basic Data'!$A:$A,'Basic Data'!$B:$B),"")</f>
        <v>TQGXIIPL</v>
      </c>
      <c r="I1407" s="35" t="str">
        <f>IFERROR(_xlfn.XLOOKUP(Table6[[#This Row],[Affected WTG]],'Basic Data'!$A:$A,'Basic Data'!$C:$C),"")</f>
        <v>GEDA</v>
      </c>
      <c r="J1407" s="260">
        <f>IFERROR(_xlfn.XLOOKUP(Table6[[#This Row],[Affected WTG]],'Basic Data'!$A:$A,'Basic Data'!$E:$E),"")</f>
        <v>3.846153846153845E-2</v>
      </c>
      <c r="K1407" s="102">
        <v>3211</v>
      </c>
      <c r="L1407" s="35" t="str">
        <f>IFERROR(_xlfn.XLOOKUP(Table6[[#This Row],[Error Code]],'Basic Data'!$AA:$AA,'Basic Data'!$AB:$AB),"Incorrect Error Code")</f>
        <v>Conv. load shedding (CAN)</v>
      </c>
      <c r="M1407" s="35" t="s">
        <v>266</v>
      </c>
      <c r="N1407" s="264"/>
      <c r="O1407" s="265">
        <v>0.55069444444444449</v>
      </c>
      <c r="P1407" s="265">
        <v>0.55069444444444449</v>
      </c>
      <c r="Q1407" s="266">
        <v>0.55694444444444446</v>
      </c>
      <c r="R1407" s="261">
        <f>IF(Table6[[#This Row],[Work Start TimeStamp]]="","",(Table6[[#This Row],[Work Start TimeStamp]]-Table6[[#This Row],[Fault Start TimeStamp]])*24)</f>
        <v>0</v>
      </c>
      <c r="S1407" s="261">
        <f>(Table6[[#This Row],[Fault Clearance time]]-Table6[[#This Row],[Work Start TimeStamp]])*24</f>
        <v>0.14999999999999947</v>
      </c>
      <c r="T1407" s="261">
        <f>(Table6[[#This Row],[Fault Clearance time]]-Table6[[#This Row],[Fault Start TimeStamp]])*24</f>
        <v>0.14999999999999947</v>
      </c>
      <c r="U1407" s="35" t="s">
        <v>483</v>
      </c>
      <c r="V1407" s="102" t="s">
        <v>268</v>
      </c>
      <c r="W1407" s="267">
        <f>IFERROR(Table6[[#This Row],[Breakdown Time]]*Table6[[#This Row],[Plant Equivalent Weightage]],"")</f>
        <v>5.769230769230747E-3</v>
      </c>
      <c r="X1407" s="262" t="s">
        <v>296</v>
      </c>
      <c r="Y1407" s="263" t="s">
        <v>116</v>
      </c>
      <c r="Z1407" s="102">
        <v>53878</v>
      </c>
      <c r="AA1407" s="257">
        <f>(Table6[[#This Row],[Paired WTG Generation for loss calculation]]/24)*Table6[[#This Row],[Breakdown Time]]</f>
        <v>336.73749999999876</v>
      </c>
      <c r="AB1407" s="102"/>
      <c r="AC1407" s="35"/>
      <c r="AD1407" s="35"/>
    </row>
    <row r="1408" spans="1:30">
      <c r="A1408" s="102">
        <f t="shared" si="22"/>
        <v>1407</v>
      </c>
      <c r="B1408" s="257">
        <f>YEAR(Table6[[#This Row],[Date]])+IF(MONTH(Table6[[#This Row],[Date]])&gt;=4,1,0)</f>
        <v>2026</v>
      </c>
      <c r="C1408" s="102">
        <f>YEAR(Table6[[#This Row],[Date]])</f>
        <v>2025</v>
      </c>
      <c r="D1408" s="102" t="s">
        <v>265</v>
      </c>
      <c r="E1408" s="258">
        <f>Table6[[#This Row],[Date]]-DAY(Table6[[#This Row],[Date]])+1</f>
        <v>45809</v>
      </c>
      <c r="F1408" s="259">
        <v>45838</v>
      </c>
      <c r="G1408" s="35" t="s">
        <v>119</v>
      </c>
      <c r="H1408" s="35" t="str">
        <f>IFERROR(_xlfn.XLOOKUP(Table6[[#This Row],[Affected WTG]],'Basic Data'!$A:$A,'Basic Data'!$B:$B),"")</f>
        <v>TQGXIIPL</v>
      </c>
      <c r="I1408" s="35" t="str">
        <f>IFERROR(_xlfn.XLOOKUP(Table6[[#This Row],[Affected WTG]],'Basic Data'!$A:$A,'Basic Data'!$C:$C),"")</f>
        <v>GEDA</v>
      </c>
      <c r="J1408" s="260">
        <f>IFERROR(_xlfn.XLOOKUP(Table6[[#This Row],[Affected WTG]],'Basic Data'!$A:$A,'Basic Data'!$E:$E),"")</f>
        <v>3.846153846153845E-2</v>
      </c>
      <c r="K1408" s="102">
        <v>305</v>
      </c>
      <c r="L1408" s="35" t="str">
        <f>IFERROR(_xlfn.XLOOKUP(Table6[[#This Row],[Error Code]],'Basic Data'!$AA:$AA,'Basic Data'!$AB:$AB),"Incorrect Error Code")</f>
        <v>Brake control</v>
      </c>
      <c r="M1408" s="35" t="s">
        <v>278</v>
      </c>
      <c r="N1408" s="264"/>
      <c r="O1408" s="265">
        <v>0.55763888888888891</v>
      </c>
      <c r="P1408" s="265">
        <v>0.55763888888888891</v>
      </c>
      <c r="Q1408" s="266">
        <v>0.55833333333333335</v>
      </c>
      <c r="R1408" s="261">
        <f>IF(Table6[[#This Row],[Work Start TimeStamp]]="","",(Table6[[#This Row],[Work Start TimeStamp]]-Table6[[#This Row],[Fault Start TimeStamp]])*24)</f>
        <v>0</v>
      </c>
      <c r="S1408" s="261">
        <f>(Table6[[#This Row],[Fault Clearance time]]-Table6[[#This Row],[Work Start TimeStamp]])*24</f>
        <v>1.6666666666666607E-2</v>
      </c>
      <c r="T1408" s="261">
        <f>(Table6[[#This Row],[Fault Clearance time]]-Table6[[#This Row],[Fault Start TimeStamp]])*24</f>
        <v>1.6666666666666607E-2</v>
      </c>
      <c r="U1408" s="35" t="s">
        <v>277</v>
      </c>
      <c r="V1408" s="102" t="s">
        <v>268</v>
      </c>
      <c r="W1408" s="267">
        <f>IFERROR(Table6[[#This Row],[Breakdown Time]]*Table6[[#This Row],[Plant Equivalent Weightage]],"")</f>
        <v>6.4102564102563853E-4</v>
      </c>
      <c r="X1408" s="262" t="s">
        <v>269</v>
      </c>
      <c r="Y1408" s="263" t="s">
        <v>116</v>
      </c>
      <c r="Z1408" s="102">
        <v>53878</v>
      </c>
      <c r="AA1408" s="257">
        <f>(Table6[[#This Row],[Paired WTG Generation for loss calculation]]/24)*Table6[[#This Row],[Breakdown Time]]</f>
        <v>37.415277777777639</v>
      </c>
      <c r="AB1408" s="102"/>
      <c r="AC1408" s="35"/>
      <c r="AD1408" s="35"/>
    </row>
    <row r="1409" spans="1:30">
      <c r="A1409" s="102">
        <f t="shared" si="22"/>
        <v>1408</v>
      </c>
      <c r="B1409" s="257">
        <f>YEAR(Table6[[#This Row],[Date]])+IF(MONTH(Table6[[#This Row],[Date]])&gt;=4,1,0)</f>
        <v>2026</v>
      </c>
      <c r="C1409" s="102">
        <f>YEAR(Table6[[#This Row],[Date]])</f>
        <v>2025</v>
      </c>
      <c r="D1409" s="102" t="s">
        <v>265</v>
      </c>
      <c r="E1409" s="258">
        <f>Table6[[#This Row],[Date]]-DAY(Table6[[#This Row],[Date]])+1</f>
        <v>45809</v>
      </c>
      <c r="F1409" s="259">
        <v>45838</v>
      </c>
      <c r="G1409" s="35" t="s">
        <v>119</v>
      </c>
      <c r="H1409" s="35" t="str">
        <f>IFERROR(_xlfn.XLOOKUP(Table6[[#This Row],[Affected WTG]],'Basic Data'!$A:$A,'Basic Data'!$B:$B),"")</f>
        <v>TQGXIIPL</v>
      </c>
      <c r="I1409" s="35" t="str">
        <f>IFERROR(_xlfn.XLOOKUP(Table6[[#This Row],[Affected WTG]],'Basic Data'!$A:$A,'Basic Data'!$C:$C),"")</f>
        <v>GEDA</v>
      </c>
      <c r="J1409" s="260">
        <f>IFERROR(_xlfn.XLOOKUP(Table6[[#This Row],[Affected WTG]],'Basic Data'!$A:$A,'Basic Data'!$E:$E),"")</f>
        <v>3.846153846153845E-2</v>
      </c>
      <c r="K1409" s="102">
        <v>6130</v>
      </c>
      <c r="L1409" s="35" t="str">
        <f>IFERROR(_xlfn.XLOOKUP(Table6[[#This Row],[Error Code]],'Basic Data'!$AA:$AA,'Basic Data'!$AB:$AB),"Incorrect Error Code")</f>
        <v>Yaw speed high</v>
      </c>
      <c r="M1409" s="35" t="s">
        <v>278</v>
      </c>
      <c r="N1409" s="264"/>
      <c r="O1409" s="265">
        <v>0.56458333333333333</v>
      </c>
      <c r="P1409" s="265">
        <v>0.56458333333333333</v>
      </c>
      <c r="Q1409" s="266">
        <v>0.56874999999999998</v>
      </c>
      <c r="R1409" s="261">
        <f>IF(Table6[[#This Row],[Work Start TimeStamp]]="","",(Table6[[#This Row],[Work Start TimeStamp]]-Table6[[#This Row],[Fault Start TimeStamp]])*24)</f>
        <v>0</v>
      </c>
      <c r="S1409" s="261">
        <f>(Table6[[#This Row],[Fault Clearance time]]-Table6[[#This Row],[Work Start TimeStamp]])*24</f>
        <v>9.9999999999999645E-2</v>
      </c>
      <c r="T1409" s="261">
        <f>(Table6[[#This Row],[Fault Clearance time]]-Table6[[#This Row],[Fault Start TimeStamp]])*24</f>
        <v>9.9999999999999645E-2</v>
      </c>
      <c r="U1409" s="35" t="s">
        <v>277</v>
      </c>
      <c r="V1409" s="102" t="s">
        <v>268</v>
      </c>
      <c r="W1409" s="267">
        <f>IFERROR(Table6[[#This Row],[Breakdown Time]]*Table6[[#This Row],[Plant Equivalent Weightage]],"")</f>
        <v>3.8461538461538312E-3</v>
      </c>
      <c r="X1409" s="262" t="s">
        <v>269</v>
      </c>
      <c r="Y1409" s="263" t="s">
        <v>116</v>
      </c>
      <c r="Z1409" s="102">
        <v>53878</v>
      </c>
      <c r="AA1409" s="257">
        <f>(Table6[[#This Row],[Paired WTG Generation for loss calculation]]/24)*Table6[[#This Row],[Breakdown Time]]</f>
        <v>224.49166666666585</v>
      </c>
      <c r="AB1409" s="102"/>
      <c r="AC1409" s="35"/>
      <c r="AD1409" s="35"/>
    </row>
    <row r="1410" spans="1:30">
      <c r="A1410" s="102">
        <f t="shared" si="22"/>
        <v>1409</v>
      </c>
      <c r="B1410" s="257">
        <f>YEAR(Table6[[#This Row],[Date]])+IF(MONTH(Table6[[#This Row],[Date]])&gt;=4,1,0)</f>
        <v>2026</v>
      </c>
      <c r="C1410" s="102">
        <f>YEAR(Table6[[#This Row],[Date]])</f>
        <v>2025</v>
      </c>
      <c r="D1410" s="102" t="s">
        <v>265</v>
      </c>
      <c r="E1410" s="258">
        <f>Table6[[#This Row],[Date]]-DAY(Table6[[#This Row],[Date]])+1</f>
        <v>45809</v>
      </c>
      <c r="F1410" s="259">
        <v>45838</v>
      </c>
      <c r="G1410" s="35" t="s">
        <v>119</v>
      </c>
      <c r="H1410" s="35" t="str">
        <f>IFERROR(_xlfn.XLOOKUP(Table6[[#This Row],[Affected WTG]],'Basic Data'!$A:$A,'Basic Data'!$B:$B),"")</f>
        <v>TQGXIIPL</v>
      </c>
      <c r="I1410" s="35" t="str">
        <f>IFERROR(_xlfn.XLOOKUP(Table6[[#This Row],[Affected WTG]],'Basic Data'!$A:$A,'Basic Data'!$C:$C),"")</f>
        <v>GEDA</v>
      </c>
      <c r="J1410" s="260">
        <f>IFERROR(_xlfn.XLOOKUP(Table6[[#This Row],[Affected WTG]],'Basic Data'!$A:$A,'Basic Data'!$E:$E),"")</f>
        <v>3.846153846153845E-2</v>
      </c>
      <c r="K1410" s="102">
        <v>55</v>
      </c>
      <c r="L1410" s="35" t="str">
        <f>IFERROR(_xlfn.XLOOKUP(Table6[[#This Row],[Error Code]],'Basic Data'!$AA:$AA,'Basic Data'!$AB:$AB),"Incorrect Error Code")</f>
        <v>WTG shut down</v>
      </c>
      <c r="M1410" s="35" t="s">
        <v>504</v>
      </c>
      <c r="N1410" s="264"/>
      <c r="O1410" s="265">
        <v>0.63472222222222219</v>
      </c>
      <c r="P1410" s="265">
        <v>0.63472222222222219</v>
      </c>
      <c r="Q1410" s="266">
        <v>0.64375000000000004</v>
      </c>
      <c r="R1410" s="261">
        <f>IF(Table6[[#This Row],[Work Start TimeStamp]]="","",(Table6[[#This Row],[Work Start TimeStamp]]-Table6[[#This Row],[Fault Start TimeStamp]])*24)</f>
        <v>0</v>
      </c>
      <c r="S1410" s="261">
        <f>(Table6[[#This Row],[Fault Clearance time]]-Table6[[#This Row],[Work Start TimeStamp]])*24</f>
        <v>0.21666666666666856</v>
      </c>
      <c r="T1410" s="261">
        <f>(Table6[[#This Row],[Fault Clearance time]]-Table6[[#This Row],[Fault Start TimeStamp]])*24</f>
        <v>0.21666666666666856</v>
      </c>
      <c r="U1410" s="35" t="s">
        <v>566</v>
      </c>
      <c r="V1410" s="102" t="s">
        <v>268</v>
      </c>
      <c r="W1410" s="267">
        <f>IFERROR(Table6[[#This Row],[Breakdown Time]]*Table6[[#This Row],[Plant Equivalent Weightage]],"")</f>
        <v>8.3333333333334043E-3</v>
      </c>
      <c r="X1410" s="262" t="s">
        <v>296</v>
      </c>
      <c r="Y1410" s="263" t="s">
        <v>116</v>
      </c>
      <c r="Z1410" s="102">
        <v>53878</v>
      </c>
      <c r="AA1410" s="257">
        <f>(Table6[[#This Row],[Paired WTG Generation for loss calculation]]/24)*Table6[[#This Row],[Breakdown Time]]</f>
        <v>486.39861111111531</v>
      </c>
      <c r="AB1410" s="102"/>
      <c r="AC1410" s="35"/>
      <c r="AD1410" s="35"/>
    </row>
    <row r="1411" spans="1:30">
      <c r="A1411" s="102">
        <f t="shared" si="22"/>
        <v>1410</v>
      </c>
      <c r="B1411" s="257">
        <f>YEAR(Table6[[#This Row],[Date]])+IF(MONTH(Table6[[#This Row],[Date]])&gt;=4,1,0)</f>
        <v>2026</v>
      </c>
      <c r="C1411" s="102">
        <f>YEAR(Table6[[#This Row],[Date]])</f>
        <v>2025</v>
      </c>
      <c r="D1411" s="102" t="s">
        <v>265</v>
      </c>
      <c r="E1411" s="258">
        <f>Table6[[#This Row],[Date]]-DAY(Table6[[#This Row],[Date]])+1</f>
        <v>45809</v>
      </c>
      <c r="F1411" s="259">
        <v>45838</v>
      </c>
      <c r="G1411" s="35" t="s">
        <v>119</v>
      </c>
      <c r="H1411" s="35" t="str">
        <f>IFERROR(_xlfn.XLOOKUP(Table6[[#This Row],[Affected WTG]],'Basic Data'!$A:$A,'Basic Data'!$B:$B),"")</f>
        <v>TQGXIIPL</v>
      </c>
      <c r="I1411" s="35" t="str">
        <f>IFERROR(_xlfn.XLOOKUP(Table6[[#This Row],[Affected WTG]],'Basic Data'!$A:$A,'Basic Data'!$C:$C),"")</f>
        <v>GEDA</v>
      </c>
      <c r="J1411" s="260">
        <f>IFERROR(_xlfn.XLOOKUP(Table6[[#This Row],[Affected WTG]],'Basic Data'!$A:$A,'Basic Data'!$E:$E),"")</f>
        <v>3.846153846153845E-2</v>
      </c>
      <c r="K1411" s="102">
        <v>3211</v>
      </c>
      <c r="L1411" s="35" t="str">
        <f>IFERROR(_xlfn.XLOOKUP(Table6[[#This Row],[Error Code]],'Basic Data'!$AA:$AA,'Basic Data'!$AB:$AB),"Incorrect Error Code")</f>
        <v>Conv. load shedding (CAN)</v>
      </c>
      <c r="M1411" s="35" t="s">
        <v>266</v>
      </c>
      <c r="N1411" s="264"/>
      <c r="O1411" s="265">
        <v>0.71388888888888891</v>
      </c>
      <c r="P1411" s="265">
        <v>0.71388888888888891</v>
      </c>
      <c r="Q1411" s="266">
        <v>0.72152777777777777</v>
      </c>
      <c r="R1411" s="261">
        <f>IF(Table6[[#This Row],[Work Start TimeStamp]]="","",(Table6[[#This Row],[Work Start TimeStamp]]-Table6[[#This Row],[Fault Start TimeStamp]])*24)</f>
        <v>0</v>
      </c>
      <c r="S1411" s="261">
        <f>(Table6[[#This Row],[Fault Clearance time]]-Table6[[#This Row],[Work Start TimeStamp]])*24</f>
        <v>0.18333333333333268</v>
      </c>
      <c r="T1411" s="261">
        <f>(Table6[[#This Row],[Fault Clearance time]]-Table6[[#This Row],[Fault Start TimeStamp]])*24</f>
        <v>0.18333333333333268</v>
      </c>
      <c r="U1411" s="35" t="s">
        <v>483</v>
      </c>
      <c r="V1411" s="102" t="s">
        <v>268</v>
      </c>
      <c r="W1411" s="267">
        <f>IFERROR(Table6[[#This Row],[Breakdown Time]]*Table6[[#This Row],[Plant Equivalent Weightage]],"")</f>
        <v>7.0512820512820245E-3</v>
      </c>
      <c r="X1411" s="262" t="s">
        <v>296</v>
      </c>
      <c r="Y1411" s="263" t="s">
        <v>116</v>
      </c>
      <c r="Z1411" s="102">
        <v>53878</v>
      </c>
      <c r="AA1411" s="257">
        <f>(Table6[[#This Row],[Paired WTG Generation for loss calculation]]/24)*Table6[[#This Row],[Breakdown Time]]</f>
        <v>411.56805555555405</v>
      </c>
      <c r="AB1411" s="102"/>
      <c r="AC1411" s="35"/>
      <c r="AD1411" s="35"/>
    </row>
    <row r="1412" spans="1:30">
      <c r="A1412" s="102">
        <f t="shared" si="22"/>
        <v>1411</v>
      </c>
      <c r="B1412" s="257">
        <f>YEAR(Table6[[#This Row],[Date]])+IF(MONTH(Table6[[#This Row],[Date]])&gt;=4,1,0)</f>
        <v>2026</v>
      </c>
      <c r="C1412" s="102">
        <f>YEAR(Table6[[#This Row],[Date]])</f>
        <v>2025</v>
      </c>
      <c r="D1412" s="102" t="s">
        <v>265</v>
      </c>
      <c r="E1412" s="258">
        <f>Table6[[#This Row],[Date]]-DAY(Table6[[#This Row],[Date]])+1</f>
        <v>45809</v>
      </c>
      <c r="F1412" s="259">
        <v>45838</v>
      </c>
      <c r="G1412" s="35" t="s">
        <v>122</v>
      </c>
      <c r="H1412" s="35" t="str">
        <f>IFERROR(_xlfn.XLOOKUP(Table6[[#This Row],[Affected WTG]],'Basic Data'!$A:$A,'Basic Data'!$B:$B),"")</f>
        <v>TQGXIIPL</v>
      </c>
      <c r="I1412" s="35" t="str">
        <f>IFERROR(_xlfn.XLOOKUP(Table6[[#This Row],[Affected WTG]],'Basic Data'!$A:$A,'Basic Data'!$C:$C),"")</f>
        <v>GEDA</v>
      </c>
      <c r="J1412" s="260">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266</v>
      </c>
      <c r="N1412" s="264"/>
      <c r="O1412" s="265">
        <v>5.6250000000000001E-2</v>
      </c>
      <c r="P1412" s="265">
        <v>5.6250000000000001E-2</v>
      </c>
      <c r="Q1412" s="266">
        <v>6.458333333333334E-2</v>
      </c>
      <c r="R1412" s="261">
        <f>IF(Table6[[#This Row],[Work Start TimeStamp]]="","",(Table6[[#This Row],[Work Start TimeStamp]]-Table6[[#This Row],[Fault Start TimeStamp]])*24)</f>
        <v>0</v>
      </c>
      <c r="S1412" s="261">
        <f>(Table6[[#This Row],[Fault Clearance time]]-Table6[[#This Row],[Work Start TimeStamp]])*24</f>
        <v>0.20000000000000012</v>
      </c>
      <c r="T1412" s="261">
        <f>(Table6[[#This Row],[Fault Clearance time]]-Table6[[#This Row],[Fault Start TimeStamp]])*24</f>
        <v>0.20000000000000012</v>
      </c>
      <c r="U1412" s="35" t="s">
        <v>483</v>
      </c>
      <c r="V1412" s="102" t="s">
        <v>268</v>
      </c>
      <c r="W1412" s="267">
        <f>IFERROR(Table6[[#This Row],[Breakdown Time]]*Table6[[#This Row],[Plant Equivalent Weightage]],"")</f>
        <v>7.6923076923076945E-3</v>
      </c>
      <c r="X1412" s="262" t="s">
        <v>296</v>
      </c>
      <c r="Y1412" s="263" t="s">
        <v>140</v>
      </c>
      <c r="Z1412" s="102">
        <v>53074</v>
      </c>
      <c r="AA1412" s="257">
        <f>(Table6[[#This Row],[Paired WTG Generation for loss calculation]]/24)*Table6[[#This Row],[Breakdown Time]]</f>
        <v>442.28333333333359</v>
      </c>
      <c r="AB1412" s="102"/>
      <c r="AC1412" s="35"/>
      <c r="AD1412" s="35"/>
    </row>
    <row r="1413" spans="1:30">
      <c r="A1413" s="102">
        <f t="shared" si="22"/>
        <v>1412</v>
      </c>
      <c r="B1413" s="257">
        <f>YEAR(Table6[[#This Row],[Date]])+IF(MONTH(Table6[[#This Row],[Date]])&gt;=4,1,0)</f>
        <v>2026</v>
      </c>
      <c r="C1413" s="102">
        <f>YEAR(Table6[[#This Row],[Date]])</f>
        <v>2025</v>
      </c>
      <c r="D1413" s="102" t="s">
        <v>265</v>
      </c>
      <c r="E1413" s="258">
        <f>Table6[[#This Row],[Date]]-DAY(Table6[[#This Row],[Date]])+1</f>
        <v>45809</v>
      </c>
      <c r="F1413" s="259">
        <v>45838</v>
      </c>
      <c r="G1413" s="35" t="s">
        <v>122</v>
      </c>
      <c r="H1413" s="35" t="str">
        <f>IFERROR(_xlfn.XLOOKUP(Table6[[#This Row],[Affected WTG]],'Basic Data'!$A:$A,'Basic Data'!$B:$B),"")</f>
        <v>TQGXIIPL</v>
      </c>
      <c r="I1413" s="35" t="str">
        <f>IFERROR(_xlfn.XLOOKUP(Table6[[#This Row],[Affected WTG]],'Basic Data'!$A:$A,'Basic Data'!$C:$C),"")</f>
        <v>GEDA</v>
      </c>
      <c r="J1413" s="260">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266</v>
      </c>
      <c r="N1413" s="264"/>
      <c r="O1413" s="265">
        <v>0.19513888888888889</v>
      </c>
      <c r="P1413" s="265">
        <v>0.19513888888888889</v>
      </c>
      <c r="Q1413" s="266">
        <v>0.19583333333333333</v>
      </c>
      <c r="R1413" s="261">
        <f>IF(Table6[[#This Row],[Work Start TimeStamp]]="","",(Table6[[#This Row],[Work Start TimeStamp]]-Table6[[#This Row],[Fault Start TimeStamp]])*24)</f>
        <v>0</v>
      </c>
      <c r="S1413" s="261">
        <f>(Table6[[#This Row],[Fault Clearance time]]-Table6[[#This Row],[Work Start TimeStamp]])*24</f>
        <v>1.6666666666666607E-2</v>
      </c>
      <c r="T1413" s="261">
        <f>(Table6[[#This Row],[Fault Clearance time]]-Table6[[#This Row],[Fault Start TimeStamp]])*24</f>
        <v>1.6666666666666607E-2</v>
      </c>
      <c r="U1413" s="35" t="s">
        <v>483</v>
      </c>
      <c r="V1413" s="102" t="s">
        <v>268</v>
      </c>
      <c r="W1413" s="267">
        <f>IFERROR(Table6[[#This Row],[Breakdown Time]]*Table6[[#This Row],[Plant Equivalent Weightage]],"")</f>
        <v>6.4102564102563853E-4</v>
      </c>
      <c r="X1413" s="262" t="s">
        <v>296</v>
      </c>
      <c r="Y1413" s="263" t="s">
        <v>140</v>
      </c>
      <c r="Z1413" s="102">
        <v>53074</v>
      </c>
      <c r="AA1413" s="257">
        <f>(Table6[[#This Row],[Paired WTG Generation for loss calculation]]/24)*Table6[[#This Row],[Breakdown Time]]</f>
        <v>36.856944444444309</v>
      </c>
      <c r="AB1413" s="102"/>
      <c r="AC1413" s="35"/>
      <c r="AD1413" s="35"/>
    </row>
    <row r="1414" spans="1:30">
      <c r="A1414" s="102">
        <f t="shared" si="22"/>
        <v>1413</v>
      </c>
      <c r="B1414" s="257">
        <f>YEAR(Table6[[#This Row],[Date]])+IF(MONTH(Table6[[#This Row],[Date]])&gt;=4,1,0)</f>
        <v>2026</v>
      </c>
      <c r="C1414" s="102">
        <f>YEAR(Table6[[#This Row],[Date]])</f>
        <v>2025</v>
      </c>
      <c r="D1414" s="102" t="s">
        <v>265</v>
      </c>
      <c r="E1414" s="258">
        <f>Table6[[#This Row],[Date]]-DAY(Table6[[#This Row],[Date]])+1</f>
        <v>45809</v>
      </c>
      <c r="F1414" s="259">
        <v>45838</v>
      </c>
      <c r="G1414" s="35" t="s">
        <v>122</v>
      </c>
      <c r="H1414" s="35" t="str">
        <f>IFERROR(_xlfn.XLOOKUP(Table6[[#This Row],[Affected WTG]],'Basic Data'!$A:$A,'Basic Data'!$B:$B),"")</f>
        <v>TQGXIIPL</v>
      </c>
      <c r="I1414" s="35" t="str">
        <f>IFERROR(_xlfn.XLOOKUP(Table6[[#This Row],[Affected WTG]],'Basic Data'!$A:$A,'Basic Data'!$C:$C),"")</f>
        <v>GEDA</v>
      </c>
      <c r="J1414" s="260">
        <f>IFERROR(_xlfn.XLOOKUP(Table6[[#This Row],[Affected WTG]],'Basic Data'!$A:$A,'Basic Data'!$E:$E),"")</f>
        <v>3.846153846153845E-2</v>
      </c>
      <c r="K1414" s="102">
        <v>665</v>
      </c>
      <c r="L1414" s="35" t="str">
        <f>IFERROR(_xlfn.XLOOKUP(Table6[[#This Row],[Error Code]],'Basic Data'!$AA:$AA,'Basic Data'!$AB:$AB),"Incorrect Error Code")</f>
        <v>Pitch error</v>
      </c>
      <c r="M1414" s="35" t="s">
        <v>266</v>
      </c>
      <c r="N1414" s="264"/>
      <c r="O1414" s="265">
        <v>0.44722222222222224</v>
      </c>
      <c r="P1414" s="265">
        <v>0.44722222222222224</v>
      </c>
      <c r="Q1414" s="266">
        <v>0.46041666666666664</v>
      </c>
      <c r="R1414" s="261">
        <f>IF(Table6[[#This Row],[Work Start TimeStamp]]="","",(Table6[[#This Row],[Work Start TimeStamp]]-Table6[[#This Row],[Fault Start TimeStamp]])*24)</f>
        <v>0</v>
      </c>
      <c r="S1414" s="261">
        <f>(Table6[[#This Row],[Fault Clearance time]]-Table6[[#This Row],[Work Start TimeStamp]])*24</f>
        <v>0.31666666666666554</v>
      </c>
      <c r="T1414" s="261">
        <f>(Table6[[#This Row],[Fault Clearance time]]-Table6[[#This Row],[Fault Start TimeStamp]])*24</f>
        <v>0.31666666666666554</v>
      </c>
      <c r="U1414" s="35" t="s">
        <v>483</v>
      </c>
      <c r="V1414" s="102" t="s">
        <v>268</v>
      </c>
      <c r="W1414" s="267">
        <f>IFERROR(Table6[[#This Row],[Breakdown Time]]*Table6[[#This Row],[Plant Equivalent Weightage]],"")</f>
        <v>1.2179487179487133E-2</v>
      </c>
      <c r="X1414" s="262" t="s">
        <v>296</v>
      </c>
      <c r="Y1414" s="263" t="s">
        <v>140</v>
      </c>
      <c r="Z1414" s="102">
        <v>53074</v>
      </c>
      <c r="AA1414" s="257">
        <f>(Table6[[#This Row],[Paired WTG Generation for loss calculation]]/24)*Table6[[#This Row],[Breakdown Time]]</f>
        <v>700.28194444444193</v>
      </c>
      <c r="AB1414" s="102"/>
      <c r="AC1414" s="35"/>
      <c r="AD1414" s="35"/>
    </row>
    <row r="1415" spans="1:30">
      <c r="A1415" s="102">
        <f t="shared" si="22"/>
        <v>1414</v>
      </c>
      <c r="B1415" s="257">
        <f>YEAR(Table6[[#This Row],[Date]])+IF(MONTH(Table6[[#This Row],[Date]])&gt;=4,1,0)</f>
        <v>2026</v>
      </c>
      <c r="C1415" s="102">
        <f>YEAR(Table6[[#This Row],[Date]])</f>
        <v>2025</v>
      </c>
      <c r="D1415" s="102" t="s">
        <v>265</v>
      </c>
      <c r="E1415" s="258">
        <f>Table6[[#This Row],[Date]]-DAY(Table6[[#This Row],[Date]])+1</f>
        <v>45809</v>
      </c>
      <c r="F1415" s="259">
        <v>45838</v>
      </c>
      <c r="G1415" s="35" t="s">
        <v>122</v>
      </c>
      <c r="H1415" s="35" t="str">
        <f>IFERROR(_xlfn.XLOOKUP(Table6[[#This Row],[Affected WTG]],'Basic Data'!$A:$A,'Basic Data'!$B:$B),"")</f>
        <v>TQGXIIPL</v>
      </c>
      <c r="I1415" s="35" t="str">
        <f>IFERROR(_xlfn.XLOOKUP(Table6[[#This Row],[Affected WTG]],'Basic Data'!$A:$A,'Basic Data'!$C:$C),"")</f>
        <v>GEDA</v>
      </c>
      <c r="J1415" s="260">
        <f>IFERROR(_xlfn.XLOOKUP(Table6[[#This Row],[Affected WTG]],'Basic Data'!$A:$A,'Basic Data'!$E:$E),"")</f>
        <v>3.846153846153845E-2</v>
      </c>
      <c r="K1415" s="102">
        <v>665</v>
      </c>
      <c r="L1415" s="35" t="str">
        <f>IFERROR(_xlfn.XLOOKUP(Table6[[#This Row],[Error Code]],'Basic Data'!$AA:$AA,'Basic Data'!$AB:$AB),"Incorrect Error Code")</f>
        <v>Pitch error</v>
      </c>
      <c r="M1415" s="35" t="s">
        <v>266</v>
      </c>
      <c r="N1415" s="264"/>
      <c r="O1415" s="265">
        <v>0.46180555555555558</v>
      </c>
      <c r="P1415" s="265">
        <v>0.46180555555555558</v>
      </c>
      <c r="Q1415" s="266">
        <v>0.70416666666666672</v>
      </c>
      <c r="R1415" s="261">
        <f>IF(Table6[[#This Row],[Work Start TimeStamp]]="","",(Table6[[#This Row],[Work Start TimeStamp]]-Table6[[#This Row],[Fault Start TimeStamp]])*24)</f>
        <v>0</v>
      </c>
      <c r="S1415" s="261">
        <f>(Table6[[#This Row],[Fault Clearance time]]-Table6[[#This Row],[Work Start TimeStamp]])*24</f>
        <v>5.8166666666666673</v>
      </c>
      <c r="T1415" s="261">
        <f>(Table6[[#This Row],[Fault Clearance time]]-Table6[[#This Row],[Fault Start TimeStamp]])*24</f>
        <v>5.8166666666666673</v>
      </c>
      <c r="U1415" s="35" t="s">
        <v>567</v>
      </c>
      <c r="V1415" s="102" t="s">
        <v>268</v>
      </c>
      <c r="W1415" s="267">
        <f>IFERROR(Table6[[#This Row],[Breakdown Time]]*Table6[[#This Row],[Plant Equivalent Weightage]],"")</f>
        <v>0.22371794871794867</v>
      </c>
      <c r="X1415" s="262" t="s">
        <v>296</v>
      </c>
      <c r="Y1415" s="263" t="s">
        <v>140</v>
      </c>
      <c r="Z1415" s="102">
        <v>53074</v>
      </c>
      <c r="AA1415" s="257">
        <f>(Table6[[#This Row],[Paired WTG Generation for loss calculation]]/24)*Table6[[#This Row],[Breakdown Time]]</f>
        <v>12863.073611111111</v>
      </c>
      <c r="AB1415" s="102"/>
      <c r="AC1415" s="35"/>
      <c r="AD1415" s="35"/>
    </row>
    <row r="1416" spans="1:30">
      <c r="A1416" s="102">
        <f t="shared" si="22"/>
        <v>1415</v>
      </c>
      <c r="B1416" s="257">
        <f>YEAR(Table6[[#This Row],[Date]])+IF(MONTH(Table6[[#This Row],[Date]])&gt;=4,1,0)</f>
        <v>2026</v>
      </c>
      <c r="C1416" s="102">
        <f>YEAR(Table6[[#This Row],[Date]])</f>
        <v>2025</v>
      </c>
      <c r="D1416" s="102" t="s">
        <v>265</v>
      </c>
      <c r="E1416" s="258">
        <f>Table6[[#This Row],[Date]]-DAY(Table6[[#This Row],[Date]])+1</f>
        <v>45809</v>
      </c>
      <c r="F1416" s="259">
        <v>45838</v>
      </c>
      <c r="G1416" s="35" t="s">
        <v>122</v>
      </c>
      <c r="H1416" s="35" t="str">
        <f>IFERROR(_xlfn.XLOOKUP(Table6[[#This Row],[Affected WTG]],'Basic Data'!$A:$A,'Basic Data'!$B:$B),"")</f>
        <v>TQGXIIPL</v>
      </c>
      <c r="I1416" s="35" t="str">
        <f>IFERROR(_xlfn.XLOOKUP(Table6[[#This Row],[Affected WTG]],'Basic Data'!$A:$A,'Basic Data'!$C:$C),"")</f>
        <v>GEDA</v>
      </c>
      <c r="J1416" s="260">
        <f>IFERROR(_xlfn.XLOOKUP(Table6[[#This Row],[Affected WTG]],'Basic Data'!$A:$A,'Basic Data'!$E:$E),"")</f>
        <v>3.846153846153845E-2</v>
      </c>
      <c r="K1416" s="102">
        <v>152</v>
      </c>
      <c r="L1416" s="35" t="str">
        <f>IFERROR(_xlfn.XLOOKUP(Table6[[#This Row],[Error Code]],'Basic Data'!$AA:$AA,'Basic Data'!$AB:$AB),"Incorrect Error Code")</f>
        <v>SLC app. not in SAFE mode</v>
      </c>
      <c r="M1416" s="35" t="s">
        <v>266</v>
      </c>
      <c r="N1416" s="264"/>
      <c r="O1416" s="265">
        <v>0.71458333333333335</v>
      </c>
      <c r="P1416" s="265">
        <v>0.71458333333333335</v>
      </c>
      <c r="Q1416" s="266">
        <v>0.72152777777777777</v>
      </c>
      <c r="R1416" s="261">
        <f>IF(Table6[[#This Row],[Work Start TimeStamp]]="","",(Table6[[#This Row],[Work Start TimeStamp]]-Table6[[#This Row],[Fault Start TimeStamp]])*24)</f>
        <v>0</v>
      </c>
      <c r="S1416" s="261">
        <f>(Table6[[#This Row],[Fault Clearance time]]-Table6[[#This Row],[Work Start TimeStamp]])*24</f>
        <v>0.16666666666666607</v>
      </c>
      <c r="T1416" s="261">
        <f>(Table6[[#This Row],[Fault Clearance time]]-Table6[[#This Row],[Fault Start TimeStamp]])*24</f>
        <v>0.16666666666666607</v>
      </c>
      <c r="U1416" s="35" t="s">
        <v>483</v>
      </c>
      <c r="V1416" s="102" t="s">
        <v>268</v>
      </c>
      <c r="W1416" s="267">
        <f>IFERROR(Table6[[#This Row],[Breakdown Time]]*Table6[[#This Row],[Plant Equivalent Weightage]],"")</f>
        <v>6.4102564102563857E-3</v>
      </c>
      <c r="X1416" s="262" t="s">
        <v>296</v>
      </c>
      <c r="Y1416" s="263" t="s">
        <v>140</v>
      </c>
      <c r="Z1416" s="102">
        <v>53074</v>
      </c>
      <c r="AA1416" s="257">
        <f>(Table6[[#This Row],[Paired WTG Generation for loss calculation]]/24)*Table6[[#This Row],[Breakdown Time]]</f>
        <v>368.56944444444309</v>
      </c>
      <c r="AB1416" s="102"/>
      <c r="AC1416" s="35"/>
      <c r="AD1416" s="35"/>
    </row>
    <row r="1417" spans="1:30">
      <c r="A1417" s="102">
        <f t="shared" si="22"/>
        <v>1416</v>
      </c>
      <c r="B1417" s="257">
        <f>YEAR(Table6[[#This Row],[Date]])+IF(MONTH(Table6[[#This Row],[Date]])&gt;=4,1,0)</f>
        <v>2026</v>
      </c>
      <c r="C1417" s="102">
        <f>YEAR(Table6[[#This Row],[Date]])</f>
        <v>2025</v>
      </c>
      <c r="D1417" s="102" t="s">
        <v>265</v>
      </c>
      <c r="E1417" s="258">
        <f>Table6[[#This Row],[Date]]-DAY(Table6[[#This Row],[Date]])+1</f>
        <v>45809</v>
      </c>
      <c r="F1417" s="259">
        <v>45838</v>
      </c>
      <c r="G1417" s="35" t="s">
        <v>123</v>
      </c>
      <c r="H1417" s="35" t="str">
        <f>IFERROR(_xlfn.XLOOKUP(Table6[[#This Row],[Affected WTG]],'Basic Data'!$A:$A,'Basic Data'!$B:$B),"")</f>
        <v>TQGXIIPL</v>
      </c>
      <c r="I1417" s="35" t="str">
        <f>IFERROR(_xlfn.XLOOKUP(Table6[[#This Row],[Affected WTG]],'Basic Data'!$A:$A,'Basic Data'!$C:$C),"")</f>
        <v>GEDA</v>
      </c>
      <c r="J1417" s="260">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266</v>
      </c>
      <c r="N1417" s="264"/>
      <c r="O1417" s="265">
        <v>0</v>
      </c>
      <c r="P1417" s="265">
        <v>0</v>
      </c>
      <c r="Q1417" s="266">
        <v>0.10347222222222222</v>
      </c>
      <c r="R1417" s="261">
        <f>IF(Table6[[#This Row],[Work Start TimeStamp]]="","",(Table6[[#This Row],[Work Start TimeStamp]]-Table6[[#This Row],[Fault Start TimeStamp]])*24)</f>
        <v>0</v>
      </c>
      <c r="S1417" s="261">
        <f>(Table6[[#This Row],[Fault Clearance time]]-Table6[[#This Row],[Work Start TimeStamp]])*24</f>
        <v>2.4833333333333334</v>
      </c>
      <c r="T1417" s="261">
        <f>(Table6[[#This Row],[Fault Clearance time]]-Table6[[#This Row],[Fault Start TimeStamp]])*24</f>
        <v>2.4833333333333334</v>
      </c>
      <c r="U1417" s="35" t="s">
        <v>568</v>
      </c>
      <c r="V1417" s="102" t="s">
        <v>268</v>
      </c>
      <c r="W1417" s="267">
        <f>IFERROR(Table6[[#This Row],[Breakdown Time]]*Table6[[#This Row],[Plant Equivalent Weightage]],"")</f>
        <v>9.5512820512820493E-2</v>
      </c>
      <c r="X1417" s="262" t="s">
        <v>296</v>
      </c>
      <c r="Y1417" s="263" t="s">
        <v>117</v>
      </c>
      <c r="Z1417" s="102">
        <v>52369</v>
      </c>
      <c r="AA1417" s="257">
        <f>(Table6[[#This Row],[Paired WTG Generation for loss calculation]]/24)*Table6[[#This Row],[Breakdown Time]]</f>
        <v>5418.7368055555553</v>
      </c>
      <c r="AB1417" s="102"/>
      <c r="AC1417" s="35"/>
      <c r="AD1417" s="35"/>
    </row>
    <row r="1418" spans="1:30">
      <c r="A1418" s="102">
        <f t="shared" si="22"/>
        <v>1417</v>
      </c>
      <c r="B1418" s="257">
        <f>YEAR(Table6[[#This Row],[Date]])+IF(MONTH(Table6[[#This Row],[Date]])&gt;=4,1,0)</f>
        <v>2026</v>
      </c>
      <c r="C1418" s="102">
        <f>YEAR(Table6[[#This Row],[Date]])</f>
        <v>2025</v>
      </c>
      <c r="D1418" s="102" t="s">
        <v>265</v>
      </c>
      <c r="E1418" s="258">
        <f>Table6[[#This Row],[Date]]-DAY(Table6[[#This Row],[Date]])+1</f>
        <v>45809</v>
      </c>
      <c r="F1418" s="259">
        <v>45838</v>
      </c>
      <c r="G1418" s="35" t="s">
        <v>124</v>
      </c>
      <c r="H1418" s="35" t="str">
        <f>IFERROR(_xlfn.XLOOKUP(Table6[[#This Row],[Affected WTG]],'Basic Data'!$A:$A,'Basic Data'!$B:$B),"")</f>
        <v>TQGXIIPL</v>
      </c>
      <c r="I1418" s="35" t="str">
        <f>IFERROR(_xlfn.XLOOKUP(Table6[[#This Row],[Affected WTG]],'Basic Data'!$A:$A,'Basic Data'!$C:$C),"")</f>
        <v>GEDA</v>
      </c>
      <c r="J1418" s="260">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266</v>
      </c>
      <c r="N1418" s="264"/>
      <c r="O1418" s="265">
        <v>0.44027777777777777</v>
      </c>
      <c r="P1418" s="265">
        <v>0.44027777777777777</v>
      </c>
      <c r="Q1418" s="266">
        <v>0.45416666666666666</v>
      </c>
      <c r="R1418" s="261">
        <f>IF(Table6[[#This Row],[Work Start TimeStamp]]="","",(Table6[[#This Row],[Work Start TimeStamp]]-Table6[[#This Row],[Fault Start TimeStamp]])*24)</f>
        <v>0</v>
      </c>
      <c r="S1418" s="261">
        <f>(Table6[[#This Row],[Fault Clearance time]]-Table6[[#This Row],[Work Start TimeStamp]])*24</f>
        <v>0.33333333333333348</v>
      </c>
      <c r="T1418" s="261">
        <f>(Table6[[#This Row],[Fault Clearance time]]-Table6[[#This Row],[Fault Start TimeStamp]])*24</f>
        <v>0.33333333333333348</v>
      </c>
      <c r="U1418" s="35" t="s">
        <v>483</v>
      </c>
      <c r="V1418" s="102" t="s">
        <v>268</v>
      </c>
      <c r="W1418" s="267">
        <f>IFERROR(Table6[[#This Row],[Breakdown Time]]*Table6[[#This Row],[Plant Equivalent Weightage]],"")</f>
        <v>1.2820512820512822E-2</v>
      </c>
      <c r="X1418" s="262" t="s">
        <v>296</v>
      </c>
      <c r="Y1418" s="263" t="s">
        <v>129</v>
      </c>
      <c r="Z1418" s="102">
        <v>51323</v>
      </c>
      <c r="AA1418" s="257">
        <f>(Table6[[#This Row],[Paired WTG Generation for loss calculation]]/24)*Table6[[#This Row],[Breakdown Time]]</f>
        <v>712.8194444444448</v>
      </c>
      <c r="AB1418" s="102"/>
      <c r="AC1418" s="35"/>
      <c r="AD1418" s="35"/>
    </row>
    <row r="1419" spans="1:30">
      <c r="A1419" s="102">
        <f t="shared" si="22"/>
        <v>1418</v>
      </c>
      <c r="B1419" s="257">
        <f>YEAR(Table6[[#This Row],[Date]])+IF(MONTH(Table6[[#This Row],[Date]])&gt;=4,1,0)</f>
        <v>2026</v>
      </c>
      <c r="C1419" s="102">
        <f>YEAR(Table6[[#This Row],[Date]])</f>
        <v>2025</v>
      </c>
      <c r="D1419" s="102" t="s">
        <v>265</v>
      </c>
      <c r="E1419" s="258">
        <f>Table6[[#This Row],[Date]]-DAY(Table6[[#This Row],[Date]])+1</f>
        <v>45809</v>
      </c>
      <c r="F1419" s="259">
        <v>45838</v>
      </c>
      <c r="G1419" s="35" t="s">
        <v>124</v>
      </c>
      <c r="H1419" s="35" t="str">
        <f>IFERROR(_xlfn.XLOOKUP(Table6[[#This Row],[Affected WTG]],'Basic Data'!$A:$A,'Basic Data'!$B:$B),"")</f>
        <v>TQGXIIPL</v>
      </c>
      <c r="I1419" s="35" t="str">
        <f>IFERROR(_xlfn.XLOOKUP(Table6[[#This Row],[Affected WTG]],'Basic Data'!$A:$A,'Basic Data'!$C:$C),"")</f>
        <v>GEDA</v>
      </c>
      <c r="J1419" s="260">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266</v>
      </c>
      <c r="N1419" s="264"/>
      <c r="O1419" s="265">
        <v>0.68680555555555556</v>
      </c>
      <c r="P1419" s="265">
        <v>0.68680555555555556</v>
      </c>
      <c r="Q1419" s="266">
        <v>0.68819444444444444</v>
      </c>
      <c r="R1419" s="261">
        <f>IF(Table6[[#This Row],[Work Start TimeStamp]]="","",(Table6[[#This Row],[Work Start TimeStamp]]-Table6[[#This Row],[Fault Start TimeStamp]])*24)</f>
        <v>0</v>
      </c>
      <c r="S1419" s="261">
        <f>(Table6[[#This Row],[Fault Clearance time]]-Table6[[#This Row],[Work Start TimeStamp]])*24</f>
        <v>3.3333333333333215E-2</v>
      </c>
      <c r="T1419" s="261">
        <f>(Table6[[#This Row],[Fault Clearance time]]-Table6[[#This Row],[Fault Start TimeStamp]])*24</f>
        <v>3.3333333333333215E-2</v>
      </c>
      <c r="U1419" s="35" t="s">
        <v>483</v>
      </c>
      <c r="V1419" s="102" t="s">
        <v>268</v>
      </c>
      <c r="W1419" s="267">
        <f>IFERROR(Table6[[#This Row],[Breakdown Time]]*Table6[[#This Row],[Plant Equivalent Weightage]],"")</f>
        <v>1.2820512820512771E-3</v>
      </c>
      <c r="X1419" s="262" t="s">
        <v>296</v>
      </c>
      <c r="Y1419" s="263" t="s">
        <v>129</v>
      </c>
      <c r="Z1419" s="102">
        <v>51323</v>
      </c>
      <c r="AA1419" s="257">
        <f>(Table6[[#This Row],[Paired WTG Generation for loss calculation]]/24)*Table6[[#This Row],[Breakdown Time]]</f>
        <v>71.281944444444193</v>
      </c>
      <c r="AB1419" s="102"/>
      <c r="AC1419" s="35"/>
      <c r="AD1419" s="35"/>
    </row>
    <row r="1420" spans="1:30">
      <c r="A1420" s="102">
        <f t="shared" si="22"/>
        <v>1419</v>
      </c>
      <c r="B1420" s="257">
        <f>YEAR(Table6[[#This Row],[Date]])+IF(MONTH(Table6[[#This Row],[Date]])&gt;=4,1,0)</f>
        <v>2026</v>
      </c>
      <c r="C1420" s="102">
        <f>YEAR(Table6[[#This Row],[Date]])</f>
        <v>2025</v>
      </c>
      <c r="D1420" s="102" t="s">
        <v>265</v>
      </c>
      <c r="E1420" s="258">
        <f>Table6[[#This Row],[Date]]-DAY(Table6[[#This Row],[Date]])+1</f>
        <v>45809</v>
      </c>
      <c r="F1420" s="259">
        <v>45838</v>
      </c>
      <c r="G1420" s="35" t="s">
        <v>130</v>
      </c>
      <c r="H1420" s="35" t="str">
        <f>IFERROR(_xlfn.XLOOKUP(Table6[[#This Row],[Affected WTG]],'Basic Data'!$A:$A,'Basic Data'!$B:$B),"")</f>
        <v>TQGXIIPL</v>
      </c>
      <c r="I1420" s="35" t="str">
        <f>IFERROR(_xlfn.XLOOKUP(Table6[[#This Row],[Affected WTG]],'Basic Data'!$A:$A,'Basic Data'!$C:$C),"")</f>
        <v>GEDA</v>
      </c>
      <c r="J1420" s="260">
        <f>IFERROR(_xlfn.XLOOKUP(Table6[[#This Row],[Affected WTG]],'Basic Data'!$A:$A,'Basic Data'!$E:$E),"")</f>
        <v>3.846153846153845E-2</v>
      </c>
      <c r="K1420" s="102">
        <v>4970</v>
      </c>
      <c r="L1420" s="35" t="str">
        <f>IFERROR(_xlfn.XLOOKUP(Table6[[#This Row],[Error Code]],'Basic Data'!$AA:$AA,'Basic Data'!$AB:$AB),"Incorrect Error Code")</f>
        <v>Tower oscillation XF</v>
      </c>
      <c r="M1420" s="35" t="s">
        <v>278</v>
      </c>
      <c r="N1420" s="264"/>
      <c r="O1420" s="265">
        <v>0.84166666666666667</v>
      </c>
      <c r="P1420" s="265">
        <v>0.84166666666666667</v>
      </c>
      <c r="Q1420" s="266">
        <v>0.85277777777777775</v>
      </c>
      <c r="R1420" s="261">
        <f>IF(Table6[[#This Row],[Work Start TimeStamp]]="","",(Table6[[#This Row],[Work Start TimeStamp]]-Table6[[#This Row],[Fault Start TimeStamp]])*24)</f>
        <v>0</v>
      </c>
      <c r="S1420" s="261">
        <f>(Table6[[#This Row],[Fault Clearance time]]-Table6[[#This Row],[Work Start TimeStamp]])*24</f>
        <v>0.26666666666666572</v>
      </c>
      <c r="T1420" s="261">
        <f>(Table6[[#This Row],[Fault Clearance time]]-Table6[[#This Row],[Fault Start TimeStamp]])*24</f>
        <v>0.26666666666666572</v>
      </c>
      <c r="U1420" s="35" t="s">
        <v>277</v>
      </c>
      <c r="V1420" s="102" t="s">
        <v>268</v>
      </c>
      <c r="W1420" s="267">
        <f>IFERROR(Table6[[#This Row],[Breakdown Time]]*Table6[[#This Row],[Plant Equivalent Weightage]],"")</f>
        <v>1.0256410256410217E-2</v>
      </c>
      <c r="X1420" s="262" t="s">
        <v>269</v>
      </c>
      <c r="Y1420" s="263" t="s">
        <v>135</v>
      </c>
      <c r="Z1420" s="102">
        <v>59418</v>
      </c>
      <c r="AA1420" s="257">
        <f>(Table6[[#This Row],[Paired WTG Generation for loss calculation]]/24)*Table6[[#This Row],[Breakdown Time]]</f>
        <v>660.19999999999766</v>
      </c>
      <c r="AB1420" s="102"/>
      <c r="AC1420" s="35"/>
      <c r="AD1420" s="35"/>
    </row>
    <row r="1421" spans="1:30">
      <c r="A1421" s="102">
        <f t="shared" si="22"/>
        <v>1420</v>
      </c>
      <c r="B1421" s="257">
        <f>YEAR(Table6[[#This Row],[Date]])+IF(MONTH(Table6[[#This Row],[Date]])&gt;=4,1,0)</f>
        <v>2026</v>
      </c>
      <c r="C1421" s="102">
        <f>YEAR(Table6[[#This Row],[Date]])</f>
        <v>2025</v>
      </c>
      <c r="D1421" s="102" t="s">
        <v>265</v>
      </c>
      <c r="E1421" s="258">
        <f>Table6[[#This Row],[Date]]-DAY(Table6[[#This Row],[Date]])+1</f>
        <v>45809</v>
      </c>
      <c r="F1421" s="259">
        <v>45838</v>
      </c>
      <c r="G1421" s="35" t="s">
        <v>130</v>
      </c>
      <c r="H1421" s="35" t="str">
        <f>IFERROR(_xlfn.XLOOKUP(Table6[[#This Row],[Affected WTG]],'Basic Data'!$A:$A,'Basic Data'!$B:$B),"")</f>
        <v>TQGXIIPL</v>
      </c>
      <c r="I1421" s="35" t="str">
        <f>IFERROR(_xlfn.XLOOKUP(Table6[[#This Row],[Affected WTG]],'Basic Data'!$A:$A,'Basic Data'!$C:$C),"")</f>
        <v>GEDA</v>
      </c>
      <c r="J1421" s="260">
        <f>IFERROR(_xlfn.XLOOKUP(Table6[[#This Row],[Affected WTG]],'Basic Data'!$A:$A,'Basic Data'!$E:$E),"")</f>
        <v>3.846153846153845E-2</v>
      </c>
      <c r="K1421" s="102">
        <v>4970</v>
      </c>
      <c r="L1421" s="35" t="str">
        <f>IFERROR(_xlfn.XLOOKUP(Table6[[#This Row],[Error Code]],'Basic Data'!$AA:$AA,'Basic Data'!$AB:$AB),"Incorrect Error Code")</f>
        <v>Tower oscillation XF</v>
      </c>
      <c r="M1421" s="35" t="s">
        <v>278</v>
      </c>
      <c r="N1421" s="264"/>
      <c r="O1421" s="265">
        <v>0.86458333333333337</v>
      </c>
      <c r="P1421" s="265">
        <v>0.86458333333333337</v>
      </c>
      <c r="Q1421" s="266">
        <v>0.87291666666666667</v>
      </c>
      <c r="R1421" s="261">
        <f>IF(Table6[[#This Row],[Work Start TimeStamp]]="","",(Table6[[#This Row],[Work Start TimeStamp]]-Table6[[#This Row],[Fault Start TimeStamp]])*24)</f>
        <v>0</v>
      </c>
      <c r="S1421" s="261">
        <f>(Table6[[#This Row],[Fault Clearance time]]-Table6[[#This Row],[Work Start TimeStamp]])*24</f>
        <v>0.19999999999999929</v>
      </c>
      <c r="T1421" s="261">
        <f>(Table6[[#This Row],[Fault Clearance time]]-Table6[[#This Row],[Fault Start TimeStamp]])*24</f>
        <v>0.19999999999999929</v>
      </c>
      <c r="U1421" s="35" t="s">
        <v>277</v>
      </c>
      <c r="V1421" s="102" t="s">
        <v>268</v>
      </c>
      <c r="W1421" s="267">
        <f>IFERROR(Table6[[#This Row],[Breakdown Time]]*Table6[[#This Row],[Plant Equivalent Weightage]],"")</f>
        <v>7.6923076923076624E-3</v>
      </c>
      <c r="X1421" s="262" t="s">
        <v>269</v>
      </c>
      <c r="Y1421" s="263" t="s">
        <v>135</v>
      </c>
      <c r="Z1421" s="102">
        <v>59418</v>
      </c>
      <c r="AA1421" s="257">
        <f>(Table6[[#This Row],[Paired WTG Generation for loss calculation]]/24)*Table6[[#This Row],[Breakdown Time]]</f>
        <v>495.14999999999822</v>
      </c>
      <c r="AB1421" s="102"/>
      <c r="AC1421" s="35"/>
      <c r="AD1421" s="35"/>
    </row>
    <row r="1422" spans="1:30">
      <c r="A1422" s="102">
        <f t="shared" si="22"/>
        <v>1421</v>
      </c>
      <c r="B1422" s="257">
        <f>YEAR(Table6[[#This Row],[Date]])+IF(MONTH(Table6[[#This Row],[Date]])&gt;=4,1,0)</f>
        <v>2026</v>
      </c>
      <c r="C1422" s="102">
        <f>YEAR(Table6[[#This Row],[Date]])</f>
        <v>2025</v>
      </c>
      <c r="D1422" s="102" t="s">
        <v>265</v>
      </c>
      <c r="E1422" s="258">
        <f>Table6[[#This Row],[Date]]-DAY(Table6[[#This Row],[Date]])+1</f>
        <v>45809</v>
      </c>
      <c r="F1422" s="259">
        <v>45838</v>
      </c>
      <c r="G1422" s="35" t="s">
        <v>131</v>
      </c>
      <c r="H1422" s="35" t="str">
        <f>IFERROR(_xlfn.XLOOKUP(Table6[[#This Row],[Affected WTG]],'Basic Data'!$A:$A,'Basic Data'!$B:$B),"")</f>
        <v>TQGXIIPL</v>
      </c>
      <c r="I1422" s="35" t="str">
        <f>IFERROR(_xlfn.XLOOKUP(Table6[[#This Row],[Affected WTG]],'Basic Data'!$A:$A,'Basic Data'!$C:$C),"")</f>
        <v>GEDA</v>
      </c>
      <c r="J1422" s="260">
        <f>IFERROR(_xlfn.XLOOKUP(Table6[[#This Row],[Affected WTG]],'Basic Data'!$A:$A,'Basic Data'!$E:$E),"")</f>
        <v>3.846153846153845E-2</v>
      </c>
      <c r="K1422" s="102">
        <v>3211</v>
      </c>
      <c r="L1422" s="35" t="str">
        <f>IFERROR(_xlfn.XLOOKUP(Table6[[#This Row],[Error Code]],'Basic Data'!$AA:$AA,'Basic Data'!$AB:$AB),"Incorrect Error Code")</f>
        <v>Conv. load shedding (CAN)</v>
      </c>
      <c r="M1422" s="35" t="s">
        <v>266</v>
      </c>
      <c r="N1422" s="264"/>
      <c r="O1422" s="265">
        <v>3.9583333333333331E-2</v>
      </c>
      <c r="P1422" s="265">
        <v>3.9583333333333331E-2</v>
      </c>
      <c r="Q1422" s="266">
        <v>4.1666666666666664E-2</v>
      </c>
      <c r="R1422" s="261">
        <f>IF(Table6[[#This Row],[Work Start TimeStamp]]="","",(Table6[[#This Row],[Work Start TimeStamp]]-Table6[[#This Row],[Fault Start TimeStamp]])*24)</f>
        <v>0</v>
      </c>
      <c r="S1422" s="261">
        <f>(Table6[[#This Row],[Fault Clearance time]]-Table6[[#This Row],[Work Start TimeStamp]])*24</f>
        <v>4.9999999999999989E-2</v>
      </c>
      <c r="T1422" s="261">
        <f>(Table6[[#This Row],[Fault Clearance time]]-Table6[[#This Row],[Fault Start TimeStamp]])*24</f>
        <v>4.9999999999999989E-2</v>
      </c>
      <c r="U1422" s="35" t="s">
        <v>483</v>
      </c>
      <c r="V1422" s="102" t="s">
        <v>268</v>
      </c>
      <c r="W1422" s="267">
        <f>IFERROR(Table6[[#This Row],[Breakdown Time]]*Table6[[#This Row],[Plant Equivalent Weightage]],"")</f>
        <v>1.9230769230769221E-3</v>
      </c>
      <c r="X1422" s="262" t="s">
        <v>296</v>
      </c>
      <c r="Y1422" s="263" t="s">
        <v>136</v>
      </c>
      <c r="Z1422" s="102">
        <v>58811</v>
      </c>
      <c r="AA1422" s="257">
        <f>(Table6[[#This Row],[Paired WTG Generation for loss calculation]]/24)*Table6[[#This Row],[Breakdown Time]]</f>
        <v>122.52291666666665</v>
      </c>
      <c r="AB1422" s="102"/>
      <c r="AC1422" s="35"/>
      <c r="AD1422" s="35"/>
    </row>
    <row r="1423" spans="1:30">
      <c r="A1423" s="102">
        <f t="shared" ref="A1423:A1486" si="23">A1422+1</f>
        <v>1422</v>
      </c>
      <c r="B1423" s="257">
        <f>YEAR(Table6[[#This Row],[Date]])+IF(MONTH(Table6[[#This Row],[Date]])&gt;=4,1,0)</f>
        <v>2026</v>
      </c>
      <c r="C1423" s="102">
        <f>YEAR(Table6[[#This Row],[Date]])</f>
        <v>2025</v>
      </c>
      <c r="D1423" s="102" t="s">
        <v>265</v>
      </c>
      <c r="E1423" s="258">
        <f>Table6[[#This Row],[Date]]-DAY(Table6[[#This Row],[Date]])+1</f>
        <v>45809</v>
      </c>
      <c r="F1423" s="259">
        <v>45838</v>
      </c>
      <c r="G1423" s="35" t="s">
        <v>131</v>
      </c>
      <c r="H1423" s="35" t="str">
        <f>IFERROR(_xlfn.XLOOKUP(Table6[[#This Row],[Affected WTG]],'Basic Data'!$A:$A,'Basic Data'!$B:$B),"")</f>
        <v>TQGXIIPL</v>
      </c>
      <c r="I1423" s="35" t="str">
        <f>IFERROR(_xlfn.XLOOKUP(Table6[[#This Row],[Affected WTG]],'Basic Data'!$A:$A,'Basic Data'!$C:$C),"")</f>
        <v>GEDA</v>
      </c>
      <c r="J1423" s="260">
        <f>IFERROR(_xlfn.XLOOKUP(Table6[[#This Row],[Affected WTG]],'Basic Data'!$A:$A,'Basic Data'!$E:$E),"")</f>
        <v>3.846153846153845E-2</v>
      </c>
      <c r="K1423" s="102">
        <v>3211</v>
      </c>
      <c r="L1423" s="35" t="str">
        <f>IFERROR(_xlfn.XLOOKUP(Table6[[#This Row],[Error Code]],'Basic Data'!$AA:$AA,'Basic Data'!$AB:$AB),"Incorrect Error Code")</f>
        <v>Conv. load shedding (CAN)</v>
      </c>
      <c r="M1423" s="35" t="s">
        <v>266</v>
      </c>
      <c r="N1423" s="264"/>
      <c r="O1423" s="265">
        <v>0.19166666666666668</v>
      </c>
      <c r="P1423" s="265">
        <v>0.19166666666666668</v>
      </c>
      <c r="Q1423" s="266">
        <v>0.19444444444444445</v>
      </c>
      <c r="R1423" s="261">
        <f>IF(Table6[[#This Row],[Work Start TimeStamp]]="","",(Table6[[#This Row],[Work Start TimeStamp]]-Table6[[#This Row],[Fault Start TimeStamp]])*24)</f>
        <v>0</v>
      </c>
      <c r="S1423" s="261">
        <f>(Table6[[#This Row],[Fault Clearance time]]-Table6[[#This Row],[Work Start TimeStamp]])*24</f>
        <v>6.666666666666643E-2</v>
      </c>
      <c r="T1423" s="261">
        <f>(Table6[[#This Row],[Fault Clearance time]]-Table6[[#This Row],[Fault Start TimeStamp]])*24</f>
        <v>6.666666666666643E-2</v>
      </c>
      <c r="U1423" s="35" t="s">
        <v>483</v>
      </c>
      <c r="V1423" s="102" t="s">
        <v>268</v>
      </c>
      <c r="W1423" s="267">
        <f>IFERROR(Table6[[#This Row],[Breakdown Time]]*Table6[[#This Row],[Plant Equivalent Weightage]],"")</f>
        <v>2.5641025641025541E-3</v>
      </c>
      <c r="X1423" s="262" t="s">
        <v>296</v>
      </c>
      <c r="Y1423" s="263" t="s">
        <v>136</v>
      </c>
      <c r="Z1423" s="102">
        <v>58811</v>
      </c>
      <c r="AA1423" s="257">
        <f>(Table6[[#This Row],[Paired WTG Generation for loss calculation]]/24)*Table6[[#This Row],[Breakdown Time]]</f>
        <v>163.36388888888831</v>
      </c>
      <c r="AB1423" s="102"/>
      <c r="AC1423" s="35"/>
      <c r="AD1423" s="35"/>
    </row>
    <row r="1424" spans="1:30">
      <c r="A1424" s="102">
        <f t="shared" si="23"/>
        <v>1423</v>
      </c>
      <c r="B1424" s="257">
        <f>YEAR(Table6[[#This Row],[Date]])+IF(MONTH(Table6[[#This Row],[Date]])&gt;=4,1,0)</f>
        <v>2026</v>
      </c>
      <c r="C1424" s="102">
        <f>YEAR(Table6[[#This Row],[Date]])</f>
        <v>2025</v>
      </c>
      <c r="D1424" s="102" t="s">
        <v>265</v>
      </c>
      <c r="E1424" s="258">
        <f>Table6[[#This Row],[Date]]-DAY(Table6[[#This Row],[Date]])+1</f>
        <v>45809</v>
      </c>
      <c r="F1424" s="259">
        <v>45838</v>
      </c>
      <c r="G1424" s="35" t="s">
        <v>131</v>
      </c>
      <c r="H1424" s="35" t="str">
        <f>IFERROR(_xlfn.XLOOKUP(Table6[[#This Row],[Affected WTG]],'Basic Data'!$A:$A,'Basic Data'!$B:$B),"")</f>
        <v>TQGXIIPL</v>
      </c>
      <c r="I1424" s="35" t="str">
        <f>IFERROR(_xlfn.XLOOKUP(Table6[[#This Row],[Affected WTG]],'Basic Data'!$A:$A,'Basic Data'!$C:$C),"")</f>
        <v>GEDA</v>
      </c>
      <c r="J1424" s="260">
        <f>IFERROR(_xlfn.XLOOKUP(Table6[[#This Row],[Affected WTG]],'Basic Data'!$A:$A,'Basic Data'!$E:$E),"")</f>
        <v>3.846153846153845E-2</v>
      </c>
      <c r="K1424" s="102">
        <v>3211</v>
      </c>
      <c r="L1424" s="35" t="str">
        <f>IFERROR(_xlfn.XLOOKUP(Table6[[#This Row],[Error Code]],'Basic Data'!$AA:$AA,'Basic Data'!$AB:$AB),"Incorrect Error Code")</f>
        <v>Conv. load shedding (CAN)</v>
      </c>
      <c r="M1424" s="35" t="s">
        <v>266</v>
      </c>
      <c r="N1424" s="264"/>
      <c r="O1424" s="265">
        <v>0.21736111111111112</v>
      </c>
      <c r="P1424" s="265">
        <v>0.21736111111111112</v>
      </c>
      <c r="Q1424" s="266">
        <v>0.22569444444444445</v>
      </c>
      <c r="R1424" s="261">
        <f>IF(Table6[[#This Row],[Work Start TimeStamp]]="","",(Table6[[#This Row],[Work Start TimeStamp]]-Table6[[#This Row],[Fault Start TimeStamp]])*24)</f>
        <v>0</v>
      </c>
      <c r="S1424" s="261">
        <f>(Table6[[#This Row],[Fault Clearance time]]-Table6[[#This Row],[Work Start TimeStamp]])*24</f>
        <v>0.19999999999999996</v>
      </c>
      <c r="T1424" s="261">
        <f>(Table6[[#This Row],[Fault Clearance time]]-Table6[[#This Row],[Fault Start TimeStamp]])*24</f>
        <v>0.19999999999999996</v>
      </c>
      <c r="U1424" s="35" t="s">
        <v>483</v>
      </c>
      <c r="V1424" s="102" t="s">
        <v>268</v>
      </c>
      <c r="W1424" s="267">
        <f>IFERROR(Table6[[#This Row],[Breakdown Time]]*Table6[[#This Row],[Plant Equivalent Weightage]],"")</f>
        <v>7.6923076923076884E-3</v>
      </c>
      <c r="X1424" s="262" t="s">
        <v>296</v>
      </c>
      <c r="Y1424" s="263" t="s">
        <v>136</v>
      </c>
      <c r="Z1424" s="102">
        <v>58811</v>
      </c>
      <c r="AA1424" s="257">
        <f>(Table6[[#This Row],[Paired WTG Generation for loss calculation]]/24)*Table6[[#This Row],[Breakdown Time]]</f>
        <v>490.09166666666658</v>
      </c>
      <c r="AB1424" s="102"/>
      <c r="AC1424" s="35"/>
      <c r="AD1424" s="35"/>
    </row>
    <row r="1425" spans="1:30">
      <c r="A1425" s="102">
        <f t="shared" si="23"/>
        <v>1424</v>
      </c>
      <c r="B1425" s="257">
        <f>YEAR(Table6[[#This Row],[Date]])+IF(MONTH(Table6[[#This Row],[Date]])&gt;=4,1,0)</f>
        <v>2026</v>
      </c>
      <c r="C1425" s="102">
        <f>YEAR(Table6[[#This Row],[Date]])</f>
        <v>2025</v>
      </c>
      <c r="D1425" s="102" t="s">
        <v>265</v>
      </c>
      <c r="E1425" s="258">
        <f>Table6[[#This Row],[Date]]-DAY(Table6[[#This Row],[Date]])+1</f>
        <v>45809</v>
      </c>
      <c r="F1425" s="259">
        <v>45838</v>
      </c>
      <c r="G1425" s="35" t="s">
        <v>131</v>
      </c>
      <c r="H1425" s="35" t="str">
        <f>IFERROR(_xlfn.XLOOKUP(Table6[[#This Row],[Affected WTG]],'Basic Data'!$A:$A,'Basic Data'!$B:$B),"")</f>
        <v>TQGXIIPL</v>
      </c>
      <c r="I1425" s="35" t="str">
        <f>IFERROR(_xlfn.XLOOKUP(Table6[[#This Row],[Affected WTG]],'Basic Data'!$A:$A,'Basic Data'!$C:$C),"")</f>
        <v>GEDA</v>
      </c>
      <c r="J1425" s="260">
        <f>IFERROR(_xlfn.XLOOKUP(Table6[[#This Row],[Affected WTG]],'Basic Data'!$A:$A,'Basic Data'!$E:$E),"")</f>
        <v>3.846153846153845E-2</v>
      </c>
      <c r="K1425" s="102">
        <v>55</v>
      </c>
      <c r="L1425" s="35" t="str">
        <f>IFERROR(_xlfn.XLOOKUP(Table6[[#This Row],[Error Code]],'Basic Data'!$AA:$AA,'Basic Data'!$AB:$AB),"Incorrect Error Code")</f>
        <v>WTG shut down</v>
      </c>
      <c r="M1425" s="35" t="s">
        <v>504</v>
      </c>
      <c r="N1425" s="264"/>
      <c r="O1425" s="265">
        <v>0.49444444444444446</v>
      </c>
      <c r="P1425" s="265">
        <v>0.49444444444444446</v>
      </c>
      <c r="Q1425" s="266">
        <v>0.50416666666666665</v>
      </c>
      <c r="R1425" s="261">
        <f>IF(Table6[[#This Row],[Work Start TimeStamp]]="","",(Table6[[#This Row],[Work Start TimeStamp]]-Table6[[#This Row],[Fault Start TimeStamp]])*24)</f>
        <v>0</v>
      </c>
      <c r="S1425" s="261">
        <f>(Table6[[#This Row],[Fault Clearance time]]-Table6[[#This Row],[Work Start TimeStamp]])*24</f>
        <v>0.2333333333333325</v>
      </c>
      <c r="T1425" s="261">
        <f>(Table6[[#This Row],[Fault Clearance time]]-Table6[[#This Row],[Fault Start TimeStamp]])*24</f>
        <v>0.2333333333333325</v>
      </c>
      <c r="U1425" s="35" t="s">
        <v>566</v>
      </c>
      <c r="V1425" s="102" t="s">
        <v>268</v>
      </c>
      <c r="W1425" s="267">
        <f>IFERROR(Table6[[#This Row],[Breakdown Time]]*Table6[[#This Row],[Plant Equivalent Weightage]],"")</f>
        <v>8.974358974358939E-3</v>
      </c>
      <c r="X1425" s="262" t="s">
        <v>296</v>
      </c>
      <c r="Y1425" s="263" t="s">
        <v>136</v>
      </c>
      <c r="Z1425" s="102">
        <v>58811</v>
      </c>
      <c r="AA1425" s="257">
        <f>(Table6[[#This Row],[Paired WTG Generation for loss calculation]]/24)*Table6[[#This Row],[Breakdown Time]]</f>
        <v>571.77361111110906</v>
      </c>
      <c r="AB1425" s="102"/>
      <c r="AC1425" s="35"/>
      <c r="AD1425" s="35"/>
    </row>
    <row r="1426" spans="1:30">
      <c r="A1426" s="102">
        <f t="shared" si="23"/>
        <v>1425</v>
      </c>
      <c r="B1426" s="257">
        <f>YEAR(Table6[[#This Row],[Date]])+IF(MONTH(Table6[[#This Row],[Date]])&gt;=4,1,0)</f>
        <v>2026</v>
      </c>
      <c r="C1426" s="102">
        <f>YEAR(Table6[[#This Row],[Date]])</f>
        <v>2025</v>
      </c>
      <c r="D1426" s="102" t="s">
        <v>265</v>
      </c>
      <c r="E1426" s="258">
        <f>Table6[[#This Row],[Date]]-DAY(Table6[[#This Row],[Date]])+1</f>
        <v>45809</v>
      </c>
      <c r="F1426" s="259">
        <v>45838</v>
      </c>
      <c r="G1426" s="35" t="s">
        <v>134</v>
      </c>
      <c r="H1426" s="35" t="str">
        <f>IFERROR(_xlfn.XLOOKUP(Table6[[#This Row],[Affected WTG]],'Basic Data'!$A:$A,'Basic Data'!$B:$B),"")</f>
        <v>TQGXIIPL</v>
      </c>
      <c r="I1426" s="35" t="str">
        <f>IFERROR(_xlfn.XLOOKUP(Table6[[#This Row],[Affected WTG]],'Basic Data'!$A:$A,'Basic Data'!$C:$C),"")</f>
        <v>GEDA</v>
      </c>
      <c r="J1426" s="260">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266</v>
      </c>
      <c r="N1426" s="264"/>
      <c r="O1426" s="265">
        <v>0.44097222222222221</v>
      </c>
      <c r="P1426" s="265">
        <v>0.44097222222222221</v>
      </c>
      <c r="Q1426" s="266">
        <v>0.44236111111111109</v>
      </c>
      <c r="R1426" s="261">
        <f>IF(Table6[[#This Row],[Work Start TimeStamp]]="","",(Table6[[#This Row],[Work Start TimeStamp]]-Table6[[#This Row],[Fault Start TimeStamp]])*24)</f>
        <v>0</v>
      </c>
      <c r="S1426" s="261">
        <f>(Table6[[#This Row],[Fault Clearance time]]-Table6[[#This Row],[Work Start TimeStamp]])*24</f>
        <v>3.3333333333333215E-2</v>
      </c>
      <c r="T1426" s="261">
        <f>(Table6[[#This Row],[Fault Clearance time]]-Table6[[#This Row],[Fault Start TimeStamp]])*24</f>
        <v>3.3333333333333215E-2</v>
      </c>
      <c r="U1426" s="35" t="s">
        <v>483</v>
      </c>
      <c r="V1426" s="102" t="s">
        <v>268</v>
      </c>
      <c r="W1426" s="267">
        <f>IFERROR(Table6[[#This Row],[Breakdown Time]]*Table6[[#This Row],[Plant Equivalent Weightage]],"")</f>
        <v>1.2820512820512771E-3</v>
      </c>
      <c r="X1426" s="262" t="s">
        <v>296</v>
      </c>
      <c r="Y1426" s="263" t="s">
        <v>138</v>
      </c>
      <c r="Z1426" s="102">
        <v>55787</v>
      </c>
      <c r="AA1426" s="257">
        <f>(Table6[[#This Row],[Paired WTG Generation for loss calculation]]/24)*Table6[[#This Row],[Breakdown Time]]</f>
        <v>77.481944444444167</v>
      </c>
      <c r="AB1426" s="102"/>
      <c r="AC1426" s="35"/>
      <c r="AD1426" s="35"/>
    </row>
    <row r="1427" spans="1:30">
      <c r="A1427" s="102">
        <f t="shared" si="23"/>
        <v>1426</v>
      </c>
      <c r="B1427" s="257">
        <f>YEAR(Table6[[#This Row],[Date]])+IF(MONTH(Table6[[#This Row],[Date]])&gt;=4,1,0)</f>
        <v>2026</v>
      </c>
      <c r="C1427" s="102">
        <f>YEAR(Table6[[#This Row],[Date]])</f>
        <v>2025</v>
      </c>
      <c r="D1427" s="102" t="s">
        <v>265</v>
      </c>
      <c r="E1427" s="258">
        <f>Table6[[#This Row],[Date]]-DAY(Table6[[#This Row],[Date]])+1</f>
        <v>45809</v>
      </c>
      <c r="F1427" s="259">
        <v>45838</v>
      </c>
      <c r="G1427" s="35" t="s">
        <v>138</v>
      </c>
      <c r="H1427" s="35" t="str">
        <f>IFERROR(_xlfn.XLOOKUP(Table6[[#This Row],[Affected WTG]],'Basic Data'!$A:$A,'Basic Data'!$B:$B),"")</f>
        <v>TQGXIIPL</v>
      </c>
      <c r="I1427" s="35" t="str">
        <f>IFERROR(_xlfn.XLOOKUP(Table6[[#This Row],[Affected WTG]],'Basic Data'!$A:$A,'Basic Data'!$C:$C),"")</f>
        <v>GEDA</v>
      </c>
      <c r="J1427" s="260">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266</v>
      </c>
      <c r="N1427" s="264"/>
      <c r="O1427" s="265">
        <v>0.44027777777777777</v>
      </c>
      <c r="P1427" s="265">
        <v>0.44027777777777777</v>
      </c>
      <c r="Q1427" s="266">
        <v>0.44166666666666665</v>
      </c>
      <c r="R1427" s="261">
        <f>IF(Table6[[#This Row],[Work Start TimeStamp]]="","",(Table6[[#This Row],[Work Start TimeStamp]]-Table6[[#This Row],[Fault Start TimeStamp]])*24)</f>
        <v>0</v>
      </c>
      <c r="S1427" s="261">
        <f>(Table6[[#This Row],[Fault Clearance time]]-Table6[[#This Row],[Work Start TimeStamp]])*24</f>
        <v>3.3333333333333215E-2</v>
      </c>
      <c r="T1427" s="261">
        <f>(Table6[[#This Row],[Fault Clearance time]]-Table6[[#This Row],[Fault Start TimeStamp]])*24</f>
        <v>3.3333333333333215E-2</v>
      </c>
      <c r="U1427" s="35" t="s">
        <v>483</v>
      </c>
      <c r="V1427" s="102" t="s">
        <v>268</v>
      </c>
      <c r="W1427" s="267">
        <f>IFERROR(Table6[[#This Row],[Breakdown Time]]*Table6[[#This Row],[Plant Equivalent Weightage]],"")</f>
        <v>1.2820512820512771E-3</v>
      </c>
      <c r="X1427" s="262" t="s">
        <v>296</v>
      </c>
      <c r="Y1427" s="263" t="s">
        <v>134</v>
      </c>
      <c r="Z1427" s="102">
        <v>55431</v>
      </c>
      <c r="AA1427" s="257">
        <f>(Table6[[#This Row],[Paired WTG Generation for loss calculation]]/24)*Table6[[#This Row],[Breakdown Time]]</f>
        <v>76.987499999999727</v>
      </c>
      <c r="AB1427" s="102"/>
      <c r="AC1427" s="35"/>
      <c r="AD1427" s="35"/>
    </row>
    <row r="1428" spans="1:30">
      <c r="A1428" s="102">
        <f t="shared" si="23"/>
        <v>1427</v>
      </c>
      <c r="B1428" s="257">
        <f>YEAR(Table6[[#This Row],[Date]])+IF(MONTH(Table6[[#This Row],[Date]])&gt;=4,1,0)</f>
        <v>2026</v>
      </c>
      <c r="C1428" s="102">
        <f>YEAR(Table6[[#This Row],[Date]])</f>
        <v>2025</v>
      </c>
      <c r="D1428" s="102" t="s">
        <v>265</v>
      </c>
      <c r="E1428" s="258">
        <f>Table6[[#This Row],[Date]]-DAY(Table6[[#This Row],[Date]])+1</f>
        <v>45809</v>
      </c>
      <c r="F1428" s="259">
        <v>45838</v>
      </c>
      <c r="G1428" s="35" t="s">
        <v>138</v>
      </c>
      <c r="H1428" s="35" t="str">
        <f>IFERROR(_xlfn.XLOOKUP(Table6[[#This Row],[Affected WTG]],'Basic Data'!$A:$A,'Basic Data'!$B:$B),"")</f>
        <v>TQGXIIPL</v>
      </c>
      <c r="I1428" s="35" t="str">
        <f>IFERROR(_xlfn.XLOOKUP(Table6[[#This Row],[Affected WTG]],'Basic Data'!$A:$A,'Basic Data'!$C:$C),"")</f>
        <v>GEDA</v>
      </c>
      <c r="J1428" s="260">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278</v>
      </c>
      <c r="N1428" s="264"/>
      <c r="O1428" s="265">
        <v>0.57499999999999996</v>
      </c>
      <c r="P1428" s="265">
        <v>0.57499999999999996</v>
      </c>
      <c r="Q1428" s="266">
        <v>0.58402777777777781</v>
      </c>
      <c r="R1428" s="261">
        <f>IF(Table6[[#This Row],[Work Start TimeStamp]]="","",(Table6[[#This Row],[Work Start TimeStamp]]-Table6[[#This Row],[Fault Start TimeStamp]])*24)</f>
        <v>0</v>
      </c>
      <c r="S1428" s="261">
        <f>(Table6[[#This Row],[Fault Clearance time]]-Table6[[#This Row],[Work Start TimeStamp]])*24</f>
        <v>0.21666666666666856</v>
      </c>
      <c r="T1428" s="261">
        <f>(Table6[[#This Row],[Fault Clearance time]]-Table6[[#This Row],[Fault Start TimeStamp]])*24</f>
        <v>0.21666666666666856</v>
      </c>
      <c r="U1428" s="35" t="s">
        <v>277</v>
      </c>
      <c r="V1428" s="102" t="s">
        <v>268</v>
      </c>
      <c r="W1428" s="267">
        <f>IFERROR(Table6[[#This Row],[Breakdown Time]]*Table6[[#This Row],[Plant Equivalent Weightage]],"")</f>
        <v>8.3333333333334043E-3</v>
      </c>
      <c r="X1428" s="262" t="s">
        <v>269</v>
      </c>
      <c r="Y1428" s="263" t="s">
        <v>134</v>
      </c>
      <c r="Z1428" s="102">
        <v>55431</v>
      </c>
      <c r="AA1428" s="257">
        <f>(Table6[[#This Row],[Paired WTG Generation for loss calculation]]/24)*Table6[[#This Row],[Breakdown Time]]</f>
        <v>500.41875000000437</v>
      </c>
      <c r="AB1428" s="102"/>
      <c r="AC1428" s="35"/>
      <c r="AD1428" s="35"/>
    </row>
    <row r="1429" spans="1:30">
      <c r="A1429" s="102">
        <f t="shared" si="23"/>
        <v>1428</v>
      </c>
      <c r="B1429" s="257">
        <f>YEAR(Table6[[#This Row],[Date]])+IF(MONTH(Table6[[#This Row],[Date]])&gt;=4,1,0)</f>
        <v>2026</v>
      </c>
      <c r="C1429" s="102">
        <f>YEAR(Table6[[#This Row],[Date]])</f>
        <v>2025</v>
      </c>
      <c r="D1429" s="102" t="s">
        <v>265</v>
      </c>
      <c r="E1429" s="258">
        <f>Table6[[#This Row],[Date]]-DAY(Table6[[#This Row],[Date]])+1</f>
        <v>45809</v>
      </c>
      <c r="F1429" s="259">
        <v>45838</v>
      </c>
      <c r="G1429" s="35" t="s">
        <v>126</v>
      </c>
      <c r="H1429" s="35" t="str">
        <f>IFERROR(_xlfn.XLOOKUP(Table6[[#This Row],[Affected WTG]],'Basic Data'!$A:$A,'Basic Data'!$B:$B),"")</f>
        <v>TQGXIIPL</v>
      </c>
      <c r="I1429" s="35" t="str">
        <f>IFERROR(_xlfn.XLOOKUP(Table6[[#This Row],[Affected WTG]],'Basic Data'!$A:$A,'Basic Data'!$C:$C),"")</f>
        <v>GEDA</v>
      </c>
      <c r="J1429" s="260">
        <f>IFERROR(_xlfn.XLOOKUP(Table6[[#This Row],[Affected WTG]],'Basic Data'!$A:$A,'Basic Data'!$E:$E),"")</f>
        <v>3.846153846153845E-2</v>
      </c>
      <c r="K1429" s="102">
        <v>55</v>
      </c>
      <c r="L1429" s="35" t="str">
        <f>IFERROR(_xlfn.XLOOKUP(Table6[[#This Row],[Error Code]],'Basic Data'!$AA:$AA,'Basic Data'!$AB:$AB),"Incorrect Error Code")</f>
        <v>WTG shut down</v>
      </c>
      <c r="M1429" s="35" t="s">
        <v>291</v>
      </c>
      <c r="N1429" s="264"/>
      <c r="O1429" s="265">
        <v>0</v>
      </c>
      <c r="P1429" s="265">
        <v>0</v>
      </c>
      <c r="Q1429" s="266">
        <v>0.97222222222222221</v>
      </c>
      <c r="R1429" s="261">
        <f>IF(Table6[[#This Row],[Work Start TimeStamp]]="","",(Table6[[#This Row],[Work Start TimeStamp]]-Table6[[#This Row],[Fault Start TimeStamp]])*24)</f>
        <v>0</v>
      </c>
      <c r="S1429" s="261">
        <f>(Table6[[#This Row],[Fault Clearance time]]-Table6[[#This Row],[Work Start TimeStamp]])*24</f>
        <v>23.333333333333332</v>
      </c>
      <c r="T1429" s="261">
        <f>(Table6[[#This Row],[Fault Clearance time]]-Table6[[#This Row],[Fault Start TimeStamp]])*24</f>
        <v>23.333333333333332</v>
      </c>
      <c r="U1429" s="35" t="s">
        <v>569</v>
      </c>
      <c r="V1429" s="102" t="s">
        <v>268</v>
      </c>
      <c r="W1429" s="267">
        <f>IFERROR(Table6[[#This Row],[Breakdown Time]]*Table6[[#This Row],[Plant Equivalent Weightage]],"")</f>
        <v>0.89743589743589713</v>
      </c>
      <c r="X1429" s="262" t="s">
        <v>531</v>
      </c>
      <c r="Y1429" s="263" t="s">
        <v>128</v>
      </c>
      <c r="Z1429" s="102">
        <v>53754</v>
      </c>
      <c r="AA1429" s="257">
        <f>(Table6[[#This Row],[Paired WTG Generation for loss calculation]]/24)*Table6[[#This Row],[Breakdown Time]]</f>
        <v>52260.833333333328</v>
      </c>
      <c r="AB1429" s="102"/>
      <c r="AC1429" s="35"/>
      <c r="AD1429" s="35"/>
    </row>
    <row r="1430" spans="1:30">
      <c r="A1430" s="102">
        <f t="shared" si="23"/>
        <v>1429</v>
      </c>
      <c r="B1430" s="257">
        <f>YEAR(Table6[[#This Row],[Date]])+IF(MONTH(Table6[[#This Row],[Date]])&gt;=4,1,0)</f>
        <v>2026</v>
      </c>
      <c r="C1430" s="102">
        <f>YEAR(Table6[[#This Row],[Date]])</f>
        <v>2025</v>
      </c>
      <c r="D1430" s="102" t="s">
        <v>265</v>
      </c>
      <c r="E1430" s="258">
        <f>Table6[[#This Row],[Date]]-DAY(Table6[[#This Row],[Date]])+1</f>
        <v>45809</v>
      </c>
      <c r="F1430" s="259">
        <v>45838</v>
      </c>
      <c r="G1430" s="35" t="s">
        <v>126</v>
      </c>
      <c r="H1430" s="35" t="str">
        <f>IFERROR(_xlfn.XLOOKUP(Table6[[#This Row],[Affected WTG]],'Basic Data'!$A:$A,'Basic Data'!$B:$B),"")</f>
        <v>TQGXIIPL</v>
      </c>
      <c r="I1430" s="35" t="str">
        <f>IFERROR(_xlfn.XLOOKUP(Table6[[#This Row],[Affected WTG]],'Basic Data'!$A:$A,'Basic Data'!$C:$C),"")</f>
        <v>GEDA</v>
      </c>
      <c r="J1430" s="260">
        <f>IFERROR(_xlfn.XLOOKUP(Table6[[#This Row],[Affected WTG]],'Basic Data'!$A:$A,'Basic Data'!$E:$E),"")</f>
        <v>3.846153846153845E-2</v>
      </c>
      <c r="K1430" s="102">
        <v>55</v>
      </c>
      <c r="L1430" s="35" t="str">
        <f>IFERROR(_xlfn.XLOOKUP(Table6[[#This Row],[Error Code]],'Basic Data'!$AA:$AA,'Basic Data'!$AB:$AB),"Incorrect Error Code")</f>
        <v>WTG shut down</v>
      </c>
      <c r="M1430" s="35" t="s">
        <v>291</v>
      </c>
      <c r="N1430" s="264"/>
      <c r="O1430" s="265">
        <v>0.97222222222222221</v>
      </c>
      <c r="P1430" s="265">
        <v>0.97222222222222221</v>
      </c>
      <c r="Q1430" s="266">
        <v>0.99998842592592596</v>
      </c>
      <c r="R1430" s="261">
        <f>IF(Table6[[#This Row],[Work Start TimeStamp]]="","",(Table6[[#This Row],[Work Start TimeStamp]]-Table6[[#This Row],[Fault Start TimeStamp]])*24)</f>
        <v>0</v>
      </c>
      <c r="S1430" s="261">
        <f>(Table6[[#This Row],[Fault Clearance time]]-Table6[[#This Row],[Work Start TimeStamp]])*24</f>
        <v>0.66638888888889003</v>
      </c>
      <c r="T1430" s="261">
        <f>(Table6[[#This Row],[Fault Clearance time]]-Table6[[#This Row],[Fault Start TimeStamp]])*24</f>
        <v>0.66638888888889003</v>
      </c>
      <c r="U1430" s="35" t="s">
        <v>569</v>
      </c>
      <c r="V1430" s="102" t="s">
        <v>268</v>
      </c>
      <c r="W1430" s="267">
        <f>IFERROR(Table6[[#This Row],[Breakdown Time]]*Table6[[#This Row],[Plant Equivalent Weightage]],"")</f>
        <v>2.5630341880341915E-2</v>
      </c>
      <c r="X1430" s="262" t="s">
        <v>269</v>
      </c>
      <c r="Y1430" s="263" t="s">
        <v>128</v>
      </c>
      <c r="Z1430" s="102">
        <v>53754</v>
      </c>
      <c r="AA1430" s="257">
        <f>(Table6[[#This Row],[Paired WTG Generation for loss calculation]]/24)*Table6[[#This Row],[Breakdown Time]]</f>
        <v>1492.5445138888915</v>
      </c>
      <c r="AB1430" s="102"/>
      <c r="AC1430" s="35"/>
      <c r="AD1430" s="35"/>
    </row>
    <row r="1431" spans="1:30">
      <c r="A1431" s="102">
        <f t="shared" si="23"/>
        <v>1430</v>
      </c>
      <c r="B1431" s="257">
        <f>YEAR(Table6[[#This Row],[Date]])+IF(MONTH(Table6[[#This Row],[Date]])&gt;=4,1,0)</f>
        <v>2026</v>
      </c>
      <c r="C1431" s="102">
        <f>YEAR(Table6[[#This Row],[Date]])</f>
        <v>2025</v>
      </c>
      <c r="D1431" s="102" t="s">
        <v>265</v>
      </c>
      <c r="E1431" s="258">
        <f>Table6[[#This Row],[Date]]-DAY(Table6[[#This Row],[Date]])+1</f>
        <v>45839</v>
      </c>
      <c r="F1431" s="259">
        <v>45839</v>
      </c>
      <c r="G1431" s="35" t="s">
        <v>116</v>
      </c>
      <c r="H1431" s="35" t="str">
        <f>IFERROR(_xlfn.XLOOKUP(Table6[[#This Row],[Affected WTG]],'Basic Data'!$A:$A,'Basic Data'!$B:$B),"")</f>
        <v>TQGXIIPL</v>
      </c>
      <c r="I1431" s="35" t="str">
        <f>IFERROR(_xlfn.XLOOKUP(Table6[[#This Row],[Affected WTG]],'Basic Data'!$A:$A,'Basic Data'!$C:$C),"")</f>
        <v>GEDA</v>
      </c>
      <c r="J1431" s="260">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266</v>
      </c>
      <c r="N1431" s="264"/>
      <c r="O1431" s="265">
        <v>0.55763888888888891</v>
      </c>
      <c r="P1431" s="265">
        <v>0.55763888888888891</v>
      </c>
      <c r="Q1431" s="266">
        <v>0.57013888888888886</v>
      </c>
      <c r="R1431" s="261">
        <f>IF(Table6[[#This Row],[Work Start TimeStamp]]="","",(Table6[[#This Row],[Work Start TimeStamp]]-Table6[[#This Row],[Fault Start TimeStamp]])*24)</f>
        <v>0</v>
      </c>
      <c r="S1431" s="261">
        <f>(Table6[[#This Row],[Fault Clearance time]]-Table6[[#This Row],[Work Start TimeStamp]])*24</f>
        <v>0.29999999999999893</v>
      </c>
      <c r="T1431" s="261">
        <f>(Table6[[#This Row],[Fault Clearance time]]-Table6[[#This Row],[Fault Start TimeStamp]])*24</f>
        <v>0.29999999999999893</v>
      </c>
      <c r="U1431" s="35" t="s">
        <v>303</v>
      </c>
      <c r="V1431" s="102" t="s">
        <v>268</v>
      </c>
      <c r="W1431" s="267">
        <f>IFERROR(Table6[[#This Row],[Breakdown Time]]*Table6[[#This Row],[Plant Equivalent Weightage]],"")</f>
        <v>1.1538461538461494E-2</v>
      </c>
      <c r="X1431" s="262" t="s">
        <v>296</v>
      </c>
      <c r="Y1431" s="263" t="s">
        <v>119</v>
      </c>
      <c r="Z1431" s="102">
        <v>37135</v>
      </c>
      <c r="AA1431" s="257">
        <f>(Table6[[#This Row],[Paired WTG Generation for loss calculation]]/24)*Table6[[#This Row],[Breakdown Time]]</f>
        <v>464.18749999999835</v>
      </c>
      <c r="AB1431" s="102"/>
      <c r="AC1431" s="35"/>
      <c r="AD1431" s="35"/>
    </row>
    <row r="1432" spans="1:30">
      <c r="A1432" s="102">
        <f t="shared" si="23"/>
        <v>1431</v>
      </c>
      <c r="B1432" s="257">
        <f>YEAR(Table6[[#This Row],[Date]])+IF(MONTH(Table6[[#This Row],[Date]])&gt;=4,1,0)</f>
        <v>2026</v>
      </c>
      <c r="C1432" s="102">
        <f>YEAR(Table6[[#This Row],[Date]])</f>
        <v>2025</v>
      </c>
      <c r="D1432" s="102" t="s">
        <v>265</v>
      </c>
      <c r="E1432" s="258">
        <f>Table6[[#This Row],[Date]]-DAY(Table6[[#This Row],[Date]])+1</f>
        <v>45839</v>
      </c>
      <c r="F1432" s="259">
        <v>45839</v>
      </c>
      <c r="G1432" s="35" t="s">
        <v>116</v>
      </c>
      <c r="H1432" s="35" t="str">
        <f>IFERROR(_xlfn.XLOOKUP(Table6[[#This Row],[Affected WTG]],'Basic Data'!$A:$A,'Basic Data'!$B:$B),"")</f>
        <v>TQGXIIPL</v>
      </c>
      <c r="I1432" s="35" t="str">
        <f>IFERROR(_xlfn.XLOOKUP(Table6[[#This Row],[Affected WTG]],'Basic Data'!$A:$A,'Basic Data'!$C:$C),"")</f>
        <v>GEDA</v>
      </c>
      <c r="J1432" s="260">
        <f>IFERROR(_xlfn.XLOOKUP(Table6[[#This Row],[Affected WTG]],'Basic Data'!$A:$A,'Basic Data'!$E:$E),"")</f>
        <v>3.846153846153845E-2</v>
      </c>
      <c r="K1432" s="102">
        <v>3211</v>
      </c>
      <c r="L1432" s="35" t="str">
        <f>IFERROR(_xlfn.XLOOKUP(Table6[[#This Row],[Error Code]],'Basic Data'!$AA:$AA,'Basic Data'!$AB:$AB),"Incorrect Error Code")</f>
        <v>Conv. load shedding (CAN)</v>
      </c>
      <c r="M1432" s="35" t="s">
        <v>266</v>
      </c>
      <c r="N1432" s="264"/>
      <c r="O1432" s="265">
        <v>0.64861111111111114</v>
      </c>
      <c r="P1432" s="265">
        <v>0.64861111111111114</v>
      </c>
      <c r="Q1432" s="266">
        <v>0.65208333333333335</v>
      </c>
      <c r="R1432" s="261">
        <f>IF(Table6[[#This Row],[Work Start TimeStamp]]="","",(Table6[[#This Row],[Work Start TimeStamp]]-Table6[[#This Row],[Fault Start TimeStamp]])*24)</f>
        <v>0</v>
      </c>
      <c r="S1432" s="261">
        <f>(Table6[[#This Row],[Fault Clearance time]]-Table6[[#This Row],[Work Start TimeStamp]])*24</f>
        <v>8.3333333333333037E-2</v>
      </c>
      <c r="T1432" s="261">
        <f>(Table6[[#This Row],[Fault Clearance time]]-Table6[[#This Row],[Fault Start TimeStamp]])*24</f>
        <v>8.3333333333333037E-2</v>
      </c>
      <c r="U1432" s="35" t="s">
        <v>483</v>
      </c>
      <c r="V1432" s="102" t="s">
        <v>268</v>
      </c>
      <c r="W1432" s="267">
        <f>IFERROR(Table6[[#This Row],[Breakdown Time]]*Table6[[#This Row],[Plant Equivalent Weightage]],"")</f>
        <v>3.2051282051281929E-3</v>
      </c>
      <c r="X1432" s="262" t="s">
        <v>296</v>
      </c>
      <c r="Y1432" s="263" t="s">
        <v>119</v>
      </c>
      <c r="Z1432" s="102">
        <v>37135</v>
      </c>
      <c r="AA1432" s="257">
        <f>(Table6[[#This Row],[Paired WTG Generation for loss calculation]]/24)*Table6[[#This Row],[Breakdown Time]]</f>
        <v>128.94097222222177</v>
      </c>
      <c r="AB1432" s="102"/>
      <c r="AC1432" s="35"/>
      <c r="AD1432" s="35"/>
    </row>
    <row r="1433" spans="1:30">
      <c r="A1433" s="102">
        <f t="shared" si="23"/>
        <v>1432</v>
      </c>
      <c r="B1433" s="257">
        <f>YEAR(Table6[[#This Row],[Date]])+IF(MONTH(Table6[[#This Row],[Date]])&gt;=4,1,0)</f>
        <v>2026</v>
      </c>
      <c r="C1433" s="102">
        <f>YEAR(Table6[[#This Row],[Date]])</f>
        <v>2025</v>
      </c>
      <c r="D1433" s="102" t="s">
        <v>265</v>
      </c>
      <c r="E1433" s="258">
        <f>Table6[[#This Row],[Date]]-DAY(Table6[[#This Row],[Date]])+1</f>
        <v>45839</v>
      </c>
      <c r="F1433" s="259">
        <v>45839</v>
      </c>
      <c r="G1433" s="35" t="s">
        <v>117</v>
      </c>
      <c r="H1433" s="35" t="str">
        <f>IFERROR(_xlfn.XLOOKUP(Table6[[#This Row],[Affected WTG]],'Basic Data'!$A:$A,'Basic Data'!$B:$B),"")</f>
        <v>TQGXIIPL</v>
      </c>
      <c r="I1433" s="35" t="str">
        <f>IFERROR(_xlfn.XLOOKUP(Table6[[#This Row],[Affected WTG]],'Basic Data'!$A:$A,'Basic Data'!$C:$C),"")</f>
        <v>GEDA</v>
      </c>
      <c r="J1433" s="260">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266</v>
      </c>
      <c r="N1433" s="264"/>
      <c r="O1433" s="265">
        <v>0.55763888888888891</v>
      </c>
      <c r="P1433" s="265">
        <v>0.63888888888888884</v>
      </c>
      <c r="Q1433" s="266">
        <v>0.74097222222222225</v>
      </c>
      <c r="R1433" s="261">
        <f>IF(Table6[[#This Row],[Work Start TimeStamp]]="","",(Table6[[#This Row],[Work Start TimeStamp]]-Table6[[#This Row],[Fault Start TimeStamp]])*24)</f>
        <v>1.9499999999999984</v>
      </c>
      <c r="S1433" s="261">
        <f>(Table6[[#This Row],[Fault Clearance time]]-Table6[[#This Row],[Work Start TimeStamp]])*24</f>
        <v>2.450000000000002</v>
      </c>
      <c r="T1433" s="261">
        <f>(Table6[[#This Row],[Fault Clearance time]]-Table6[[#This Row],[Fault Start TimeStamp]])*24</f>
        <v>4.4000000000000004</v>
      </c>
      <c r="U1433" s="35" t="s">
        <v>570</v>
      </c>
      <c r="V1433" s="102" t="s">
        <v>268</v>
      </c>
      <c r="W1433" s="267">
        <f>IFERROR(Table6[[#This Row],[Breakdown Time]]*Table6[[#This Row],[Plant Equivalent Weightage]],"")</f>
        <v>0.16923076923076918</v>
      </c>
      <c r="X1433" s="262" t="s">
        <v>296</v>
      </c>
      <c r="Y1433" s="263" t="s">
        <v>123</v>
      </c>
      <c r="Z1433" s="102">
        <v>35286</v>
      </c>
      <c r="AA1433" s="257">
        <f>(Table6[[#This Row],[Paired WTG Generation for loss calculation]]/24)*Table6[[#This Row],[Breakdown Time]]</f>
        <v>6469.1</v>
      </c>
      <c r="AB1433" s="102"/>
      <c r="AC1433" s="35"/>
      <c r="AD1433" s="35"/>
    </row>
    <row r="1434" spans="1:30">
      <c r="A1434" s="102">
        <f t="shared" si="23"/>
        <v>1433</v>
      </c>
      <c r="B1434" s="257">
        <f>YEAR(Table6[[#This Row],[Date]])+IF(MONTH(Table6[[#This Row],[Date]])&gt;=4,1,0)</f>
        <v>2026</v>
      </c>
      <c r="C1434" s="102">
        <f>YEAR(Table6[[#This Row],[Date]])</f>
        <v>2025</v>
      </c>
      <c r="D1434" s="102" t="s">
        <v>265</v>
      </c>
      <c r="E1434" s="258">
        <f>Table6[[#This Row],[Date]]-DAY(Table6[[#This Row],[Date]])+1</f>
        <v>45839</v>
      </c>
      <c r="F1434" s="259">
        <v>45839</v>
      </c>
      <c r="G1434" s="35" t="s">
        <v>118</v>
      </c>
      <c r="H1434" s="35" t="str">
        <f>IFERROR(_xlfn.XLOOKUP(Table6[[#This Row],[Affected WTG]],'Basic Data'!$A:$A,'Basic Data'!$B:$B),"")</f>
        <v>TQGXIIPL</v>
      </c>
      <c r="I1434" s="35" t="str">
        <f>IFERROR(_xlfn.XLOOKUP(Table6[[#This Row],[Affected WTG]],'Basic Data'!$A:$A,'Basic Data'!$C:$C),"")</f>
        <v>GEDA</v>
      </c>
      <c r="J1434" s="260">
        <f>IFERROR(_xlfn.XLOOKUP(Table6[[#This Row],[Affected WTG]],'Basic Data'!$A:$A,'Basic Data'!$E:$E),"")</f>
        <v>3.846153846153845E-2</v>
      </c>
      <c r="K1434" s="102">
        <v>6130</v>
      </c>
      <c r="L1434" s="35" t="str">
        <f>IFERROR(_xlfn.XLOOKUP(Table6[[#This Row],[Error Code]],'Basic Data'!$AA:$AA,'Basic Data'!$AB:$AB),"Incorrect Error Code")</f>
        <v>Yaw speed high</v>
      </c>
      <c r="M1434" s="35" t="s">
        <v>278</v>
      </c>
      <c r="N1434" s="264"/>
      <c r="O1434" s="265">
        <v>0.44791666666666669</v>
      </c>
      <c r="P1434" s="265">
        <v>0.44791666666666669</v>
      </c>
      <c r="Q1434" s="266">
        <v>0.45</v>
      </c>
      <c r="R1434" s="261">
        <f>IF(Table6[[#This Row],[Work Start TimeStamp]]="","",(Table6[[#This Row],[Work Start TimeStamp]]-Table6[[#This Row],[Fault Start TimeStamp]])*24)</f>
        <v>0</v>
      </c>
      <c r="S1434" s="261">
        <f>(Table6[[#This Row],[Fault Clearance time]]-Table6[[#This Row],[Work Start TimeStamp]])*24</f>
        <v>4.9999999999999822E-2</v>
      </c>
      <c r="T1434" s="261">
        <f>(Table6[[#This Row],[Fault Clearance time]]-Table6[[#This Row],[Fault Start TimeStamp]])*24</f>
        <v>4.9999999999999822E-2</v>
      </c>
      <c r="U1434" s="35" t="s">
        <v>277</v>
      </c>
      <c r="V1434" s="102" t="s">
        <v>268</v>
      </c>
      <c r="W1434" s="267">
        <f>IFERROR(Table6[[#This Row],[Breakdown Time]]*Table6[[#This Row],[Plant Equivalent Weightage]],"")</f>
        <v>1.9230769230769156E-3</v>
      </c>
      <c r="X1434" s="262" t="s">
        <v>269</v>
      </c>
      <c r="Y1434" s="263" t="s">
        <v>121</v>
      </c>
      <c r="Z1434" s="102">
        <v>30187</v>
      </c>
      <c r="AA1434" s="257">
        <f>(Table6[[#This Row],[Paired WTG Generation for loss calculation]]/24)*Table6[[#This Row],[Breakdown Time]]</f>
        <v>62.889583333333114</v>
      </c>
      <c r="AB1434" s="102"/>
      <c r="AC1434" s="35"/>
      <c r="AD1434" s="35"/>
    </row>
    <row r="1435" spans="1:30">
      <c r="A1435" s="102">
        <f t="shared" si="23"/>
        <v>1434</v>
      </c>
      <c r="B1435" s="257">
        <f>YEAR(Table6[[#This Row],[Date]])+IF(MONTH(Table6[[#This Row],[Date]])&gt;=4,1,0)</f>
        <v>2026</v>
      </c>
      <c r="C1435" s="102">
        <f>YEAR(Table6[[#This Row],[Date]])</f>
        <v>2025</v>
      </c>
      <c r="D1435" s="102" t="s">
        <v>265</v>
      </c>
      <c r="E1435" s="258">
        <f>Table6[[#This Row],[Date]]-DAY(Table6[[#This Row],[Date]])+1</f>
        <v>45839</v>
      </c>
      <c r="F1435" s="259">
        <v>45839</v>
      </c>
      <c r="G1435" s="35" t="s">
        <v>119</v>
      </c>
      <c r="H1435" s="35" t="str">
        <f>IFERROR(_xlfn.XLOOKUP(Table6[[#This Row],[Affected WTG]],'Basic Data'!$A:$A,'Basic Data'!$B:$B),"")</f>
        <v>TQGXIIPL</v>
      </c>
      <c r="I1435" s="35" t="str">
        <f>IFERROR(_xlfn.XLOOKUP(Table6[[#This Row],[Affected WTG]],'Basic Data'!$A:$A,'Basic Data'!$C:$C),"")</f>
        <v>GEDA</v>
      </c>
      <c r="J1435" s="260">
        <f>IFERROR(_xlfn.XLOOKUP(Table6[[#This Row],[Affected WTG]],'Basic Data'!$A:$A,'Basic Data'!$E:$E),"")</f>
        <v>3.846153846153845E-2</v>
      </c>
      <c r="K1435" s="102">
        <v>3211</v>
      </c>
      <c r="L1435" s="35" t="str">
        <f>IFERROR(_xlfn.XLOOKUP(Table6[[#This Row],[Error Code]],'Basic Data'!$AA:$AA,'Basic Data'!$AB:$AB),"Incorrect Error Code")</f>
        <v>Conv. load shedding (CAN)</v>
      </c>
      <c r="M1435" s="35" t="s">
        <v>266</v>
      </c>
      <c r="N1435" s="264"/>
      <c r="O1435" s="265">
        <v>0.35555555555555557</v>
      </c>
      <c r="P1435" s="265">
        <v>0.35555555555555557</v>
      </c>
      <c r="Q1435" s="266">
        <v>0.3576388888888889</v>
      </c>
      <c r="R1435" s="261">
        <f>IF(Table6[[#This Row],[Work Start TimeStamp]]="","",(Table6[[#This Row],[Work Start TimeStamp]]-Table6[[#This Row],[Fault Start TimeStamp]])*24)</f>
        <v>0</v>
      </c>
      <c r="S1435" s="261">
        <f>(Table6[[#This Row],[Fault Clearance time]]-Table6[[#This Row],[Work Start TimeStamp]])*24</f>
        <v>4.9999999999999822E-2</v>
      </c>
      <c r="T1435" s="261">
        <f>(Table6[[#This Row],[Fault Clearance time]]-Table6[[#This Row],[Fault Start TimeStamp]])*24</f>
        <v>4.9999999999999822E-2</v>
      </c>
      <c r="U1435" s="35" t="s">
        <v>483</v>
      </c>
      <c r="V1435" s="102" t="s">
        <v>268</v>
      </c>
      <c r="W1435" s="267">
        <f>IFERROR(Table6[[#This Row],[Breakdown Time]]*Table6[[#This Row],[Plant Equivalent Weightage]],"")</f>
        <v>1.9230769230769156E-3</v>
      </c>
      <c r="X1435" s="262" t="s">
        <v>296</v>
      </c>
      <c r="Y1435" s="263" t="s">
        <v>116</v>
      </c>
      <c r="Z1435" s="102">
        <v>35634</v>
      </c>
      <c r="AA1435" s="257">
        <f>(Table6[[#This Row],[Paired WTG Generation for loss calculation]]/24)*Table6[[#This Row],[Breakdown Time]]</f>
        <v>74.237499999999741</v>
      </c>
      <c r="AB1435" s="102"/>
      <c r="AC1435" s="35"/>
      <c r="AD1435" s="35"/>
    </row>
    <row r="1436" spans="1:30">
      <c r="A1436" s="102">
        <f t="shared" si="23"/>
        <v>1435</v>
      </c>
      <c r="B1436" s="257">
        <f>YEAR(Table6[[#This Row],[Date]])+IF(MONTH(Table6[[#This Row],[Date]])&gt;=4,1,0)</f>
        <v>2026</v>
      </c>
      <c r="C1436" s="102">
        <f>YEAR(Table6[[#This Row],[Date]])</f>
        <v>2025</v>
      </c>
      <c r="D1436" s="102" t="s">
        <v>265</v>
      </c>
      <c r="E1436" s="258">
        <f>Table6[[#This Row],[Date]]-DAY(Table6[[#This Row],[Date]])+1</f>
        <v>45839</v>
      </c>
      <c r="F1436" s="259">
        <v>45839</v>
      </c>
      <c r="G1436" s="35" t="s">
        <v>120</v>
      </c>
      <c r="H1436" s="35" t="str">
        <f>IFERROR(_xlfn.XLOOKUP(Table6[[#This Row],[Affected WTG]],'Basic Data'!$A:$A,'Basic Data'!$B:$B),"")</f>
        <v>TQGXIIPL</v>
      </c>
      <c r="I1436" s="35" t="str">
        <f>IFERROR(_xlfn.XLOOKUP(Table6[[#This Row],[Affected WTG]],'Basic Data'!$A:$A,'Basic Data'!$C:$C),"")</f>
        <v>GEDA</v>
      </c>
      <c r="J1436" s="260">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266</v>
      </c>
      <c r="N1436" s="264"/>
      <c r="O1436" s="265">
        <v>0.35972222222222222</v>
      </c>
      <c r="P1436" s="265">
        <v>0.35972222222222222</v>
      </c>
      <c r="Q1436" s="266">
        <v>0.38680555555555557</v>
      </c>
      <c r="R1436" s="261">
        <f>IF(Table6[[#This Row],[Work Start TimeStamp]]="","",(Table6[[#This Row],[Work Start TimeStamp]]-Table6[[#This Row],[Fault Start TimeStamp]])*24)</f>
        <v>0</v>
      </c>
      <c r="S1436" s="261">
        <f>(Table6[[#This Row],[Fault Clearance time]]-Table6[[#This Row],[Work Start TimeStamp]])*24</f>
        <v>0.65000000000000036</v>
      </c>
      <c r="T1436" s="261">
        <f>(Table6[[#This Row],[Fault Clearance time]]-Table6[[#This Row],[Fault Start TimeStamp]])*24</f>
        <v>0.65000000000000036</v>
      </c>
      <c r="U1436" s="35" t="s">
        <v>483</v>
      </c>
      <c r="V1436" s="102" t="s">
        <v>268</v>
      </c>
      <c r="W1436" s="267">
        <f>IFERROR(Table6[[#This Row],[Breakdown Time]]*Table6[[#This Row],[Plant Equivalent Weightage]],"")</f>
        <v>2.5000000000000005E-2</v>
      </c>
      <c r="X1436" s="262" t="s">
        <v>296</v>
      </c>
      <c r="Y1436" s="263" t="s">
        <v>135</v>
      </c>
      <c r="Z1436" s="102">
        <v>42013</v>
      </c>
      <c r="AA1436" s="257">
        <f>(Table6[[#This Row],[Paired WTG Generation for loss calculation]]/24)*Table6[[#This Row],[Breakdown Time]]</f>
        <v>1137.8520833333339</v>
      </c>
      <c r="AB1436" s="102"/>
      <c r="AC1436" s="35"/>
      <c r="AD1436" s="35"/>
    </row>
    <row r="1437" spans="1:30">
      <c r="A1437" s="102">
        <f t="shared" si="23"/>
        <v>1436</v>
      </c>
      <c r="B1437" s="257">
        <f>YEAR(Table6[[#This Row],[Date]])+IF(MONTH(Table6[[#This Row],[Date]])&gt;=4,1,0)</f>
        <v>2026</v>
      </c>
      <c r="C1437" s="102">
        <f>YEAR(Table6[[#This Row],[Date]])</f>
        <v>2025</v>
      </c>
      <c r="D1437" s="102" t="s">
        <v>265</v>
      </c>
      <c r="E1437" s="258">
        <f>Table6[[#This Row],[Date]]-DAY(Table6[[#This Row],[Date]])+1</f>
        <v>45839</v>
      </c>
      <c r="F1437" s="259">
        <v>45839</v>
      </c>
      <c r="G1437" s="35" t="s">
        <v>125</v>
      </c>
      <c r="H1437" s="35" t="str">
        <f>IFERROR(_xlfn.XLOOKUP(Table6[[#This Row],[Affected WTG]],'Basic Data'!$A:$A,'Basic Data'!$B:$B),"")</f>
        <v>TQGXIIPL</v>
      </c>
      <c r="I1437" s="35" t="str">
        <f>IFERROR(_xlfn.XLOOKUP(Table6[[#This Row],[Affected WTG]],'Basic Data'!$A:$A,'Basic Data'!$C:$C),"")</f>
        <v>GEDA</v>
      </c>
      <c r="J1437" s="260">
        <f>IFERROR(_xlfn.XLOOKUP(Table6[[#This Row],[Affected WTG]],'Basic Data'!$A:$A,'Basic Data'!$E:$E),"")</f>
        <v>3.846153846153845E-2</v>
      </c>
      <c r="K1437" s="102">
        <v>665</v>
      </c>
      <c r="L1437" s="35" t="str">
        <f>IFERROR(_xlfn.XLOOKUP(Table6[[#This Row],[Error Code]],'Basic Data'!$AA:$AA,'Basic Data'!$AB:$AB),"Incorrect Error Code")</f>
        <v>Pitch error</v>
      </c>
      <c r="M1437" s="35" t="s">
        <v>266</v>
      </c>
      <c r="N1437" s="264"/>
      <c r="O1437" s="265">
        <v>0.35</v>
      </c>
      <c r="P1437" s="265">
        <v>0.35</v>
      </c>
      <c r="Q1437" s="266">
        <v>0.35347222222222224</v>
      </c>
      <c r="R1437" s="261">
        <f>IF(Table6[[#This Row],[Work Start TimeStamp]]="","",(Table6[[#This Row],[Work Start TimeStamp]]-Table6[[#This Row],[Fault Start TimeStamp]])*24)</f>
        <v>0</v>
      </c>
      <c r="S1437" s="261">
        <f>(Table6[[#This Row],[Fault Clearance time]]-Table6[[#This Row],[Work Start TimeStamp]])*24</f>
        <v>8.333333333333437E-2</v>
      </c>
      <c r="T1437" s="261">
        <f>(Table6[[#This Row],[Fault Clearance time]]-Table6[[#This Row],[Fault Start TimeStamp]])*24</f>
        <v>8.333333333333437E-2</v>
      </c>
      <c r="U1437" s="35" t="s">
        <v>483</v>
      </c>
      <c r="V1437" s="102" t="s">
        <v>268</v>
      </c>
      <c r="W1437" s="267">
        <f>IFERROR(Table6[[#This Row],[Breakdown Time]]*Table6[[#This Row],[Plant Equivalent Weightage]],"")</f>
        <v>3.205128205128244E-3</v>
      </c>
      <c r="X1437" s="262" t="s">
        <v>296</v>
      </c>
      <c r="Y1437" s="263" t="s">
        <v>127</v>
      </c>
      <c r="Z1437" s="102">
        <v>31527</v>
      </c>
      <c r="AA1437" s="257">
        <f>(Table6[[#This Row],[Paired WTG Generation for loss calculation]]/24)*Table6[[#This Row],[Breakdown Time]]</f>
        <v>109.46875000000136</v>
      </c>
      <c r="AB1437" s="102"/>
      <c r="AC1437" s="35"/>
      <c r="AD1437" s="35"/>
    </row>
    <row r="1438" spans="1:30">
      <c r="A1438" s="102">
        <f t="shared" si="23"/>
        <v>1437</v>
      </c>
      <c r="B1438" s="257">
        <f>YEAR(Table6[[#This Row],[Date]])+IF(MONTH(Table6[[#This Row],[Date]])&gt;=4,1,0)</f>
        <v>2026</v>
      </c>
      <c r="C1438" s="102">
        <f>YEAR(Table6[[#This Row],[Date]])</f>
        <v>2025</v>
      </c>
      <c r="D1438" s="102" t="s">
        <v>265</v>
      </c>
      <c r="E1438" s="258">
        <f>Table6[[#This Row],[Date]]-DAY(Table6[[#This Row],[Date]])+1</f>
        <v>45839</v>
      </c>
      <c r="F1438" s="259">
        <v>45839</v>
      </c>
      <c r="G1438" s="35" t="s">
        <v>126</v>
      </c>
      <c r="H1438" s="35" t="str">
        <f>IFERROR(_xlfn.XLOOKUP(Table6[[#This Row],[Affected WTG]],'Basic Data'!$A:$A,'Basic Data'!$B:$B),"")</f>
        <v>TQGXIIPL</v>
      </c>
      <c r="I1438" s="35" t="str">
        <f>IFERROR(_xlfn.XLOOKUP(Table6[[#This Row],[Affected WTG]],'Basic Data'!$A:$A,'Basic Data'!$C:$C),"")</f>
        <v>GEDA</v>
      </c>
      <c r="J1438" s="260">
        <f>IFERROR(_xlfn.XLOOKUP(Table6[[#This Row],[Affected WTG]],'Basic Data'!$A:$A,'Basic Data'!$E:$E),"")</f>
        <v>3.846153846153845E-2</v>
      </c>
      <c r="K1438" s="102">
        <v>55</v>
      </c>
      <c r="L1438" s="35" t="str">
        <f>IFERROR(_xlfn.XLOOKUP(Table6[[#This Row],[Error Code]],'Basic Data'!$AA:$AA,'Basic Data'!$AB:$AB),"Incorrect Error Code")</f>
        <v>WTG shut down</v>
      </c>
      <c r="M1438" s="35" t="s">
        <v>291</v>
      </c>
      <c r="N1438" s="264"/>
      <c r="O1438" s="265">
        <v>0</v>
      </c>
      <c r="P1438" s="265">
        <v>0</v>
      </c>
      <c r="Q1438" s="266">
        <v>0.54861111111111116</v>
      </c>
      <c r="R1438" s="261">
        <f>IF(Table6[[#This Row],[Work Start TimeStamp]]="","",(Table6[[#This Row],[Work Start TimeStamp]]-Table6[[#This Row],[Fault Start TimeStamp]])*24)</f>
        <v>0</v>
      </c>
      <c r="S1438" s="261">
        <f>(Table6[[#This Row],[Fault Clearance time]]-Table6[[#This Row],[Work Start TimeStamp]])*24</f>
        <v>13.166666666666668</v>
      </c>
      <c r="T1438" s="261">
        <f>(Table6[[#This Row],[Fault Clearance time]]-Table6[[#This Row],[Fault Start TimeStamp]])*24</f>
        <v>13.166666666666668</v>
      </c>
      <c r="U1438" s="35" t="s">
        <v>571</v>
      </c>
      <c r="V1438" s="102" t="s">
        <v>549</v>
      </c>
      <c r="W1438" s="267">
        <f>IFERROR(Table6[[#This Row],[Breakdown Time]]*Table6[[#This Row],[Plant Equivalent Weightage]],"")</f>
        <v>0.50641025641025628</v>
      </c>
      <c r="X1438" s="262" t="s">
        <v>531</v>
      </c>
      <c r="Y1438" s="263" t="s">
        <v>128</v>
      </c>
      <c r="Z1438" s="102">
        <v>33961</v>
      </c>
      <c r="AA1438" s="257">
        <f>(Table6[[#This Row],[Paired WTG Generation for loss calculation]]/24)*Table6[[#This Row],[Breakdown Time]]</f>
        <v>18631.381944444449</v>
      </c>
      <c r="AB1438" s="102"/>
      <c r="AC1438" s="35"/>
      <c r="AD1438" s="35"/>
    </row>
    <row r="1439" spans="1:30">
      <c r="A1439" s="102">
        <f t="shared" si="23"/>
        <v>1438</v>
      </c>
      <c r="B1439" s="257">
        <f>YEAR(Table6[[#This Row],[Date]])+IF(MONTH(Table6[[#This Row],[Date]])&gt;=4,1,0)</f>
        <v>2026</v>
      </c>
      <c r="C1439" s="102">
        <f>YEAR(Table6[[#This Row],[Date]])</f>
        <v>2025</v>
      </c>
      <c r="D1439" s="102" t="s">
        <v>265</v>
      </c>
      <c r="E1439" s="258">
        <f>Table6[[#This Row],[Date]]-DAY(Table6[[#This Row],[Date]])+1</f>
        <v>45839</v>
      </c>
      <c r="F1439" s="259">
        <v>45839</v>
      </c>
      <c r="G1439" s="35" t="s">
        <v>126</v>
      </c>
      <c r="H1439" s="35" t="str">
        <f>IFERROR(_xlfn.XLOOKUP(Table6[[#This Row],[Affected WTG]],'Basic Data'!$A:$A,'Basic Data'!$B:$B),"")</f>
        <v>TQGXIIPL</v>
      </c>
      <c r="I1439" s="35" t="str">
        <f>IFERROR(_xlfn.XLOOKUP(Table6[[#This Row],[Affected WTG]],'Basic Data'!$A:$A,'Basic Data'!$C:$C),"")</f>
        <v>GEDA</v>
      </c>
      <c r="J1439" s="260">
        <f>IFERROR(_xlfn.XLOOKUP(Table6[[#This Row],[Affected WTG]],'Basic Data'!$A:$A,'Basic Data'!$E:$E),"")</f>
        <v>3.846153846153845E-2</v>
      </c>
      <c r="K1439" s="102">
        <v>55</v>
      </c>
      <c r="L1439" s="35" t="str">
        <f>IFERROR(_xlfn.XLOOKUP(Table6[[#This Row],[Error Code]],'Basic Data'!$AA:$AA,'Basic Data'!$AB:$AB),"Incorrect Error Code")</f>
        <v>WTG shut down</v>
      </c>
      <c r="M1439" s="35" t="s">
        <v>291</v>
      </c>
      <c r="N1439" s="264"/>
      <c r="O1439" s="265">
        <v>0.55763888888888891</v>
      </c>
      <c r="P1439" s="265">
        <v>0.55763888888888891</v>
      </c>
      <c r="Q1439" s="266">
        <v>0.99998842592592596</v>
      </c>
      <c r="R1439" s="261">
        <f>IF(Table6[[#This Row],[Work Start TimeStamp]]="","",(Table6[[#This Row],[Work Start TimeStamp]]-Table6[[#This Row],[Fault Start TimeStamp]])*24)</f>
        <v>0</v>
      </c>
      <c r="S1439" s="261">
        <f>(Table6[[#This Row],[Fault Clearance time]]-Table6[[#This Row],[Work Start TimeStamp]])*24</f>
        <v>10.616388888888888</v>
      </c>
      <c r="T1439" s="261">
        <f>(Table6[[#This Row],[Fault Clearance time]]-Table6[[#This Row],[Fault Start TimeStamp]])*24</f>
        <v>10.616388888888888</v>
      </c>
      <c r="U1439" s="35" t="s">
        <v>571</v>
      </c>
      <c r="V1439" s="102" t="s">
        <v>549</v>
      </c>
      <c r="W1439" s="267">
        <f>IFERROR(Table6[[#This Row],[Breakdown Time]]*Table6[[#This Row],[Plant Equivalent Weightage]],"")</f>
        <v>0.40832264957264941</v>
      </c>
      <c r="X1439" s="262" t="s">
        <v>269</v>
      </c>
      <c r="Y1439" s="263" t="s">
        <v>128</v>
      </c>
      <c r="Z1439" s="102">
        <v>33961</v>
      </c>
      <c r="AA1439" s="257">
        <f>(Table6[[#This Row],[Paired WTG Generation for loss calculation]]/24)*Table6[[#This Row],[Breakdown Time]]</f>
        <v>15022.632627314815</v>
      </c>
      <c r="AB1439" s="102"/>
      <c r="AC1439" s="35"/>
      <c r="AD1439" s="35"/>
    </row>
    <row r="1440" spans="1:30">
      <c r="A1440" s="102">
        <f t="shared" si="23"/>
        <v>1439</v>
      </c>
      <c r="B1440" s="257">
        <f>YEAR(Table6[[#This Row],[Date]])+IF(MONTH(Table6[[#This Row],[Date]])&gt;=4,1,0)</f>
        <v>2026</v>
      </c>
      <c r="C1440" s="102">
        <f>YEAR(Table6[[#This Row],[Date]])</f>
        <v>2025</v>
      </c>
      <c r="D1440" s="102" t="s">
        <v>265</v>
      </c>
      <c r="E1440" s="258">
        <f>Table6[[#This Row],[Date]]-DAY(Table6[[#This Row],[Date]])+1</f>
        <v>45839</v>
      </c>
      <c r="F1440" s="259">
        <v>45839</v>
      </c>
      <c r="G1440" s="35" t="s">
        <v>128</v>
      </c>
      <c r="H1440" s="35" t="str">
        <f>IFERROR(_xlfn.XLOOKUP(Table6[[#This Row],[Affected WTG]],'Basic Data'!$A:$A,'Basic Data'!$B:$B),"")</f>
        <v>TQGXIIPL</v>
      </c>
      <c r="I1440" s="35" t="str">
        <f>IFERROR(_xlfn.XLOOKUP(Table6[[#This Row],[Affected WTG]],'Basic Data'!$A:$A,'Basic Data'!$C:$C),"")</f>
        <v>GEDA</v>
      </c>
      <c r="J1440" s="260">
        <f>IFERROR(_xlfn.XLOOKUP(Table6[[#This Row],[Affected WTG]],'Basic Data'!$A:$A,'Basic Data'!$E:$E),"")</f>
        <v>3.846153846153845E-2</v>
      </c>
      <c r="K1440" s="102">
        <v>175</v>
      </c>
      <c r="L1440" s="35" t="str">
        <f>IFERROR(_xlfn.XLOOKUP(Table6[[#This Row],[Error Code]],'Basic Data'!$AA:$AA,'Basic Data'!$AB:$AB),"Incorrect Error Code")</f>
        <v>SLC error</v>
      </c>
      <c r="M1440" s="35" t="s">
        <v>266</v>
      </c>
      <c r="N1440" s="264"/>
      <c r="O1440" s="265">
        <v>0.33402777777777776</v>
      </c>
      <c r="P1440" s="265">
        <v>0.33402777777777776</v>
      </c>
      <c r="Q1440" s="266">
        <v>0.37013888888888891</v>
      </c>
      <c r="R1440" s="261">
        <f>IF(Table6[[#This Row],[Work Start TimeStamp]]="","",(Table6[[#This Row],[Work Start TimeStamp]]-Table6[[#This Row],[Fault Start TimeStamp]])*24)</f>
        <v>0</v>
      </c>
      <c r="S1440" s="261">
        <f>(Table6[[#This Row],[Fault Clearance time]]-Table6[[#This Row],[Work Start TimeStamp]])*24</f>
        <v>0.86666666666666758</v>
      </c>
      <c r="T1440" s="261">
        <f>(Table6[[#This Row],[Fault Clearance time]]-Table6[[#This Row],[Fault Start TimeStamp]])*24</f>
        <v>0.86666666666666758</v>
      </c>
      <c r="U1440" s="35" t="s">
        <v>483</v>
      </c>
      <c r="V1440" s="102" t="s">
        <v>268</v>
      </c>
      <c r="W1440" s="267">
        <f>IFERROR(Table6[[#This Row],[Breakdown Time]]*Table6[[#This Row],[Plant Equivalent Weightage]],"")</f>
        <v>3.3333333333333361E-2</v>
      </c>
      <c r="X1440" s="262" t="s">
        <v>296</v>
      </c>
      <c r="Y1440" s="263" t="s">
        <v>126</v>
      </c>
      <c r="Z1440" s="102">
        <v>0</v>
      </c>
      <c r="AA1440" s="257">
        <f>(Table6[[#This Row],[Paired WTG Generation for loss calculation]]/24)*Table6[[#This Row],[Breakdown Time]]</f>
        <v>0</v>
      </c>
      <c r="AB1440" s="102"/>
      <c r="AC1440" s="35"/>
      <c r="AD1440" s="35"/>
    </row>
    <row r="1441" spans="1:30">
      <c r="A1441" s="102">
        <f t="shared" si="23"/>
        <v>1440</v>
      </c>
      <c r="B1441" s="257">
        <f>YEAR(Table6[[#This Row],[Date]])+IF(MONTH(Table6[[#This Row],[Date]])&gt;=4,1,0)</f>
        <v>2026</v>
      </c>
      <c r="C1441" s="102">
        <f>YEAR(Table6[[#This Row],[Date]])</f>
        <v>2025</v>
      </c>
      <c r="D1441" s="102" t="s">
        <v>265</v>
      </c>
      <c r="E1441" s="258">
        <f>Table6[[#This Row],[Date]]-DAY(Table6[[#This Row],[Date]])+1</f>
        <v>45839</v>
      </c>
      <c r="F1441" s="259">
        <v>45839</v>
      </c>
      <c r="G1441" s="35" t="s">
        <v>129</v>
      </c>
      <c r="H1441" s="35" t="str">
        <f>IFERROR(_xlfn.XLOOKUP(Table6[[#This Row],[Affected WTG]],'Basic Data'!$A:$A,'Basic Data'!$B:$B),"")</f>
        <v>TQGXIIPL</v>
      </c>
      <c r="I1441" s="35" t="str">
        <f>IFERROR(_xlfn.XLOOKUP(Table6[[#This Row],[Affected WTG]],'Basic Data'!$A:$A,'Basic Data'!$C:$C),"")</f>
        <v>GEDA</v>
      </c>
      <c r="J1441" s="260">
        <f>IFERROR(_xlfn.XLOOKUP(Table6[[#This Row],[Affected WTG]],'Basic Data'!$A:$A,'Basic Data'!$E:$E),"")</f>
        <v>3.846153846153845E-2</v>
      </c>
      <c r="K1441" s="102">
        <v>780</v>
      </c>
      <c r="L1441" s="35" t="str">
        <f>IFERROR(_xlfn.XLOOKUP(Table6[[#This Row],[Error Code]],'Basic Data'!$AA:$AA,'Basic Data'!$AB:$AB),"Incorrect Error Code")</f>
        <v>Error bridging start-up</v>
      </c>
      <c r="M1441" s="35" t="s">
        <v>266</v>
      </c>
      <c r="N1441" s="264"/>
      <c r="O1441" s="265">
        <v>0.27708333333333335</v>
      </c>
      <c r="P1441" s="265">
        <v>0.27708333333333335</v>
      </c>
      <c r="Q1441" s="266">
        <v>0.27777777777777779</v>
      </c>
      <c r="R1441" s="261">
        <f>IF(Table6[[#This Row],[Work Start TimeStamp]]="","",(Table6[[#This Row],[Work Start TimeStamp]]-Table6[[#This Row],[Fault Start TimeStamp]])*24)</f>
        <v>0</v>
      </c>
      <c r="S1441" s="261">
        <f>(Table6[[#This Row],[Fault Clearance time]]-Table6[[#This Row],[Work Start TimeStamp]])*24</f>
        <v>1.6666666666666607E-2</v>
      </c>
      <c r="T1441" s="261">
        <f>(Table6[[#This Row],[Fault Clearance time]]-Table6[[#This Row],[Fault Start TimeStamp]])*24</f>
        <v>1.6666666666666607E-2</v>
      </c>
      <c r="U1441" s="35" t="s">
        <v>483</v>
      </c>
      <c r="V1441" s="102" t="s">
        <v>268</v>
      </c>
      <c r="W1441" s="267">
        <f>IFERROR(Table6[[#This Row],[Breakdown Time]]*Table6[[#This Row],[Plant Equivalent Weightage]],"")</f>
        <v>6.4102564102563853E-4</v>
      </c>
      <c r="X1441" s="262" t="s">
        <v>296</v>
      </c>
      <c r="Y1441" s="263" t="s">
        <v>124</v>
      </c>
      <c r="Z1441" s="102">
        <v>34711</v>
      </c>
      <c r="AA1441" s="257">
        <f>(Table6[[#This Row],[Paired WTG Generation for loss calculation]]/24)*Table6[[#This Row],[Breakdown Time]]</f>
        <v>24.104861111111028</v>
      </c>
      <c r="AB1441" s="102"/>
      <c r="AC1441" s="35"/>
      <c r="AD1441" s="35"/>
    </row>
    <row r="1442" spans="1:30">
      <c r="A1442" s="102">
        <f t="shared" si="23"/>
        <v>1441</v>
      </c>
      <c r="B1442" s="257">
        <f>YEAR(Table6[[#This Row],[Date]])+IF(MONTH(Table6[[#This Row],[Date]])&gt;=4,1,0)</f>
        <v>2026</v>
      </c>
      <c r="C1442" s="102">
        <f>YEAR(Table6[[#This Row],[Date]])</f>
        <v>2025</v>
      </c>
      <c r="D1442" s="102" t="s">
        <v>265</v>
      </c>
      <c r="E1442" s="258">
        <f>Table6[[#This Row],[Date]]-DAY(Table6[[#This Row],[Date]])+1</f>
        <v>45839</v>
      </c>
      <c r="F1442" s="259">
        <v>45839</v>
      </c>
      <c r="G1442" s="35" t="s">
        <v>137</v>
      </c>
      <c r="H1442" s="35" t="str">
        <f>IFERROR(_xlfn.XLOOKUP(Table6[[#This Row],[Affected WTG]],'Basic Data'!$A:$A,'Basic Data'!$B:$B),"")</f>
        <v>TQGXIIPL</v>
      </c>
      <c r="I1442" s="35" t="str">
        <f>IFERROR(_xlfn.XLOOKUP(Table6[[#This Row],[Affected WTG]],'Basic Data'!$A:$A,'Basic Data'!$C:$C),"")</f>
        <v>GEDA</v>
      </c>
      <c r="J1442" s="260">
        <f>IFERROR(_xlfn.XLOOKUP(Table6[[#This Row],[Affected WTG]],'Basic Data'!$A:$A,'Basic Data'!$E:$E),"")</f>
        <v>3.846153846153845E-2</v>
      </c>
      <c r="K1442" s="102">
        <v>55</v>
      </c>
      <c r="L1442" s="35" t="str">
        <f>IFERROR(_xlfn.XLOOKUP(Table6[[#This Row],[Error Code]],'Basic Data'!$AA:$AA,'Basic Data'!$AB:$AB),"Incorrect Error Code")</f>
        <v>WTG shut down</v>
      </c>
      <c r="M1442" s="35" t="s">
        <v>266</v>
      </c>
      <c r="N1442" s="264"/>
      <c r="O1442" s="265">
        <v>0.48680555555555555</v>
      </c>
      <c r="P1442" s="265">
        <v>0.48680555555555555</v>
      </c>
      <c r="Q1442" s="266">
        <v>0.54861111111111116</v>
      </c>
      <c r="R1442" s="261">
        <f>IF(Table6[[#This Row],[Work Start TimeStamp]]="","",(Table6[[#This Row],[Work Start TimeStamp]]-Table6[[#This Row],[Fault Start TimeStamp]])*24)</f>
        <v>0</v>
      </c>
      <c r="S1442" s="261">
        <f>(Table6[[#This Row],[Fault Clearance time]]-Table6[[#This Row],[Work Start TimeStamp]])*24</f>
        <v>1.4833333333333347</v>
      </c>
      <c r="T1442" s="261">
        <f>(Table6[[#This Row],[Fault Clearance time]]-Table6[[#This Row],[Fault Start TimeStamp]])*24</f>
        <v>1.4833333333333347</v>
      </c>
      <c r="U1442" s="35" t="s">
        <v>572</v>
      </c>
      <c r="V1442" s="102" t="s">
        <v>268</v>
      </c>
      <c r="W1442" s="267">
        <f>IFERROR(Table6[[#This Row],[Breakdown Time]]*Table6[[#This Row],[Plant Equivalent Weightage]],"")</f>
        <v>5.7051282051282085E-2</v>
      </c>
      <c r="X1442" s="262" t="s">
        <v>296</v>
      </c>
      <c r="Y1442" s="263" t="s">
        <v>125</v>
      </c>
      <c r="Z1442" s="102">
        <v>32474</v>
      </c>
      <c r="AA1442" s="257">
        <f>(Table6[[#This Row],[Paired WTG Generation for loss calculation]]/24)*Table6[[#This Row],[Breakdown Time]]</f>
        <v>2007.0736111111128</v>
      </c>
      <c r="AB1442" s="102"/>
      <c r="AC1442" s="35"/>
      <c r="AD1442" s="35"/>
    </row>
    <row r="1443" spans="1:30">
      <c r="A1443" s="102">
        <f t="shared" si="23"/>
        <v>1442</v>
      </c>
      <c r="B1443" s="257">
        <f>YEAR(Table6[[#This Row],[Date]])+IF(MONTH(Table6[[#This Row],[Date]])&gt;=4,1,0)</f>
        <v>2026</v>
      </c>
      <c r="C1443" s="102">
        <f>YEAR(Table6[[#This Row],[Date]])</f>
        <v>2025</v>
      </c>
      <c r="D1443" s="102" t="s">
        <v>265</v>
      </c>
      <c r="E1443" s="258">
        <f>Table6[[#This Row],[Date]]-DAY(Table6[[#This Row],[Date]])+1</f>
        <v>45839</v>
      </c>
      <c r="F1443" s="259">
        <v>45839</v>
      </c>
      <c r="G1443" s="35" t="s">
        <v>140</v>
      </c>
      <c r="H1443" s="35" t="str">
        <f>IFERROR(_xlfn.XLOOKUP(Table6[[#This Row],[Affected WTG]],'Basic Data'!$A:$A,'Basic Data'!$B:$B),"")</f>
        <v>TQGXIIPL</v>
      </c>
      <c r="I1443" s="35" t="str">
        <f>IFERROR(_xlfn.XLOOKUP(Table6[[#This Row],[Affected WTG]],'Basic Data'!$A:$A,'Basic Data'!$C:$C),"")</f>
        <v>GEDA</v>
      </c>
      <c r="J1443" s="260">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266</v>
      </c>
      <c r="N1443" s="264"/>
      <c r="O1443" s="265">
        <v>0.31944444444444442</v>
      </c>
      <c r="P1443" s="265">
        <v>0.31944444444444442</v>
      </c>
      <c r="Q1443" s="266">
        <v>0.33194444444444443</v>
      </c>
      <c r="R1443" s="261">
        <f>IF(Table6[[#This Row],[Work Start TimeStamp]]="","",(Table6[[#This Row],[Work Start TimeStamp]]-Table6[[#This Row],[Fault Start TimeStamp]])*24)</f>
        <v>0</v>
      </c>
      <c r="S1443" s="261">
        <f>(Table6[[#This Row],[Fault Clearance time]]-Table6[[#This Row],[Work Start TimeStamp]])*24</f>
        <v>0.30000000000000027</v>
      </c>
      <c r="T1443" s="261">
        <f>(Table6[[#This Row],[Fault Clearance time]]-Table6[[#This Row],[Fault Start TimeStamp]])*24</f>
        <v>0.30000000000000027</v>
      </c>
      <c r="U1443" s="35" t="s">
        <v>483</v>
      </c>
      <c r="V1443" s="102" t="s">
        <v>268</v>
      </c>
      <c r="W1443" s="267">
        <f>IFERROR(Table6[[#This Row],[Breakdown Time]]*Table6[[#This Row],[Plant Equivalent Weightage]],"")</f>
        <v>1.1538461538461546E-2</v>
      </c>
      <c r="X1443" s="262" t="s">
        <v>296</v>
      </c>
      <c r="Y1443" s="263" t="s">
        <v>115</v>
      </c>
      <c r="Z1443" s="102">
        <v>33007</v>
      </c>
      <c r="AA1443" s="257">
        <f>(Table6[[#This Row],[Paired WTG Generation for loss calculation]]/24)*Table6[[#This Row],[Breakdown Time]]</f>
        <v>412.58750000000038</v>
      </c>
      <c r="AB1443" s="102"/>
      <c r="AC1443" s="35"/>
      <c r="AD1443" s="35"/>
    </row>
    <row r="1444" spans="1:30">
      <c r="A1444" s="102">
        <f t="shared" si="23"/>
        <v>1443</v>
      </c>
      <c r="B1444" s="257">
        <f>YEAR(Table6[[#This Row],[Date]])+IF(MONTH(Table6[[#This Row],[Date]])&gt;=4,1,0)</f>
        <v>2026</v>
      </c>
      <c r="C1444" s="102">
        <f>YEAR(Table6[[#This Row],[Date]])</f>
        <v>2025</v>
      </c>
      <c r="D1444" s="102" t="s">
        <v>265</v>
      </c>
      <c r="E1444" s="258">
        <f>Table6[[#This Row],[Date]]-DAY(Table6[[#This Row],[Date]])+1</f>
        <v>45839</v>
      </c>
      <c r="F1444" s="259">
        <v>45839</v>
      </c>
      <c r="G1444" s="35" t="s">
        <v>140</v>
      </c>
      <c r="H1444" s="35" t="str">
        <f>IFERROR(_xlfn.XLOOKUP(Table6[[#This Row],[Affected WTG]],'Basic Data'!$A:$A,'Basic Data'!$B:$B),"")</f>
        <v>TQGXIIPL</v>
      </c>
      <c r="I1444" s="35" t="str">
        <f>IFERROR(_xlfn.XLOOKUP(Table6[[#This Row],[Affected WTG]],'Basic Data'!$A:$A,'Basic Data'!$C:$C),"")</f>
        <v>GEDA</v>
      </c>
      <c r="J1444" s="260">
        <f>IFERROR(_xlfn.XLOOKUP(Table6[[#This Row],[Affected WTG]],'Basic Data'!$A:$A,'Basic Data'!$E:$E),"")</f>
        <v>3.846153846153845E-2</v>
      </c>
      <c r="K1444" s="102">
        <v>175</v>
      </c>
      <c r="L1444" s="35" t="str">
        <f>IFERROR(_xlfn.XLOOKUP(Table6[[#This Row],[Error Code]],'Basic Data'!$AA:$AA,'Basic Data'!$AB:$AB),"Incorrect Error Code")</f>
        <v>SLC error</v>
      </c>
      <c r="M1444" s="35" t="s">
        <v>266</v>
      </c>
      <c r="N1444" s="264"/>
      <c r="O1444" s="265">
        <v>0.33680555555555558</v>
      </c>
      <c r="P1444" s="265">
        <v>0.33680555555555558</v>
      </c>
      <c r="Q1444" s="266">
        <v>0.36875000000000002</v>
      </c>
      <c r="R1444" s="261">
        <f>IF(Table6[[#This Row],[Work Start TimeStamp]]="","",(Table6[[#This Row],[Work Start TimeStamp]]-Table6[[#This Row],[Fault Start TimeStamp]])*24)</f>
        <v>0</v>
      </c>
      <c r="S1444" s="261">
        <f>(Table6[[#This Row],[Fault Clearance time]]-Table6[[#This Row],[Work Start TimeStamp]])*24</f>
        <v>0.76666666666666661</v>
      </c>
      <c r="T1444" s="261">
        <f>(Table6[[#This Row],[Fault Clearance time]]-Table6[[#This Row],[Fault Start TimeStamp]])*24</f>
        <v>0.76666666666666661</v>
      </c>
      <c r="U1444" s="35" t="s">
        <v>483</v>
      </c>
      <c r="V1444" s="102" t="s">
        <v>268</v>
      </c>
      <c r="W1444" s="267">
        <f>IFERROR(Table6[[#This Row],[Breakdown Time]]*Table6[[#This Row],[Plant Equivalent Weightage]],"")</f>
        <v>2.9487179487179476E-2</v>
      </c>
      <c r="X1444" s="262" t="s">
        <v>296</v>
      </c>
      <c r="Y1444" s="263" t="s">
        <v>115</v>
      </c>
      <c r="Z1444" s="102">
        <v>33007</v>
      </c>
      <c r="AA1444" s="257">
        <f>(Table6[[#This Row],[Paired WTG Generation for loss calculation]]/24)*Table6[[#This Row],[Breakdown Time]]</f>
        <v>1054.3902777777778</v>
      </c>
      <c r="AB1444" s="102"/>
      <c r="AC1444" s="35"/>
      <c r="AD1444" s="35"/>
    </row>
    <row r="1445" spans="1:30">
      <c r="A1445" s="102">
        <f t="shared" si="23"/>
        <v>1444</v>
      </c>
      <c r="B1445" s="257">
        <f>YEAR(Table6[[#This Row],[Date]])+IF(MONTH(Table6[[#This Row],[Date]])&gt;=4,1,0)</f>
        <v>2026</v>
      </c>
      <c r="C1445" s="102">
        <f>YEAR(Table6[[#This Row],[Date]])</f>
        <v>2025</v>
      </c>
      <c r="D1445" s="102" t="s">
        <v>265</v>
      </c>
      <c r="E1445" s="258">
        <f>Table6[[#This Row],[Date]]-DAY(Table6[[#This Row],[Date]])+1</f>
        <v>45839</v>
      </c>
      <c r="F1445" s="259">
        <v>45839</v>
      </c>
      <c r="G1445" s="35" t="s">
        <v>137</v>
      </c>
      <c r="H1445" s="35" t="str">
        <f>IFERROR(_xlfn.XLOOKUP(Table6[[#This Row],[Affected WTG]],'Basic Data'!$A:$A,'Basic Data'!$B:$B),"")</f>
        <v>TQGXIIPL</v>
      </c>
      <c r="I1445" s="35" t="str">
        <f>IFERROR(_xlfn.XLOOKUP(Table6[[#This Row],[Affected WTG]],'Basic Data'!$A:$A,'Basic Data'!$C:$C),"")</f>
        <v>GEDA</v>
      </c>
      <c r="J1445" s="260">
        <f>IFERROR(_xlfn.XLOOKUP(Table6[[#This Row],[Affected WTG]],'Basic Data'!$A:$A,'Basic Data'!$E:$E),"")</f>
        <v>3.846153846153845E-2</v>
      </c>
      <c r="K1445" s="102">
        <v>55</v>
      </c>
      <c r="L1445" s="35" t="str">
        <f>IFERROR(_xlfn.XLOOKUP(Table6[[#This Row],[Error Code]],'Basic Data'!$AA:$AA,'Basic Data'!$AB:$AB),"Incorrect Error Code")</f>
        <v>WTG shut down</v>
      </c>
      <c r="M1445" s="35" t="s">
        <v>266</v>
      </c>
      <c r="N1445" s="264"/>
      <c r="O1445" s="265">
        <v>0.55763888888888891</v>
      </c>
      <c r="P1445" s="265">
        <v>0.55763888888888891</v>
      </c>
      <c r="Q1445" s="266">
        <v>0.56180555555555556</v>
      </c>
      <c r="R1445" s="261">
        <f>IF(Table6[[#This Row],[Work Start TimeStamp]]="","",(Table6[[#This Row],[Work Start TimeStamp]]-Table6[[#This Row],[Fault Start TimeStamp]])*24)</f>
        <v>0</v>
      </c>
      <c r="S1445" s="261">
        <f>(Table6[[#This Row],[Fault Clearance time]]-Table6[[#This Row],[Work Start TimeStamp]])*24</f>
        <v>9.9999999999999645E-2</v>
      </c>
      <c r="T1445" s="261">
        <f>(Table6[[#This Row],[Fault Clearance time]]-Table6[[#This Row],[Fault Start TimeStamp]])*24</f>
        <v>9.9999999999999645E-2</v>
      </c>
      <c r="U1445" s="35" t="s">
        <v>573</v>
      </c>
      <c r="V1445" s="102" t="s">
        <v>268</v>
      </c>
      <c r="W1445" s="267">
        <f>IFERROR(Table6[[#This Row],[Breakdown Time]]*Table6[[#This Row],[Plant Equivalent Weightage]],"")</f>
        <v>3.8461538461538312E-3</v>
      </c>
      <c r="X1445" s="262" t="s">
        <v>296</v>
      </c>
      <c r="Y1445" s="263" t="s">
        <v>125</v>
      </c>
      <c r="Z1445" s="102">
        <v>32474</v>
      </c>
      <c r="AA1445" s="257">
        <f>(Table6[[#This Row],[Paired WTG Generation for loss calculation]]/24)*Table6[[#This Row],[Breakdown Time]]</f>
        <v>135.30833333333285</v>
      </c>
      <c r="AB1445" s="102"/>
      <c r="AC1445" s="35"/>
      <c r="AD1445" s="35"/>
    </row>
    <row r="1446" spans="1:30">
      <c r="A1446" s="102">
        <f t="shared" si="23"/>
        <v>1445</v>
      </c>
      <c r="B1446" s="257">
        <f>YEAR(Table6[[#This Row],[Date]])+IF(MONTH(Table6[[#This Row],[Date]])&gt;=4,1,0)</f>
        <v>2026</v>
      </c>
      <c r="C1446" s="102">
        <f>YEAR(Table6[[#This Row],[Date]])</f>
        <v>2025</v>
      </c>
      <c r="D1446" s="102" t="s">
        <v>265</v>
      </c>
      <c r="E1446" s="258">
        <f>Table6[[#This Row],[Date]]-DAY(Table6[[#This Row],[Date]])+1</f>
        <v>45839</v>
      </c>
      <c r="F1446" s="259">
        <v>45840</v>
      </c>
      <c r="G1446" s="35" t="s">
        <v>118</v>
      </c>
      <c r="H1446" s="35" t="str">
        <f>IFERROR(_xlfn.XLOOKUP(Table6[[#This Row],[Affected WTG]],'Basic Data'!$A:$A,'Basic Data'!$B:$B),"")</f>
        <v>TQGXIIPL</v>
      </c>
      <c r="I1446" s="35" t="str">
        <f>IFERROR(_xlfn.XLOOKUP(Table6[[#This Row],[Affected WTG]],'Basic Data'!$A:$A,'Basic Data'!$C:$C),"")</f>
        <v>GEDA</v>
      </c>
      <c r="J1446" s="260">
        <f>IFERROR(_xlfn.XLOOKUP(Table6[[#This Row],[Affected WTG]],'Basic Data'!$A:$A,'Basic Data'!$E:$E),"")</f>
        <v>3.846153846153845E-2</v>
      </c>
      <c r="K1446" s="102">
        <v>6130</v>
      </c>
      <c r="L1446" s="35" t="str">
        <f>IFERROR(_xlfn.XLOOKUP(Table6[[#This Row],[Error Code]],'Basic Data'!$AA:$AA,'Basic Data'!$AB:$AB),"Incorrect Error Code")</f>
        <v>Yaw speed high</v>
      </c>
      <c r="M1446" s="35" t="s">
        <v>266</v>
      </c>
      <c r="N1446" s="264"/>
      <c r="O1446" s="265">
        <v>0.16458333333333333</v>
      </c>
      <c r="P1446" s="265">
        <v>0.16458333333333333</v>
      </c>
      <c r="Q1446" s="266">
        <v>0.17777777777777778</v>
      </c>
      <c r="R1446" s="261">
        <f>IF(Table6[[#This Row],[Work Start TimeStamp]]="","",(Table6[[#This Row],[Work Start TimeStamp]]-Table6[[#This Row],[Fault Start TimeStamp]])*24)</f>
        <v>0</v>
      </c>
      <c r="S1446" s="261">
        <f>(Table6[[#This Row],[Fault Clearance time]]-Table6[[#This Row],[Work Start TimeStamp]])*24</f>
        <v>0.31666666666666687</v>
      </c>
      <c r="T1446" s="261">
        <f>(Table6[[#This Row],[Fault Clearance time]]-Table6[[#This Row],[Fault Start TimeStamp]])*24</f>
        <v>0.31666666666666687</v>
      </c>
      <c r="U1446" s="35" t="s">
        <v>574</v>
      </c>
      <c r="V1446" s="102" t="s">
        <v>268</v>
      </c>
      <c r="W1446" s="267">
        <f>IFERROR(Table6[[#This Row],[Breakdown Time]]*Table6[[#This Row],[Plant Equivalent Weightage]],"")</f>
        <v>1.2179487179487183E-2</v>
      </c>
      <c r="X1446" s="262" t="s">
        <v>296</v>
      </c>
      <c r="Y1446" s="263" t="s">
        <v>121</v>
      </c>
      <c r="Z1446" s="102">
        <v>29432</v>
      </c>
      <c r="AA1446" s="257">
        <f>(Table6[[#This Row],[Paired WTG Generation for loss calculation]]/24)*Table6[[#This Row],[Breakdown Time]]</f>
        <v>388.33888888888913</v>
      </c>
      <c r="AB1446" s="102"/>
      <c r="AC1446" s="35"/>
      <c r="AD1446" s="35"/>
    </row>
    <row r="1447" spans="1:30">
      <c r="A1447" s="102">
        <f t="shared" si="23"/>
        <v>1446</v>
      </c>
      <c r="B1447" s="257">
        <f>YEAR(Table6[[#This Row],[Date]])+IF(MONTH(Table6[[#This Row],[Date]])&gt;=4,1,0)</f>
        <v>2026</v>
      </c>
      <c r="C1447" s="102">
        <f>YEAR(Table6[[#This Row],[Date]])</f>
        <v>2025</v>
      </c>
      <c r="D1447" s="102" t="s">
        <v>265</v>
      </c>
      <c r="E1447" s="258">
        <f>Table6[[#This Row],[Date]]-DAY(Table6[[#This Row],[Date]])+1</f>
        <v>45839</v>
      </c>
      <c r="F1447" s="259">
        <v>45840</v>
      </c>
      <c r="G1447" s="35" t="s">
        <v>119</v>
      </c>
      <c r="H1447" s="35" t="str">
        <f>IFERROR(_xlfn.XLOOKUP(Table6[[#This Row],[Affected WTG]],'Basic Data'!$A:$A,'Basic Data'!$B:$B),"")</f>
        <v>TQGXIIPL</v>
      </c>
      <c r="I1447" s="35" t="str">
        <f>IFERROR(_xlfn.XLOOKUP(Table6[[#This Row],[Affected WTG]],'Basic Data'!$A:$A,'Basic Data'!$C:$C),"")</f>
        <v>GEDA</v>
      </c>
      <c r="J1447" s="260">
        <f>IFERROR(_xlfn.XLOOKUP(Table6[[#This Row],[Affected WTG]],'Basic Data'!$A:$A,'Basic Data'!$E:$E),"")</f>
        <v>3.846153846153845E-2</v>
      </c>
      <c r="K1447" s="102">
        <v>3211</v>
      </c>
      <c r="L1447" s="35" t="str">
        <f>IFERROR(_xlfn.XLOOKUP(Table6[[#This Row],[Error Code]],'Basic Data'!$AA:$AA,'Basic Data'!$AB:$AB),"Incorrect Error Code")</f>
        <v>Conv. load shedding (CAN)</v>
      </c>
      <c r="M1447" s="35" t="s">
        <v>266</v>
      </c>
      <c r="N1447" s="264"/>
      <c r="O1447" s="265">
        <v>0.41041666666666665</v>
      </c>
      <c r="P1447" s="265">
        <v>0.41041666666666665</v>
      </c>
      <c r="Q1447" s="266">
        <v>0.41249999999999998</v>
      </c>
      <c r="R1447" s="261">
        <f>IF(Table6[[#This Row],[Work Start TimeStamp]]="","",(Table6[[#This Row],[Work Start TimeStamp]]-Table6[[#This Row],[Fault Start TimeStamp]])*24)</f>
        <v>0</v>
      </c>
      <c r="S1447" s="261">
        <f>(Table6[[#This Row],[Fault Clearance time]]-Table6[[#This Row],[Work Start TimeStamp]])*24</f>
        <v>4.9999999999999822E-2</v>
      </c>
      <c r="T1447" s="261">
        <f>(Table6[[#This Row],[Fault Clearance time]]-Table6[[#This Row],[Fault Start TimeStamp]])*24</f>
        <v>4.9999999999999822E-2</v>
      </c>
      <c r="U1447" s="35" t="s">
        <v>483</v>
      </c>
      <c r="V1447" s="102" t="s">
        <v>268</v>
      </c>
      <c r="W1447" s="267">
        <f>IFERROR(Table6[[#This Row],[Breakdown Time]]*Table6[[#This Row],[Plant Equivalent Weightage]],"")</f>
        <v>1.9230769230769156E-3</v>
      </c>
      <c r="X1447" s="262" t="s">
        <v>296</v>
      </c>
      <c r="Y1447" s="263" t="s">
        <v>116</v>
      </c>
      <c r="Z1447" s="102">
        <v>35182</v>
      </c>
      <c r="AA1447" s="257">
        <f>(Table6[[#This Row],[Paired WTG Generation for loss calculation]]/24)*Table6[[#This Row],[Breakdown Time]]</f>
        <v>73.295833333333078</v>
      </c>
      <c r="AB1447" s="102"/>
      <c r="AC1447" s="35"/>
      <c r="AD1447" s="35"/>
    </row>
    <row r="1448" spans="1:30">
      <c r="A1448" s="102">
        <f t="shared" si="23"/>
        <v>1447</v>
      </c>
      <c r="B1448" s="257">
        <f>YEAR(Table6[[#This Row],[Date]])+IF(MONTH(Table6[[#This Row],[Date]])&gt;=4,1,0)</f>
        <v>2026</v>
      </c>
      <c r="C1448" s="102">
        <f>YEAR(Table6[[#This Row],[Date]])</f>
        <v>2025</v>
      </c>
      <c r="D1448" s="102" t="s">
        <v>265</v>
      </c>
      <c r="E1448" s="258">
        <f>Table6[[#This Row],[Date]]-DAY(Table6[[#This Row],[Date]])+1</f>
        <v>45839</v>
      </c>
      <c r="F1448" s="259">
        <v>45840</v>
      </c>
      <c r="G1448" s="35" t="s">
        <v>120</v>
      </c>
      <c r="H1448" s="35" t="str">
        <f>IFERROR(_xlfn.XLOOKUP(Table6[[#This Row],[Affected WTG]],'Basic Data'!$A:$A,'Basic Data'!$B:$B),"")</f>
        <v>TQGXIIPL</v>
      </c>
      <c r="I1448" s="35" t="str">
        <f>IFERROR(_xlfn.XLOOKUP(Table6[[#This Row],[Affected WTG]],'Basic Data'!$A:$A,'Basic Data'!$C:$C),"")</f>
        <v>GEDA</v>
      </c>
      <c r="J1448" s="260">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266</v>
      </c>
      <c r="N1448" s="264"/>
      <c r="O1448" s="265">
        <v>0.75555555555555554</v>
      </c>
      <c r="P1448" s="265">
        <v>0.75555555555555554</v>
      </c>
      <c r="Q1448" s="266">
        <v>0.77222222222222225</v>
      </c>
      <c r="R1448" s="261">
        <f>IF(Table6[[#This Row],[Work Start TimeStamp]]="","",(Table6[[#This Row],[Work Start TimeStamp]]-Table6[[#This Row],[Fault Start TimeStamp]])*24)</f>
        <v>0</v>
      </c>
      <c r="S1448" s="261">
        <f>(Table6[[#This Row],[Fault Clearance time]]-Table6[[#This Row],[Work Start TimeStamp]])*24</f>
        <v>0.40000000000000124</v>
      </c>
      <c r="T1448" s="261">
        <f>(Table6[[#This Row],[Fault Clearance time]]-Table6[[#This Row],[Fault Start TimeStamp]])*24</f>
        <v>0.40000000000000124</v>
      </c>
      <c r="U1448" s="35" t="s">
        <v>575</v>
      </c>
      <c r="V1448" s="102" t="s">
        <v>268</v>
      </c>
      <c r="W1448" s="267">
        <f>IFERROR(Table6[[#This Row],[Breakdown Time]]*Table6[[#This Row],[Plant Equivalent Weightage]],"")</f>
        <v>1.5384615384615427E-2</v>
      </c>
      <c r="X1448" s="262" t="s">
        <v>296</v>
      </c>
      <c r="Y1448" s="263" t="s">
        <v>135</v>
      </c>
      <c r="Z1448" s="102">
        <v>30365</v>
      </c>
      <c r="AA1448" s="257">
        <f>(Table6[[#This Row],[Paired WTG Generation for loss calculation]]/24)*Table6[[#This Row],[Breakdown Time]]</f>
        <v>506.08333333333485</v>
      </c>
      <c r="AB1448" s="102"/>
      <c r="AC1448" s="35"/>
      <c r="AD1448" s="35"/>
    </row>
    <row r="1449" spans="1:30">
      <c r="A1449" s="102">
        <f t="shared" si="23"/>
        <v>1448</v>
      </c>
      <c r="B1449" s="257">
        <f>YEAR(Table6[[#This Row],[Date]])+IF(MONTH(Table6[[#This Row],[Date]])&gt;=4,1,0)</f>
        <v>2026</v>
      </c>
      <c r="C1449" s="102">
        <f>YEAR(Table6[[#This Row],[Date]])</f>
        <v>2025</v>
      </c>
      <c r="D1449" s="102" t="s">
        <v>265</v>
      </c>
      <c r="E1449" s="258">
        <f>Table6[[#This Row],[Date]]-DAY(Table6[[#This Row],[Date]])+1</f>
        <v>45839</v>
      </c>
      <c r="F1449" s="259">
        <v>45840</v>
      </c>
      <c r="G1449" s="35" t="s">
        <v>121</v>
      </c>
      <c r="H1449" s="35" t="str">
        <f>IFERROR(_xlfn.XLOOKUP(Table6[[#This Row],[Affected WTG]],'Basic Data'!$A:$A,'Basic Data'!$B:$B),"")</f>
        <v>TQGXIIPL</v>
      </c>
      <c r="I1449" s="35" t="str">
        <f>IFERROR(_xlfn.XLOOKUP(Table6[[#This Row],[Affected WTG]],'Basic Data'!$A:$A,'Basic Data'!$C:$C),"")</f>
        <v>GEDA</v>
      </c>
      <c r="J1449" s="260">
        <f>IFERROR(_xlfn.XLOOKUP(Table6[[#This Row],[Affected WTG]],'Basic Data'!$A:$A,'Basic Data'!$E:$E),"")</f>
        <v>3.846153846153845E-2</v>
      </c>
      <c r="K1449" s="102">
        <v>175</v>
      </c>
      <c r="L1449" s="35" t="str">
        <f>IFERROR(_xlfn.XLOOKUP(Table6[[#This Row],[Error Code]],'Basic Data'!$AA:$AA,'Basic Data'!$AB:$AB),"Incorrect Error Code")</f>
        <v>SLC error</v>
      </c>
      <c r="M1449" s="35" t="s">
        <v>266</v>
      </c>
      <c r="N1449" s="264"/>
      <c r="O1449" s="265">
        <v>0.75555555555555554</v>
      </c>
      <c r="P1449" s="265">
        <v>0.75555555555555554</v>
      </c>
      <c r="Q1449" s="266">
        <v>0.8</v>
      </c>
      <c r="R1449" s="261">
        <f>IF(Table6[[#This Row],[Work Start TimeStamp]]="","",(Table6[[#This Row],[Work Start TimeStamp]]-Table6[[#This Row],[Fault Start TimeStamp]])*24)</f>
        <v>0</v>
      </c>
      <c r="S1449" s="261">
        <f>(Table6[[#This Row],[Fault Clearance time]]-Table6[[#This Row],[Work Start TimeStamp]])*24</f>
        <v>1.0666666666666682</v>
      </c>
      <c r="T1449" s="261">
        <f>(Table6[[#This Row],[Fault Clearance time]]-Table6[[#This Row],[Fault Start TimeStamp]])*24</f>
        <v>1.0666666666666682</v>
      </c>
      <c r="U1449" s="35" t="s">
        <v>574</v>
      </c>
      <c r="V1449" s="102" t="s">
        <v>268</v>
      </c>
      <c r="W1449" s="267">
        <f>IFERROR(Table6[[#This Row],[Breakdown Time]]*Table6[[#This Row],[Plant Equivalent Weightage]],"")</f>
        <v>4.1025641025641074E-2</v>
      </c>
      <c r="X1449" s="262" t="s">
        <v>296</v>
      </c>
      <c r="Y1449" s="263" t="s">
        <v>118</v>
      </c>
      <c r="Z1449" s="102">
        <v>30431</v>
      </c>
      <c r="AA1449" s="257">
        <f>(Table6[[#This Row],[Paired WTG Generation for loss calculation]]/24)*Table6[[#This Row],[Breakdown Time]]</f>
        <v>1352.4888888888909</v>
      </c>
      <c r="AB1449" s="102"/>
      <c r="AC1449" s="35"/>
      <c r="AD1449" s="35"/>
    </row>
    <row r="1450" spans="1:30">
      <c r="A1450" s="102">
        <f t="shared" si="23"/>
        <v>1449</v>
      </c>
      <c r="B1450" s="257">
        <f>YEAR(Table6[[#This Row],[Date]])+IF(MONTH(Table6[[#This Row],[Date]])&gt;=4,1,0)</f>
        <v>2026</v>
      </c>
      <c r="C1450" s="102">
        <f>YEAR(Table6[[#This Row],[Date]])</f>
        <v>2025</v>
      </c>
      <c r="D1450" s="102" t="s">
        <v>265</v>
      </c>
      <c r="E1450" s="258">
        <f>Table6[[#This Row],[Date]]-DAY(Table6[[#This Row],[Date]])+1</f>
        <v>45839</v>
      </c>
      <c r="F1450" s="259">
        <v>45840</v>
      </c>
      <c r="G1450" s="35" t="s">
        <v>130</v>
      </c>
      <c r="H1450" s="35" t="str">
        <f>IFERROR(_xlfn.XLOOKUP(Table6[[#This Row],[Affected WTG]],'Basic Data'!$A:$A,'Basic Data'!$B:$B),"")</f>
        <v>TQGXIIPL</v>
      </c>
      <c r="I1450" s="35" t="str">
        <f>IFERROR(_xlfn.XLOOKUP(Table6[[#This Row],[Affected WTG]],'Basic Data'!$A:$A,'Basic Data'!$C:$C),"")</f>
        <v>GEDA</v>
      </c>
      <c r="J1450" s="260">
        <f>IFERROR(_xlfn.XLOOKUP(Table6[[#This Row],[Affected WTG]],'Basic Data'!$A:$A,'Basic Data'!$E:$E),"")</f>
        <v>3.846153846153845E-2</v>
      </c>
      <c r="K1450" s="102">
        <v>5510</v>
      </c>
      <c r="L1450" s="35" t="str">
        <f>IFERROR(_xlfn.XLOOKUP(Table6[[#This Row],[Error Code]],'Basic Data'!$AA:$AA,'Basic Data'!$AB:$AB),"Incorrect Error Code")</f>
        <v>Low hydraulic pressure</v>
      </c>
      <c r="M1450" s="35" t="s">
        <v>266</v>
      </c>
      <c r="N1450" s="264"/>
      <c r="O1450" s="265">
        <v>0.75694444444444442</v>
      </c>
      <c r="P1450" s="265">
        <v>0.75694444444444442</v>
      </c>
      <c r="Q1450" s="266">
        <v>0.75902777777777775</v>
      </c>
      <c r="R1450" s="261">
        <f>IF(Table6[[#This Row],[Work Start TimeStamp]]="","",(Table6[[#This Row],[Work Start TimeStamp]]-Table6[[#This Row],[Fault Start TimeStamp]])*24)</f>
        <v>0</v>
      </c>
      <c r="S1450" s="261">
        <f>(Table6[[#This Row],[Fault Clearance time]]-Table6[[#This Row],[Work Start TimeStamp]])*24</f>
        <v>4.9999999999999822E-2</v>
      </c>
      <c r="T1450" s="261">
        <f>(Table6[[#This Row],[Fault Clearance time]]-Table6[[#This Row],[Fault Start TimeStamp]])*24</f>
        <v>4.9999999999999822E-2</v>
      </c>
      <c r="U1450" s="35" t="s">
        <v>483</v>
      </c>
      <c r="V1450" s="102" t="s">
        <v>268</v>
      </c>
      <c r="W1450" s="267">
        <f>IFERROR(Table6[[#This Row],[Breakdown Time]]*Table6[[#This Row],[Plant Equivalent Weightage]],"")</f>
        <v>1.9230769230769156E-3</v>
      </c>
      <c r="X1450" s="262" t="s">
        <v>296</v>
      </c>
      <c r="Y1450" s="263" t="s">
        <v>135</v>
      </c>
      <c r="Z1450" s="102">
        <v>30365</v>
      </c>
      <c r="AA1450" s="257">
        <f>(Table6[[#This Row],[Paired WTG Generation for loss calculation]]/24)*Table6[[#This Row],[Breakdown Time]]</f>
        <v>63.260416666666437</v>
      </c>
      <c r="AB1450" s="102"/>
      <c r="AC1450" s="35"/>
      <c r="AD1450" s="35"/>
    </row>
    <row r="1451" spans="1:30">
      <c r="A1451" s="102">
        <f t="shared" si="23"/>
        <v>1450</v>
      </c>
      <c r="B1451" s="257">
        <f>YEAR(Table6[[#This Row],[Date]])+IF(MONTH(Table6[[#This Row],[Date]])&gt;=4,1,0)</f>
        <v>2026</v>
      </c>
      <c r="C1451" s="102">
        <f>YEAR(Table6[[#This Row],[Date]])</f>
        <v>2025</v>
      </c>
      <c r="D1451" s="102" t="s">
        <v>265</v>
      </c>
      <c r="E1451" s="258">
        <f>Table6[[#This Row],[Date]]-DAY(Table6[[#This Row],[Date]])+1</f>
        <v>45839</v>
      </c>
      <c r="F1451" s="259">
        <v>45840</v>
      </c>
      <c r="G1451" s="35" t="s">
        <v>135</v>
      </c>
      <c r="H1451" s="35" t="str">
        <f>IFERROR(_xlfn.XLOOKUP(Table6[[#This Row],[Affected WTG]],'Basic Data'!$A:$A,'Basic Data'!$B:$B),"")</f>
        <v>TQGXIIPL</v>
      </c>
      <c r="I1451" s="35" t="str">
        <f>IFERROR(_xlfn.XLOOKUP(Table6[[#This Row],[Affected WTG]],'Basic Data'!$A:$A,'Basic Data'!$C:$C),"")</f>
        <v>GEDA</v>
      </c>
      <c r="J1451" s="260">
        <f>IFERROR(_xlfn.XLOOKUP(Table6[[#This Row],[Affected WTG]],'Basic Data'!$A:$A,'Basic Data'!$E:$E),"")</f>
        <v>3.846153846153845E-2</v>
      </c>
      <c r="K1451" s="102">
        <v>3211</v>
      </c>
      <c r="L1451" s="35" t="str">
        <f>IFERROR(_xlfn.XLOOKUP(Table6[[#This Row],[Error Code]],'Basic Data'!$AA:$AA,'Basic Data'!$AB:$AB),"Incorrect Error Code")</f>
        <v>Conv. load shedding (CAN)</v>
      </c>
      <c r="M1451" s="35" t="s">
        <v>266</v>
      </c>
      <c r="N1451" s="264"/>
      <c r="O1451" s="265">
        <v>0.53055555555555556</v>
      </c>
      <c r="P1451" s="265">
        <v>0.53055555555555556</v>
      </c>
      <c r="Q1451" s="266">
        <v>0.53402777777777777</v>
      </c>
      <c r="R1451" s="261">
        <f>IF(Table6[[#This Row],[Work Start TimeStamp]]="","",(Table6[[#This Row],[Work Start TimeStamp]]-Table6[[#This Row],[Fault Start TimeStamp]])*24)</f>
        <v>0</v>
      </c>
      <c r="S1451" s="261">
        <f>(Table6[[#This Row],[Fault Clearance time]]-Table6[[#This Row],[Work Start TimeStamp]])*24</f>
        <v>8.3333333333333037E-2</v>
      </c>
      <c r="T1451" s="261">
        <f>(Table6[[#This Row],[Fault Clearance time]]-Table6[[#This Row],[Fault Start TimeStamp]])*24</f>
        <v>8.3333333333333037E-2</v>
      </c>
      <c r="U1451" s="35" t="s">
        <v>483</v>
      </c>
      <c r="V1451" s="102" t="s">
        <v>268</v>
      </c>
      <c r="W1451" s="267">
        <f>IFERROR(Table6[[#This Row],[Breakdown Time]]*Table6[[#This Row],[Plant Equivalent Weightage]],"")</f>
        <v>3.2051282051281929E-3</v>
      </c>
      <c r="X1451" s="262" t="s">
        <v>296</v>
      </c>
      <c r="Y1451" s="263" t="s">
        <v>120</v>
      </c>
      <c r="Z1451" s="102">
        <v>29022</v>
      </c>
      <c r="AA1451" s="257">
        <f>(Table6[[#This Row],[Paired WTG Generation for loss calculation]]/24)*Table6[[#This Row],[Breakdown Time]]</f>
        <v>100.77083333333297</v>
      </c>
      <c r="AB1451" s="102"/>
      <c r="AC1451" s="35"/>
      <c r="AD1451" s="35"/>
    </row>
    <row r="1452" spans="1:30">
      <c r="A1452" s="102">
        <f t="shared" si="23"/>
        <v>1451</v>
      </c>
      <c r="B1452" s="257">
        <f>YEAR(Table6[[#This Row],[Date]])+IF(MONTH(Table6[[#This Row],[Date]])&gt;=4,1,0)</f>
        <v>2026</v>
      </c>
      <c r="C1452" s="102">
        <f>YEAR(Table6[[#This Row],[Date]])</f>
        <v>2025</v>
      </c>
      <c r="D1452" s="102" t="s">
        <v>265</v>
      </c>
      <c r="E1452" s="258">
        <f>Table6[[#This Row],[Date]]-DAY(Table6[[#This Row],[Date]])+1</f>
        <v>45839</v>
      </c>
      <c r="F1452" s="259">
        <v>45840</v>
      </c>
      <c r="G1452" s="35" t="s">
        <v>139</v>
      </c>
      <c r="H1452" s="35" t="str">
        <f>IFERROR(_xlfn.XLOOKUP(Table6[[#This Row],[Affected WTG]],'Basic Data'!$A:$A,'Basic Data'!$B:$B),"")</f>
        <v>TQGXIIPL</v>
      </c>
      <c r="I1452" s="35" t="str">
        <f>IFERROR(_xlfn.XLOOKUP(Table6[[#This Row],[Affected WTG]],'Basic Data'!$A:$A,'Basic Data'!$C:$C),"")</f>
        <v>GEDA</v>
      </c>
      <c r="J1452" s="260">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266</v>
      </c>
      <c r="N1452" s="264"/>
      <c r="O1452" s="265">
        <v>0.83402777777777781</v>
      </c>
      <c r="P1452" s="265">
        <v>0.83402777777777781</v>
      </c>
      <c r="Q1452" s="266">
        <v>0.8354166666666667</v>
      </c>
      <c r="R1452" s="261">
        <f>IF(Table6[[#This Row],[Work Start TimeStamp]]="","",(Table6[[#This Row],[Work Start TimeStamp]]-Table6[[#This Row],[Fault Start TimeStamp]])*24)</f>
        <v>0</v>
      </c>
      <c r="S1452" s="261">
        <f>(Table6[[#This Row],[Fault Clearance time]]-Table6[[#This Row],[Work Start TimeStamp]])*24</f>
        <v>3.3333333333333215E-2</v>
      </c>
      <c r="T1452" s="261">
        <f>(Table6[[#This Row],[Fault Clearance time]]-Table6[[#This Row],[Fault Start TimeStamp]])*24</f>
        <v>3.3333333333333215E-2</v>
      </c>
      <c r="U1452" s="35" t="s">
        <v>483</v>
      </c>
      <c r="V1452" s="102" t="s">
        <v>268</v>
      </c>
      <c r="W1452" s="267">
        <f>IFERROR(Table6[[#This Row],[Breakdown Time]]*Table6[[#This Row],[Plant Equivalent Weightage]],"")</f>
        <v>1.2820512820512771E-3</v>
      </c>
      <c r="X1452" s="262" t="s">
        <v>296</v>
      </c>
      <c r="Y1452" s="263" t="s">
        <v>115</v>
      </c>
      <c r="Z1452" s="102">
        <v>29644</v>
      </c>
      <c r="AA1452" s="257">
        <f>(Table6[[#This Row],[Paired WTG Generation for loss calculation]]/24)*Table6[[#This Row],[Breakdown Time]]</f>
        <v>41.172222222222075</v>
      </c>
      <c r="AB1452" s="102"/>
      <c r="AC1452" s="35"/>
      <c r="AD1452" s="35"/>
    </row>
    <row r="1453" spans="1:30">
      <c r="A1453" s="102">
        <f t="shared" si="23"/>
        <v>1452</v>
      </c>
      <c r="B1453" s="257">
        <f>YEAR(Table6[[#This Row],[Date]])+IF(MONTH(Table6[[#This Row],[Date]])&gt;=4,1,0)</f>
        <v>2026</v>
      </c>
      <c r="C1453" s="102">
        <f>YEAR(Table6[[#This Row],[Date]])</f>
        <v>2025</v>
      </c>
      <c r="D1453" s="102" t="s">
        <v>265</v>
      </c>
      <c r="E1453" s="258">
        <f>Table6[[#This Row],[Date]]-DAY(Table6[[#This Row],[Date]])+1</f>
        <v>45839</v>
      </c>
      <c r="F1453" s="259">
        <v>45840</v>
      </c>
      <c r="G1453" s="35" t="s">
        <v>126</v>
      </c>
      <c r="H1453" s="35" t="str">
        <f>IFERROR(_xlfn.XLOOKUP(Table6[[#This Row],[Affected WTG]],'Basic Data'!$A:$A,'Basic Data'!$B:$B),"")</f>
        <v>TQGXIIPL</v>
      </c>
      <c r="I1453" s="35" t="str">
        <f>IFERROR(_xlfn.XLOOKUP(Table6[[#This Row],[Affected WTG]],'Basic Data'!$A:$A,'Basic Data'!$C:$C),"")</f>
        <v>GEDA</v>
      </c>
      <c r="J1453" s="260">
        <f>IFERROR(_xlfn.XLOOKUP(Table6[[#This Row],[Affected WTG]],'Basic Data'!$A:$A,'Basic Data'!$E:$E),"")</f>
        <v>3.846153846153845E-2</v>
      </c>
      <c r="K1453" s="102">
        <v>55</v>
      </c>
      <c r="L1453" s="35" t="str">
        <f>IFERROR(_xlfn.XLOOKUP(Table6[[#This Row],[Error Code]],'Basic Data'!$AA:$AA,'Basic Data'!$AB:$AB),"Incorrect Error Code")</f>
        <v>WTG shut down</v>
      </c>
      <c r="M1453" s="35" t="s">
        <v>291</v>
      </c>
      <c r="N1453" s="264"/>
      <c r="O1453" s="265">
        <v>0</v>
      </c>
      <c r="P1453" s="265">
        <v>0</v>
      </c>
      <c r="Q1453" s="266">
        <v>0.57638888888888884</v>
      </c>
      <c r="R1453" s="289">
        <f>IF(Table6[[#This Row],[Work Start TimeStamp]]="","",(Table6[[#This Row],[Work Start TimeStamp]]-Table6[[#This Row],[Fault Start TimeStamp]])*24)</f>
        <v>0</v>
      </c>
      <c r="S1453" s="289">
        <f>(Table6[[#This Row],[Fault Clearance time]]-Table6[[#This Row],[Work Start TimeStamp]])*24</f>
        <v>13.833333333333332</v>
      </c>
      <c r="T1453" s="289">
        <f>(Table6[[#This Row],[Fault Clearance time]]-Table6[[#This Row],[Fault Start TimeStamp]])*24</f>
        <v>13.833333333333332</v>
      </c>
      <c r="U1453" s="35" t="s">
        <v>576</v>
      </c>
      <c r="V1453" s="102" t="s">
        <v>549</v>
      </c>
      <c r="W1453" s="290">
        <f>IFERROR(Table6[[#This Row],[Breakdown Time]]*Table6[[#This Row],[Plant Equivalent Weightage]],"")</f>
        <v>0.53205128205128183</v>
      </c>
      <c r="X1453" s="262" t="s">
        <v>531</v>
      </c>
      <c r="Y1453" s="263" t="s">
        <v>128</v>
      </c>
      <c r="Z1453" s="102">
        <v>32433</v>
      </c>
      <c r="AA1453" s="257">
        <f>(Table6[[#This Row],[Paired WTG Generation for loss calculation]]/24)*Table6[[#This Row],[Breakdown Time]]</f>
        <v>18694.020833333332</v>
      </c>
      <c r="AB1453" s="102"/>
      <c r="AC1453" s="35"/>
      <c r="AD1453" s="35"/>
    </row>
    <row r="1454" spans="1:30">
      <c r="A1454" s="102">
        <f t="shared" si="23"/>
        <v>1453</v>
      </c>
      <c r="B1454" s="257">
        <f>YEAR(Table6[[#This Row],[Date]])+IF(MONTH(Table6[[#This Row],[Date]])&gt;=4,1,0)</f>
        <v>2026</v>
      </c>
      <c r="C1454" s="102">
        <f>YEAR(Table6[[#This Row],[Date]])</f>
        <v>2025</v>
      </c>
      <c r="D1454" s="102" t="s">
        <v>265</v>
      </c>
      <c r="E1454" s="258">
        <f>Table6[[#This Row],[Date]]-DAY(Table6[[#This Row],[Date]])+1</f>
        <v>45839</v>
      </c>
      <c r="F1454" s="259">
        <v>45840</v>
      </c>
      <c r="G1454" s="35" t="s">
        <v>126</v>
      </c>
      <c r="H1454" s="35" t="str">
        <f>IFERROR(_xlfn.XLOOKUP(Table6[[#This Row],[Affected WTG]],'Basic Data'!$A:$A,'Basic Data'!$B:$B),"")</f>
        <v>TQGXIIPL</v>
      </c>
      <c r="I1454" s="35" t="str">
        <f>IFERROR(_xlfn.XLOOKUP(Table6[[#This Row],[Affected WTG]],'Basic Data'!$A:$A,'Basic Data'!$C:$C),"")</f>
        <v>GEDA</v>
      </c>
      <c r="J1454" s="260">
        <f>IFERROR(_xlfn.XLOOKUP(Table6[[#This Row],[Affected WTG]],'Basic Data'!$A:$A,'Basic Data'!$E:$E),"")</f>
        <v>3.846153846153845E-2</v>
      </c>
      <c r="K1454" s="102">
        <v>55</v>
      </c>
      <c r="L1454" s="35" t="str">
        <f>IFERROR(_xlfn.XLOOKUP(Table6[[#This Row],[Error Code]],'Basic Data'!$AA:$AA,'Basic Data'!$AB:$AB),"Incorrect Error Code")</f>
        <v>WTG shut down</v>
      </c>
      <c r="M1454" s="35" t="s">
        <v>291</v>
      </c>
      <c r="N1454" s="264"/>
      <c r="O1454" s="265">
        <v>0.57638888888888884</v>
      </c>
      <c r="P1454" s="265">
        <v>0.57638888888888884</v>
      </c>
      <c r="Q1454" s="266">
        <v>0.99998842592592596</v>
      </c>
      <c r="R1454" s="261">
        <f>IF(Table6[[#This Row],[Work Start TimeStamp]]="","",(Table6[[#This Row],[Work Start TimeStamp]]-Table6[[#This Row],[Fault Start TimeStamp]])*24)</f>
        <v>0</v>
      </c>
      <c r="S1454" s="261">
        <f>(Table6[[#This Row],[Fault Clearance time]]-Table6[[#This Row],[Work Start TimeStamp]])*24</f>
        <v>10.166388888888891</v>
      </c>
      <c r="T1454" s="261">
        <f>(Table6[[#This Row],[Fault Clearance time]]-Table6[[#This Row],[Fault Start TimeStamp]])*24</f>
        <v>10.166388888888891</v>
      </c>
      <c r="U1454" s="35" t="s">
        <v>576</v>
      </c>
      <c r="V1454" s="102" t="s">
        <v>549</v>
      </c>
      <c r="W1454" s="290">
        <f>IFERROR(Table6[[#This Row],[Breakdown Time]]*Table6[[#This Row],[Plant Equivalent Weightage]],"")</f>
        <v>0.39101495726495722</v>
      </c>
      <c r="X1454" s="262" t="s">
        <v>296</v>
      </c>
      <c r="Y1454" s="263" t="s">
        <v>128</v>
      </c>
      <c r="Z1454" s="102">
        <v>32433</v>
      </c>
      <c r="AA1454" s="257">
        <f>(Table6[[#This Row],[Paired WTG Generation for loss calculation]]/24)*Table6[[#This Row],[Breakdown Time]]</f>
        <v>13738.603784722225</v>
      </c>
      <c r="AB1454" s="102"/>
      <c r="AC1454" s="35"/>
      <c r="AD1454" s="35"/>
    </row>
    <row r="1455" spans="1:30">
      <c r="A1455" s="102">
        <f t="shared" si="23"/>
        <v>1454</v>
      </c>
      <c r="B1455" s="257">
        <f>YEAR(Table6[[#This Row],[Date]])+IF(MONTH(Table6[[#This Row],[Date]])&gt;=4,1,0)</f>
        <v>2026</v>
      </c>
      <c r="C1455" s="102">
        <f>YEAR(Table6[[#This Row],[Date]])</f>
        <v>2025</v>
      </c>
      <c r="D1455" s="102" t="s">
        <v>265</v>
      </c>
      <c r="E1455" s="258">
        <f>Table6[[#This Row],[Date]]-DAY(Table6[[#This Row],[Date]])+1</f>
        <v>45839</v>
      </c>
      <c r="F1455" s="259">
        <v>45841</v>
      </c>
      <c r="G1455" s="35" t="s">
        <v>116</v>
      </c>
      <c r="H1455" s="35" t="str">
        <f>IFERROR(_xlfn.XLOOKUP(Table6[[#This Row],[Affected WTG]],'Basic Data'!$A:$A,'Basic Data'!$B:$B),"")</f>
        <v>TQGXIIPL</v>
      </c>
      <c r="I1455" s="35" t="str">
        <f>IFERROR(_xlfn.XLOOKUP(Table6[[#This Row],[Affected WTG]],'Basic Data'!$A:$A,'Basic Data'!$C:$C),"")</f>
        <v>GEDA</v>
      </c>
      <c r="J1455" s="260">
        <f>IFERROR(_xlfn.XLOOKUP(Table6[[#This Row],[Affected WTG]],'Basic Data'!$A:$A,'Basic Data'!$E:$E),"")</f>
        <v>3.846153846153845E-2</v>
      </c>
      <c r="K1455" s="102">
        <v>3211</v>
      </c>
      <c r="L1455" s="35" t="str">
        <f>IFERROR(_xlfn.XLOOKUP(Table6[[#This Row],[Error Code]],'Basic Data'!$AA:$AA,'Basic Data'!$AB:$AB),"Incorrect Error Code")</f>
        <v>Conv. load shedding (CAN)</v>
      </c>
      <c r="M1455" s="35" t="s">
        <v>266</v>
      </c>
      <c r="N1455" s="264"/>
      <c r="O1455" s="265">
        <v>0.75486111111111109</v>
      </c>
      <c r="P1455" s="265">
        <v>0.75486111111111109</v>
      </c>
      <c r="Q1455" s="266">
        <v>0.75972222222222219</v>
      </c>
      <c r="R1455" s="261">
        <f>IF(Table6[[#This Row],[Work Start TimeStamp]]="","",(Table6[[#This Row],[Work Start TimeStamp]]-Table6[[#This Row],[Fault Start TimeStamp]])*24)</f>
        <v>0</v>
      </c>
      <c r="S1455" s="261">
        <f>(Table6[[#This Row],[Fault Clearance time]]-Table6[[#This Row],[Work Start TimeStamp]])*24</f>
        <v>0.11666666666666625</v>
      </c>
      <c r="T1455" s="261">
        <f>(Table6[[#This Row],[Fault Clearance time]]-Table6[[#This Row],[Fault Start TimeStamp]])*24</f>
        <v>0.11666666666666625</v>
      </c>
      <c r="U1455" s="35" t="s">
        <v>575</v>
      </c>
      <c r="V1455" s="102" t="s">
        <v>268</v>
      </c>
      <c r="W1455" s="290">
        <f>IFERROR(Table6[[#This Row],[Breakdown Time]]*Table6[[#This Row],[Plant Equivalent Weightage]],"")</f>
        <v>4.4871794871794695E-3</v>
      </c>
      <c r="X1455" s="262" t="s">
        <v>296</v>
      </c>
      <c r="Y1455" s="263" t="s">
        <v>119</v>
      </c>
      <c r="Z1455" s="102">
        <v>31756</v>
      </c>
      <c r="AA1455" s="257">
        <f>(Table6[[#This Row],[Paired WTG Generation for loss calculation]]/24)*Table6[[#This Row],[Breakdown Time]]</f>
        <v>154.3694444444439</v>
      </c>
      <c r="AB1455" s="102"/>
      <c r="AC1455" s="35"/>
      <c r="AD1455" s="35"/>
    </row>
    <row r="1456" spans="1:30">
      <c r="A1456" s="102">
        <f t="shared" si="23"/>
        <v>1455</v>
      </c>
      <c r="B1456" s="257">
        <f>YEAR(Table6[[#This Row],[Date]])+IF(MONTH(Table6[[#This Row],[Date]])&gt;=4,1,0)</f>
        <v>2026</v>
      </c>
      <c r="C1456" s="102">
        <f>YEAR(Table6[[#This Row],[Date]])</f>
        <v>2025</v>
      </c>
      <c r="D1456" s="102" t="s">
        <v>265</v>
      </c>
      <c r="E1456" s="258">
        <f>Table6[[#This Row],[Date]]-DAY(Table6[[#This Row],[Date]])+1</f>
        <v>45839</v>
      </c>
      <c r="F1456" s="259">
        <v>45841</v>
      </c>
      <c r="G1456" s="35" t="s">
        <v>119</v>
      </c>
      <c r="H1456" s="35" t="str">
        <f>IFERROR(_xlfn.XLOOKUP(Table6[[#This Row],[Affected WTG]],'Basic Data'!$A:$A,'Basic Data'!$B:$B),"")</f>
        <v>TQGXIIPL</v>
      </c>
      <c r="I1456" s="35" t="str">
        <f>IFERROR(_xlfn.XLOOKUP(Table6[[#This Row],[Affected WTG]],'Basic Data'!$A:$A,'Basic Data'!$C:$C),"")</f>
        <v>GEDA</v>
      </c>
      <c r="J1456" s="260">
        <f>IFERROR(_xlfn.XLOOKUP(Table6[[#This Row],[Affected WTG]],'Basic Data'!$A:$A,'Basic Data'!$E:$E),"")</f>
        <v>3.846153846153845E-2</v>
      </c>
      <c r="K1456" s="102">
        <v>3211</v>
      </c>
      <c r="L1456" s="35" t="str">
        <f>IFERROR(_xlfn.XLOOKUP(Table6[[#This Row],[Error Code]],'Basic Data'!$AA:$AA,'Basic Data'!$AB:$AB),"Incorrect Error Code")</f>
        <v>Conv. load shedding (CAN)</v>
      </c>
      <c r="M1456" s="35" t="s">
        <v>278</v>
      </c>
      <c r="N1456" s="264"/>
      <c r="O1456" s="265">
        <v>0.73958333333333337</v>
      </c>
      <c r="P1456" s="265">
        <v>0.73958333333333337</v>
      </c>
      <c r="Q1456" s="266">
        <v>0.74097222222222225</v>
      </c>
      <c r="R1456" s="261">
        <f>IF(Table6[[#This Row],[Work Start TimeStamp]]="","",(Table6[[#This Row],[Work Start TimeStamp]]-Table6[[#This Row],[Fault Start TimeStamp]])*24)</f>
        <v>0</v>
      </c>
      <c r="S1456" s="261">
        <f>(Table6[[#This Row],[Fault Clearance time]]-Table6[[#This Row],[Work Start TimeStamp]])*24</f>
        <v>3.3333333333333215E-2</v>
      </c>
      <c r="T1456" s="261">
        <f>(Table6[[#This Row],[Fault Clearance time]]-Table6[[#This Row],[Fault Start TimeStamp]])*24</f>
        <v>3.3333333333333215E-2</v>
      </c>
      <c r="U1456" s="35" t="s">
        <v>277</v>
      </c>
      <c r="V1456" s="102" t="s">
        <v>268</v>
      </c>
      <c r="W1456" s="290">
        <f>IFERROR(Table6[[#This Row],[Breakdown Time]]*Table6[[#This Row],[Plant Equivalent Weightage]],"")</f>
        <v>1.2820512820512771E-3</v>
      </c>
      <c r="X1456" s="262" t="s">
        <v>296</v>
      </c>
      <c r="Y1456" s="263" t="s">
        <v>116</v>
      </c>
      <c r="Z1456" s="102">
        <v>31434</v>
      </c>
      <c r="AA1456" s="257">
        <f>(Table6[[#This Row],[Paired WTG Generation for loss calculation]]/24)*Table6[[#This Row],[Breakdown Time]]</f>
        <v>43.658333333333175</v>
      </c>
      <c r="AB1456" s="102"/>
      <c r="AC1456" s="35"/>
      <c r="AD1456" s="35"/>
    </row>
    <row r="1457" spans="1:30">
      <c r="A1457" s="102">
        <f t="shared" si="23"/>
        <v>1456</v>
      </c>
      <c r="B1457" s="257">
        <f>YEAR(Table6[[#This Row],[Date]])+IF(MONTH(Table6[[#This Row],[Date]])&gt;=4,1,0)</f>
        <v>2026</v>
      </c>
      <c r="C1457" s="102">
        <f>YEAR(Table6[[#This Row],[Date]])</f>
        <v>2025</v>
      </c>
      <c r="D1457" s="102" t="s">
        <v>265</v>
      </c>
      <c r="E1457" s="258">
        <f>Table6[[#This Row],[Date]]-DAY(Table6[[#This Row],[Date]])+1</f>
        <v>45839</v>
      </c>
      <c r="F1457" s="259">
        <v>45841</v>
      </c>
      <c r="G1457" s="35" t="s">
        <v>126</v>
      </c>
      <c r="H1457" s="35" t="str">
        <f>IFERROR(_xlfn.XLOOKUP(Table6[[#This Row],[Affected WTG]],'Basic Data'!$A:$A,'Basic Data'!$B:$B),"")</f>
        <v>TQGXIIPL</v>
      </c>
      <c r="I1457" s="35" t="str">
        <f>IFERROR(_xlfn.XLOOKUP(Table6[[#This Row],[Affected WTG]],'Basic Data'!$A:$A,'Basic Data'!$C:$C),"")</f>
        <v>GEDA</v>
      </c>
      <c r="J1457" s="260">
        <f>IFERROR(_xlfn.XLOOKUP(Table6[[#This Row],[Affected WTG]],'Basic Data'!$A:$A,'Basic Data'!$E:$E),"")</f>
        <v>3.846153846153845E-2</v>
      </c>
      <c r="K1457" s="102">
        <v>55</v>
      </c>
      <c r="L1457" s="35" t="str">
        <f>IFERROR(_xlfn.XLOOKUP(Table6[[#This Row],[Error Code]],'Basic Data'!$AA:$AA,'Basic Data'!$AB:$AB),"Incorrect Error Code")</f>
        <v>WTG shut down</v>
      </c>
      <c r="M1457" s="35" t="s">
        <v>291</v>
      </c>
      <c r="N1457" s="264"/>
      <c r="O1457" s="265">
        <v>0</v>
      </c>
      <c r="P1457" s="265">
        <v>0</v>
      </c>
      <c r="Q1457" s="266">
        <v>0.54166666666666663</v>
      </c>
      <c r="R1457" s="261">
        <f>IF(Table6[[#This Row],[Work Start TimeStamp]]="","",(Table6[[#This Row],[Work Start TimeStamp]]-Table6[[#This Row],[Fault Start TimeStamp]])*24)</f>
        <v>0</v>
      </c>
      <c r="S1457" s="261">
        <f>(Table6[[#This Row],[Fault Clearance time]]-Table6[[#This Row],[Work Start TimeStamp]])*24</f>
        <v>13</v>
      </c>
      <c r="T1457" s="261">
        <f>(Table6[[#This Row],[Fault Clearance time]]-Table6[[#This Row],[Fault Start TimeStamp]])*24</f>
        <v>13</v>
      </c>
      <c r="U1457" s="35" t="s">
        <v>576</v>
      </c>
      <c r="V1457" s="102" t="s">
        <v>549</v>
      </c>
      <c r="W1457" s="290">
        <f>IFERROR(Table6[[#This Row],[Breakdown Time]]*Table6[[#This Row],[Plant Equivalent Weightage]],"")</f>
        <v>0.49999999999999983</v>
      </c>
      <c r="X1457" s="262" t="s">
        <v>531</v>
      </c>
      <c r="Y1457" s="263" t="s">
        <v>128</v>
      </c>
      <c r="Z1457" s="102">
        <v>31450</v>
      </c>
      <c r="AA1457" s="257">
        <f>(Table6[[#This Row],[Paired WTG Generation for loss calculation]]/24)*Table6[[#This Row],[Breakdown Time]]</f>
        <v>17035.416666666668</v>
      </c>
      <c r="AB1457" s="102"/>
      <c r="AC1457" s="35"/>
      <c r="AD1457" s="35"/>
    </row>
    <row r="1458" spans="1:30">
      <c r="A1458" s="102">
        <f t="shared" si="23"/>
        <v>1457</v>
      </c>
      <c r="B1458" s="257">
        <f>YEAR(Table6[[#This Row],[Date]])+IF(MONTH(Table6[[#This Row],[Date]])&gt;=4,1,0)</f>
        <v>2026</v>
      </c>
      <c r="C1458" s="102">
        <f>YEAR(Table6[[#This Row],[Date]])</f>
        <v>2025</v>
      </c>
      <c r="D1458" s="102" t="s">
        <v>265</v>
      </c>
      <c r="E1458" s="258">
        <f>Table6[[#This Row],[Date]]-DAY(Table6[[#This Row],[Date]])+1</f>
        <v>45839</v>
      </c>
      <c r="F1458" s="259">
        <v>45841</v>
      </c>
      <c r="G1458" s="35" t="s">
        <v>126</v>
      </c>
      <c r="H1458" s="35" t="str">
        <f>IFERROR(_xlfn.XLOOKUP(Table6[[#This Row],[Affected WTG]],'Basic Data'!$A:$A,'Basic Data'!$B:$B),"")</f>
        <v>TQGXIIPL</v>
      </c>
      <c r="I1458" s="35" t="str">
        <f>IFERROR(_xlfn.XLOOKUP(Table6[[#This Row],[Affected WTG]],'Basic Data'!$A:$A,'Basic Data'!$C:$C),"")</f>
        <v>GEDA</v>
      </c>
      <c r="J1458" s="260">
        <f>IFERROR(_xlfn.XLOOKUP(Table6[[#This Row],[Affected WTG]],'Basic Data'!$A:$A,'Basic Data'!$E:$E),"")</f>
        <v>3.846153846153845E-2</v>
      </c>
      <c r="K1458" s="102">
        <v>55</v>
      </c>
      <c r="L1458" s="35" t="str">
        <f>IFERROR(_xlfn.XLOOKUP(Table6[[#This Row],[Error Code]],'Basic Data'!$AA:$AA,'Basic Data'!$AB:$AB),"Incorrect Error Code")</f>
        <v>WTG shut down</v>
      </c>
      <c r="M1458" s="35" t="s">
        <v>291</v>
      </c>
      <c r="N1458" s="264"/>
      <c r="O1458" s="265">
        <v>0.54166666666666663</v>
      </c>
      <c r="P1458" s="265">
        <v>0.54166666666666663</v>
      </c>
      <c r="Q1458" s="266">
        <v>0.99998842592592596</v>
      </c>
      <c r="R1458" s="261">
        <f>IF(Table6[[#This Row],[Work Start TimeStamp]]="","",(Table6[[#This Row],[Work Start TimeStamp]]-Table6[[#This Row],[Fault Start TimeStamp]])*24)</f>
        <v>0</v>
      </c>
      <c r="S1458" s="261">
        <f>(Table6[[#This Row],[Fault Clearance time]]-Table6[[#This Row],[Work Start TimeStamp]])*24</f>
        <v>10.999722222222225</v>
      </c>
      <c r="T1458" s="261">
        <f>(Table6[[#This Row],[Fault Clearance time]]-Table6[[#This Row],[Fault Start TimeStamp]])*24</f>
        <v>10.999722222222225</v>
      </c>
      <c r="U1458" s="35" t="s">
        <v>576</v>
      </c>
      <c r="V1458" s="102" t="s">
        <v>549</v>
      </c>
      <c r="W1458" s="290">
        <f>IFERROR(Table6[[#This Row],[Breakdown Time]]*Table6[[#This Row],[Plant Equivalent Weightage]],"")</f>
        <v>0.42306623931623927</v>
      </c>
      <c r="X1458" s="262" t="s">
        <v>269</v>
      </c>
      <c r="Y1458" s="263" t="s">
        <v>128</v>
      </c>
      <c r="Z1458" s="102">
        <v>31450</v>
      </c>
      <c r="AA1458" s="257">
        <f>(Table6[[#This Row],[Paired WTG Generation for loss calculation]]/24)*Table6[[#This Row],[Breakdown Time]]</f>
        <v>14414.219328703708</v>
      </c>
      <c r="AB1458" s="102"/>
      <c r="AC1458" s="35"/>
      <c r="AD1458" s="35"/>
    </row>
    <row r="1459" spans="1:30">
      <c r="A1459" s="102">
        <f t="shared" si="23"/>
        <v>1458</v>
      </c>
      <c r="B1459" s="257">
        <f>YEAR(Table6[[#This Row],[Date]])+IF(MONTH(Table6[[#This Row],[Date]])&gt;=4,1,0)</f>
        <v>2026</v>
      </c>
      <c r="C1459" s="102">
        <f>YEAR(Table6[[#This Row],[Date]])</f>
        <v>2025</v>
      </c>
      <c r="D1459" s="102" t="s">
        <v>265</v>
      </c>
      <c r="E1459" s="258">
        <f>Table6[[#This Row],[Date]]-DAY(Table6[[#This Row],[Date]])+1</f>
        <v>45839</v>
      </c>
      <c r="F1459" s="259">
        <v>45842</v>
      </c>
      <c r="G1459" s="35" t="s">
        <v>126</v>
      </c>
      <c r="H1459" s="35" t="str">
        <f>IFERROR(_xlfn.XLOOKUP(Table6[[#This Row],[Affected WTG]],'Basic Data'!$A:$A,'Basic Data'!$B:$B),"")</f>
        <v>TQGXIIPL</v>
      </c>
      <c r="I1459" s="35" t="str">
        <f>IFERROR(_xlfn.XLOOKUP(Table6[[#This Row],[Affected WTG]],'Basic Data'!$A:$A,'Basic Data'!$C:$C),"")</f>
        <v>GEDA</v>
      </c>
      <c r="J1459" s="260">
        <f>IFERROR(_xlfn.XLOOKUP(Table6[[#This Row],[Affected WTG]],'Basic Data'!$A:$A,'Basic Data'!$E:$E),"")</f>
        <v>3.846153846153845E-2</v>
      </c>
      <c r="K1459" s="102">
        <v>55</v>
      </c>
      <c r="L1459" s="35" t="str">
        <f>IFERROR(_xlfn.XLOOKUP(Table6[[#This Row],[Error Code]],'Basic Data'!$AA:$AA,'Basic Data'!$AB:$AB),"Incorrect Error Code")</f>
        <v>WTG shut down</v>
      </c>
      <c r="M1459" s="35" t="s">
        <v>291</v>
      </c>
      <c r="N1459" s="264"/>
      <c r="O1459" s="265">
        <v>0</v>
      </c>
      <c r="P1459" s="265">
        <v>0</v>
      </c>
      <c r="Q1459" s="266">
        <v>0.15972222222222221</v>
      </c>
      <c r="R1459" s="261">
        <f>IF(Table6[[#This Row],[Work Start TimeStamp]]="","",(Table6[[#This Row],[Work Start TimeStamp]]-Table6[[#This Row],[Fault Start TimeStamp]])*24)</f>
        <v>0</v>
      </c>
      <c r="S1459" s="261">
        <f>(Table6[[#This Row],[Fault Clearance time]]-Table6[[#This Row],[Work Start TimeStamp]])*24</f>
        <v>3.833333333333333</v>
      </c>
      <c r="T1459" s="261">
        <f>(Table6[[#This Row],[Fault Clearance time]]-Table6[[#This Row],[Fault Start TimeStamp]])*24</f>
        <v>3.833333333333333</v>
      </c>
      <c r="U1459" s="35" t="s">
        <v>577</v>
      </c>
      <c r="V1459" s="102" t="s">
        <v>549</v>
      </c>
      <c r="W1459" s="290">
        <f>IFERROR(Table6[[#This Row],[Breakdown Time]]*Table6[[#This Row],[Plant Equivalent Weightage]],"")</f>
        <v>0.14743589743589738</v>
      </c>
      <c r="X1459" s="262" t="s">
        <v>531</v>
      </c>
      <c r="Y1459" s="263" t="s">
        <v>128</v>
      </c>
      <c r="Z1459" s="102">
        <v>16553</v>
      </c>
      <c r="AA1459" s="257">
        <f>(Table6[[#This Row],[Paired WTG Generation for loss calculation]]/24)*Table6[[#This Row],[Breakdown Time]]</f>
        <v>2643.8819444444443</v>
      </c>
      <c r="AB1459" s="102"/>
      <c r="AC1459" s="35"/>
      <c r="AD1459" s="35"/>
    </row>
    <row r="1460" spans="1:30">
      <c r="A1460" s="102">
        <f t="shared" si="23"/>
        <v>1459</v>
      </c>
      <c r="B1460" s="257">
        <f>YEAR(Table6[[#This Row],[Date]])+IF(MONTH(Table6[[#This Row],[Date]])&gt;=4,1,0)</f>
        <v>2026</v>
      </c>
      <c r="C1460" s="102">
        <f>YEAR(Table6[[#This Row],[Date]])</f>
        <v>2025</v>
      </c>
      <c r="D1460" s="102" t="s">
        <v>265</v>
      </c>
      <c r="E1460" s="258">
        <f>Table6[[#This Row],[Date]]-DAY(Table6[[#This Row],[Date]])+1</f>
        <v>45839</v>
      </c>
      <c r="F1460" s="259">
        <v>45842</v>
      </c>
      <c r="G1460" s="35" t="s">
        <v>126</v>
      </c>
      <c r="H1460" s="35" t="str">
        <f>IFERROR(_xlfn.XLOOKUP(Table6[[#This Row],[Affected WTG]],'Basic Data'!$A:$A,'Basic Data'!$B:$B),"")</f>
        <v>TQGXIIPL</v>
      </c>
      <c r="I1460" s="35" t="str">
        <f>IFERROR(_xlfn.XLOOKUP(Table6[[#This Row],[Affected WTG]],'Basic Data'!$A:$A,'Basic Data'!$C:$C),"")</f>
        <v>GEDA</v>
      </c>
      <c r="J1460" s="260">
        <f>IFERROR(_xlfn.XLOOKUP(Table6[[#This Row],[Affected WTG]],'Basic Data'!$A:$A,'Basic Data'!$E:$E),"")</f>
        <v>3.846153846153845E-2</v>
      </c>
      <c r="K1460" s="102">
        <v>55</v>
      </c>
      <c r="L1460" s="35" t="str">
        <f>IFERROR(_xlfn.XLOOKUP(Table6[[#This Row],[Error Code]],'Basic Data'!$AA:$AA,'Basic Data'!$AB:$AB),"Incorrect Error Code")</f>
        <v>WTG shut down</v>
      </c>
      <c r="M1460" s="35" t="s">
        <v>291</v>
      </c>
      <c r="N1460" s="264"/>
      <c r="O1460" s="265">
        <v>0.15972222222222221</v>
      </c>
      <c r="P1460" s="265">
        <v>0.15972222222222221</v>
      </c>
      <c r="Q1460" s="266">
        <v>0.99998842592592596</v>
      </c>
      <c r="R1460" s="261">
        <f>IF(Table6[[#This Row],[Work Start TimeStamp]]="","",(Table6[[#This Row],[Work Start TimeStamp]]-Table6[[#This Row],[Fault Start TimeStamp]])*24)</f>
        <v>0</v>
      </c>
      <c r="S1460" s="261">
        <f>(Table6[[#This Row],[Fault Clearance time]]-Table6[[#This Row],[Work Start TimeStamp]])*24</f>
        <v>20.166388888888889</v>
      </c>
      <c r="T1460" s="261">
        <f>(Table6[[#This Row],[Fault Clearance time]]-Table6[[#This Row],[Fault Start TimeStamp]])*24</f>
        <v>20.166388888888889</v>
      </c>
      <c r="U1460" s="35" t="s">
        <v>577</v>
      </c>
      <c r="V1460" s="102" t="s">
        <v>549</v>
      </c>
      <c r="W1460" s="290">
        <f>IFERROR(Table6[[#This Row],[Breakdown Time]]*Table6[[#This Row],[Plant Equivalent Weightage]],"")</f>
        <v>0.77563034188034163</v>
      </c>
      <c r="X1460" s="262" t="s">
        <v>269</v>
      </c>
      <c r="Y1460" s="263" t="s">
        <v>128</v>
      </c>
      <c r="Z1460" s="102">
        <v>16553</v>
      </c>
      <c r="AA1460" s="257">
        <f>(Table6[[#This Row],[Paired WTG Generation for loss calculation]]/24)*Table6[[#This Row],[Breakdown Time]]</f>
        <v>13908.926469907408</v>
      </c>
      <c r="AB1460" s="102"/>
      <c r="AC1460" s="35"/>
      <c r="AD1460" s="35"/>
    </row>
    <row r="1461" spans="1:30">
      <c r="A1461" s="102">
        <f t="shared" si="23"/>
        <v>1460</v>
      </c>
      <c r="B1461" s="257">
        <f>YEAR(Table6[[#This Row],[Date]])+IF(MONTH(Table6[[#This Row],[Date]])&gt;=4,1,0)</f>
        <v>2026</v>
      </c>
      <c r="C1461" s="102">
        <f>YEAR(Table6[[#This Row],[Date]])</f>
        <v>2025</v>
      </c>
      <c r="D1461" s="102" t="s">
        <v>265</v>
      </c>
      <c r="E1461" s="258">
        <f>Table6[[#This Row],[Date]]-DAY(Table6[[#This Row],[Date]])+1</f>
        <v>45839</v>
      </c>
      <c r="F1461" s="259">
        <v>45842</v>
      </c>
      <c r="G1461" s="35" t="s">
        <v>134</v>
      </c>
      <c r="H1461" s="35" t="str">
        <f>IFERROR(_xlfn.XLOOKUP(Table6[[#This Row],[Affected WTG]],'Basic Data'!$A:$A,'Basic Data'!$B:$B),"")</f>
        <v>TQGXIIPL</v>
      </c>
      <c r="I1461" s="35" t="str">
        <f>IFERROR(_xlfn.XLOOKUP(Table6[[#This Row],[Affected WTG]],'Basic Data'!$A:$A,'Basic Data'!$C:$C),"")</f>
        <v>GEDA</v>
      </c>
      <c r="J1461" s="260">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291</v>
      </c>
      <c r="N1461" s="264"/>
      <c r="O1461" s="265">
        <v>0.44444444444444442</v>
      </c>
      <c r="P1461" s="265">
        <v>0.46875</v>
      </c>
      <c r="Q1461" s="266">
        <v>1</v>
      </c>
      <c r="R1461" s="261">
        <f>IF(Table6[[#This Row],[Work Start TimeStamp]]="","",(Table6[[#This Row],[Work Start TimeStamp]]-Table6[[#This Row],[Fault Start TimeStamp]])*24)</f>
        <v>0.58333333333333393</v>
      </c>
      <c r="S1461" s="261">
        <f>(Table6[[#This Row],[Fault Clearance time]]-Table6[[#This Row],[Work Start TimeStamp]])*24</f>
        <v>12.75</v>
      </c>
      <c r="T1461" s="261">
        <f>(Table6[[#This Row],[Fault Clearance time]]-Table6[[#This Row],[Fault Start TimeStamp]])*24</f>
        <v>13.333333333333334</v>
      </c>
      <c r="U1461" s="35" t="s">
        <v>578</v>
      </c>
      <c r="V1461" s="102" t="s">
        <v>549</v>
      </c>
      <c r="W1461" s="290">
        <f>IFERROR(Table6[[#This Row],[Breakdown Time]]*Table6[[#This Row],[Plant Equivalent Weightage]],"")</f>
        <v>0.51282051282051266</v>
      </c>
      <c r="X1461" s="262" t="s">
        <v>296</v>
      </c>
      <c r="Y1461" s="263" t="s">
        <v>138</v>
      </c>
      <c r="Z1461" s="102">
        <v>18545</v>
      </c>
      <c r="AA1461" s="257">
        <f>(Table6[[#This Row],[Paired WTG Generation for loss calculation]]/24)*Table6[[#This Row],[Breakdown Time]]</f>
        <v>10302.777777777779</v>
      </c>
      <c r="AB1461" s="102"/>
      <c r="AC1461" s="35"/>
      <c r="AD1461" s="35"/>
    </row>
    <row r="1462" spans="1:30">
      <c r="A1462" s="102">
        <f t="shared" si="23"/>
        <v>1461</v>
      </c>
      <c r="B1462" s="257">
        <f>YEAR(Table6[[#This Row],[Date]])+IF(MONTH(Table6[[#This Row],[Date]])&gt;=4,1,0)</f>
        <v>2026</v>
      </c>
      <c r="C1462" s="102">
        <f>YEAR(Table6[[#This Row],[Date]])</f>
        <v>2025</v>
      </c>
      <c r="D1462" s="102" t="s">
        <v>265</v>
      </c>
      <c r="E1462" s="258">
        <f>Table6[[#This Row],[Date]]-DAY(Table6[[#This Row],[Date]])+1</f>
        <v>45839</v>
      </c>
      <c r="F1462" s="259">
        <v>45843</v>
      </c>
      <c r="G1462" s="35" t="s">
        <v>117</v>
      </c>
      <c r="H1462" s="35" t="str">
        <f>IFERROR(_xlfn.XLOOKUP(Table6[[#This Row],[Affected WTG]],'Basic Data'!$A:$A,'Basic Data'!$B:$B),"")</f>
        <v>TQGXIIPL</v>
      </c>
      <c r="I1462" s="35" t="str">
        <f>IFERROR(_xlfn.XLOOKUP(Table6[[#This Row],[Affected WTG]],'Basic Data'!$A:$A,'Basic Data'!$C:$C),"")</f>
        <v>GEDA</v>
      </c>
      <c r="J1462" s="260">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266</v>
      </c>
      <c r="N1462" s="264"/>
      <c r="O1462" s="265">
        <v>0.72777777777777775</v>
      </c>
      <c r="P1462" s="265">
        <v>0.72777777777777775</v>
      </c>
      <c r="Q1462" s="266">
        <v>0.75208333333333333</v>
      </c>
      <c r="R1462" s="261">
        <f>IF(Table6[[#This Row],[Work Start TimeStamp]]="","",(Table6[[#This Row],[Work Start TimeStamp]]-Table6[[#This Row],[Fault Start TimeStamp]])*24)</f>
        <v>0</v>
      </c>
      <c r="S1462" s="261">
        <f>(Table6[[#This Row],[Fault Clearance time]]-Table6[[#This Row],[Work Start TimeStamp]])*24</f>
        <v>0.58333333333333393</v>
      </c>
      <c r="T1462" s="261">
        <f>(Table6[[#This Row],[Fault Clearance time]]-Table6[[#This Row],[Fault Start TimeStamp]])*24</f>
        <v>0.58333333333333393</v>
      </c>
      <c r="U1462" s="35" t="s">
        <v>579</v>
      </c>
      <c r="V1462" s="102" t="s">
        <v>549</v>
      </c>
      <c r="W1462" s="290">
        <f>IFERROR(Table6[[#This Row],[Breakdown Time]]*Table6[[#This Row],[Plant Equivalent Weightage]],"")</f>
        <v>2.2435897435897453E-2</v>
      </c>
      <c r="X1462" s="262" t="s">
        <v>296</v>
      </c>
      <c r="Y1462" s="263" t="s">
        <v>123</v>
      </c>
      <c r="Z1462" s="102">
        <v>22640</v>
      </c>
      <c r="AA1462" s="257">
        <f>(Table6[[#This Row],[Paired WTG Generation for loss calculation]]/24)*Table6[[#This Row],[Breakdown Time]]</f>
        <v>550.2777777777784</v>
      </c>
      <c r="AB1462" s="102"/>
      <c r="AC1462" s="35"/>
      <c r="AD1462" s="35"/>
    </row>
    <row r="1463" spans="1:30">
      <c r="A1463" s="102">
        <f t="shared" si="23"/>
        <v>1462</v>
      </c>
      <c r="B1463" s="257">
        <f>YEAR(Table6[[#This Row],[Date]])+IF(MONTH(Table6[[#This Row],[Date]])&gt;=4,1,0)</f>
        <v>2026</v>
      </c>
      <c r="C1463" s="102">
        <f>YEAR(Table6[[#This Row],[Date]])</f>
        <v>2025</v>
      </c>
      <c r="D1463" s="102" t="s">
        <v>265</v>
      </c>
      <c r="E1463" s="258">
        <f>Table6[[#This Row],[Date]]-DAY(Table6[[#This Row],[Date]])+1</f>
        <v>45839</v>
      </c>
      <c r="F1463" s="259">
        <v>45843</v>
      </c>
      <c r="G1463" s="35" t="s">
        <v>117</v>
      </c>
      <c r="H1463" s="35" t="str">
        <f>IFERROR(_xlfn.XLOOKUP(Table6[[#This Row],[Affected WTG]],'Basic Data'!$A:$A,'Basic Data'!$B:$B),"")</f>
        <v>TQGXIIPL</v>
      </c>
      <c r="I1463" s="35" t="str">
        <f>IFERROR(_xlfn.XLOOKUP(Table6[[#This Row],[Affected WTG]],'Basic Data'!$A:$A,'Basic Data'!$C:$C),"")</f>
        <v>GEDA</v>
      </c>
      <c r="J1463" s="260">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266</v>
      </c>
      <c r="N1463" s="264"/>
      <c r="O1463" s="265">
        <v>0.77083333333333337</v>
      </c>
      <c r="P1463" s="265">
        <v>0.84375</v>
      </c>
      <c r="Q1463" s="266">
        <v>0.99930555555555556</v>
      </c>
      <c r="R1463" s="261">
        <f>IF(Table6[[#This Row],[Work Start TimeStamp]]="","",(Table6[[#This Row],[Work Start TimeStamp]]-Table6[[#This Row],[Fault Start TimeStamp]])*24)</f>
        <v>1.7499999999999991</v>
      </c>
      <c r="S1463" s="261">
        <f>(Table6[[#This Row],[Fault Clearance time]]-Table6[[#This Row],[Work Start TimeStamp]])*24</f>
        <v>3.7333333333333334</v>
      </c>
      <c r="T1463" s="261">
        <f>(Table6[[#This Row],[Fault Clearance time]]-Table6[[#This Row],[Fault Start TimeStamp]])*24</f>
        <v>5.4833333333333325</v>
      </c>
      <c r="U1463" s="35" t="s">
        <v>580</v>
      </c>
      <c r="V1463" s="102" t="s">
        <v>268</v>
      </c>
      <c r="W1463" s="290">
        <f>IFERROR(Table6[[#This Row],[Breakdown Time]]*Table6[[#This Row],[Plant Equivalent Weightage]],"")</f>
        <v>0.21089743589743581</v>
      </c>
      <c r="X1463" s="262" t="s">
        <v>296</v>
      </c>
      <c r="Y1463" s="263" t="s">
        <v>123</v>
      </c>
      <c r="Z1463" s="102">
        <v>22640</v>
      </c>
      <c r="AA1463" s="257">
        <f>(Table6[[#This Row],[Paired WTG Generation for loss calculation]]/24)*Table6[[#This Row],[Breakdown Time]]</f>
        <v>5172.6111111111104</v>
      </c>
      <c r="AB1463" s="102"/>
      <c r="AC1463" s="35"/>
      <c r="AD1463" s="35"/>
    </row>
    <row r="1464" spans="1:30">
      <c r="A1464" s="102">
        <f t="shared" si="23"/>
        <v>1463</v>
      </c>
      <c r="B1464" s="257">
        <f>YEAR(Table6[[#This Row],[Date]])+IF(MONTH(Table6[[#This Row],[Date]])&gt;=4,1,0)</f>
        <v>2026</v>
      </c>
      <c r="C1464" s="102">
        <f>YEAR(Table6[[#This Row],[Date]])</f>
        <v>2025</v>
      </c>
      <c r="D1464" s="102" t="s">
        <v>265</v>
      </c>
      <c r="E1464" s="258">
        <f>Table6[[#This Row],[Date]]-DAY(Table6[[#This Row],[Date]])+1</f>
        <v>45839</v>
      </c>
      <c r="F1464" s="259">
        <v>45843</v>
      </c>
      <c r="G1464" s="35" t="s">
        <v>118</v>
      </c>
      <c r="H1464" s="35" t="str">
        <f>IFERROR(_xlfn.XLOOKUP(Table6[[#This Row],[Affected WTG]],'Basic Data'!$A:$A,'Basic Data'!$B:$B),"")</f>
        <v>TQGXIIPL</v>
      </c>
      <c r="I1464" s="35" t="str">
        <f>IFERROR(_xlfn.XLOOKUP(Table6[[#This Row],[Affected WTG]],'Basic Data'!$A:$A,'Basic Data'!$C:$C),"")</f>
        <v>GEDA</v>
      </c>
      <c r="J1464" s="260">
        <f>IFERROR(_xlfn.XLOOKUP(Table6[[#This Row],[Affected WTG]],'Basic Data'!$A:$A,'Basic Data'!$E:$E),"")</f>
        <v>3.846153846153845E-2</v>
      </c>
      <c r="K1464" s="102">
        <v>6130</v>
      </c>
      <c r="L1464" s="35" t="str">
        <f>IFERROR(_xlfn.XLOOKUP(Table6[[#This Row],[Error Code]],'Basic Data'!$AA:$AA,'Basic Data'!$AB:$AB),"Incorrect Error Code")</f>
        <v>Yaw speed high</v>
      </c>
      <c r="M1464" s="35" t="s">
        <v>266</v>
      </c>
      <c r="N1464" s="264"/>
      <c r="O1464" s="265">
        <v>0.5083333333333333</v>
      </c>
      <c r="P1464" s="265">
        <v>0.5083333333333333</v>
      </c>
      <c r="Q1464" s="266">
        <v>0.51041666666666663</v>
      </c>
      <c r="R1464" s="261">
        <f>IF(Table6[[#This Row],[Work Start TimeStamp]]="","",(Table6[[#This Row],[Work Start TimeStamp]]-Table6[[#This Row],[Fault Start TimeStamp]])*24)</f>
        <v>0</v>
      </c>
      <c r="S1464" s="261">
        <f>(Table6[[#This Row],[Fault Clearance time]]-Table6[[#This Row],[Work Start TimeStamp]])*24</f>
        <v>4.9999999999999822E-2</v>
      </c>
      <c r="T1464" s="261">
        <f>(Table6[[#This Row],[Fault Clearance time]]-Table6[[#This Row],[Fault Start TimeStamp]])*24</f>
        <v>4.9999999999999822E-2</v>
      </c>
      <c r="U1464" s="35" t="s">
        <v>483</v>
      </c>
      <c r="V1464" s="102" t="s">
        <v>268</v>
      </c>
      <c r="W1464" s="290">
        <f>IFERROR(Table6[[#This Row],[Breakdown Time]]*Table6[[#This Row],[Plant Equivalent Weightage]],"")</f>
        <v>1.9230769230769156E-3</v>
      </c>
      <c r="X1464" s="262" t="s">
        <v>296</v>
      </c>
      <c r="Y1464" s="263" t="s">
        <v>121</v>
      </c>
      <c r="Z1464" s="102">
        <v>23229</v>
      </c>
      <c r="AA1464" s="257">
        <f>(Table6[[#This Row],[Paired WTG Generation for loss calculation]]/24)*Table6[[#This Row],[Breakdown Time]]</f>
        <v>48.393749999999827</v>
      </c>
      <c r="AB1464" s="102"/>
      <c r="AC1464" s="35"/>
      <c r="AD1464" s="35"/>
    </row>
    <row r="1465" spans="1:30">
      <c r="A1465" s="102">
        <f t="shared" si="23"/>
        <v>1464</v>
      </c>
      <c r="B1465" s="257">
        <f>YEAR(Table6[[#This Row],[Date]])+IF(MONTH(Table6[[#This Row],[Date]])&gt;=4,1,0)</f>
        <v>2026</v>
      </c>
      <c r="C1465" s="102">
        <f>YEAR(Table6[[#This Row],[Date]])</f>
        <v>2025</v>
      </c>
      <c r="D1465" s="102" t="s">
        <v>265</v>
      </c>
      <c r="E1465" s="258">
        <f>Table6[[#This Row],[Date]]-DAY(Table6[[#This Row],[Date]])+1</f>
        <v>45839</v>
      </c>
      <c r="F1465" s="259">
        <v>45843</v>
      </c>
      <c r="G1465" s="35" t="s">
        <v>126</v>
      </c>
      <c r="H1465" s="35" t="str">
        <f>IFERROR(_xlfn.XLOOKUP(Table6[[#This Row],[Affected WTG]],'Basic Data'!$A:$A,'Basic Data'!$B:$B),"")</f>
        <v>TQGXIIPL</v>
      </c>
      <c r="I1465" s="35" t="str">
        <f>IFERROR(_xlfn.XLOOKUP(Table6[[#This Row],[Affected WTG]],'Basic Data'!$A:$A,'Basic Data'!$C:$C),"")</f>
        <v>GEDA</v>
      </c>
      <c r="J1465" s="260">
        <f>IFERROR(_xlfn.XLOOKUP(Table6[[#This Row],[Affected WTG]],'Basic Data'!$A:$A,'Basic Data'!$E:$E),"")</f>
        <v>3.846153846153845E-2</v>
      </c>
      <c r="K1465" s="102">
        <v>55</v>
      </c>
      <c r="L1465" s="35" t="str">
        <f>IFERROR(_xlfn.XLOOKUP(Table6[[#This Row],[Error Code]],'Basic Data'!$AA:$AA,'Basic Data'!$AB:$AB),"Incorrect Error Code")</f>
        <v>WTG shut down</v>
      </c>
      <c r="M1465" s="35" t="s">
        <v>291</v>
      </c>
      <c r="N1465" s="264"/>
      <c r="O1465" s="265">
        <v>0</v>
      </c>
      <c r="P1465" s="265">
        <v>0</v>
      </c>
      <c r="Q1465" s="266">
        <v>0.2638888888888889</v>
      </c>
      <c r="R1465" s="261">
        <f>IF(Table6[[#This Row],[Work Start TimeStamp]]="","",(Table6[[#This Row],[Work Start TimeStamp]]-Table6[[#This Row],[Fault Start TimeStamp]])*24)</f>
        <v>0</v>
      </c>
      <c r="S1465" s="261">
        <f>(Table6[[#This Row],[Fault Clearance time]]-Table6[[#This Row],[Work Start TimeStamp]])*24</f>
        <v>6.3333333333333339</v>
      </c>
      <c r="T1465" s="261">
        <f>(Table6[[#This Row],[Fault Clearance time]]-Table6[[#This Row],[Fault Start TimeStamp]])*24</f>
        <v>6.3333333333333339</v>
      </c>
      <c r="U1465" s="35" t="s">
        <v>581</v>
      </c>
      <c r="V1465" s="102" t="s">
        <v>549</v>
      </c>
      <c r="W1465" s="290">
        <f>IFERROR(Table6[[#This Row],[Breakdown Time]]*Table6[[#This Row],[Plant Equivalent Weightage]],"")</f>
        <v>0.24358974358974353</v>
      </c>
      <c r="X1465" s="262" t="s">
        <v>531</v>
      </c>
      <c r="Y1465" s="263" t="s">
        <v>128</v>
      </c>
      <c r="Z1465" s="102">
        <v>23730</v>
      </c>
      <c r="AA1465" s="257">
        <f>(Table6[[#This Row],[Paired WTG Generation for loss calculation]]/24)*Table6[[#This Row],[Breakdown Time]]</f>
        <v>6262.0833333333339</v>
      </c>
      <c r="AB1465" s="102"/>
      <c r="AC1465" s="35"/>
      <c r="AD1465" s="35"/>
    </row>
    <row r="1466" spans="1:30">
      <c r="A1466" s="102">
        <f t="shared" si="23"/>
        <v>1465</v>
      </c>
      <c r="B1466" s="257">
        <f>YEAR(Table6[[#This Row],[Date]])+IF(MONTH(Table6[[#This Row],[Date]])&gt;=4,1,0)</f>
        <v>2026</v>
      </c>
      <c r="C1466" s="102">
        <f>YEAR(Table6[[#This Row],[Date]])</f>
        <v>2025</v>
      </c>
      <c r="D1466" s="102" t="s">
        <v>265</v>
      </c>
      <c r="E1466" s="258">
        <f>Table6[[#This Row],[Date]]-DAY(Table6[[#This Row],[Date]])+1</f>
        <v>45839</v>
      </c>
      <c r="F1466" s="259">
        <v>45843</v>
      </c>
      <c r="G1466" s="35" t="s">
        <v>126</v>
      </c>
      <c r="H1466" s="35" t="str">
        <f>IFERROR(_xlfn.XLOOKUP(Table6[[#This Row],[Affected WTG]],'Basic Data'!$A:$A,'Basic Data'!$B:$B),"")</f>
        <v>TQGXIIPL</v>
      </c>
      <c r="I1466" s="35" t="str">
        <f>IFERROR(_xlfn.XLOOKUP(Table6[[#This Row],[Affected WTG]],'Basic Data'!$A:$A,'Basic Data'!$C:$C),"")</f>
        <v>GEDA</v>
      </c>
      <c r="J1466" s="260">
        <f>IFERROR(_xlfn.XLOOKUP(Table6[[#This Row],[Affected WTG]],'Basic Data'!$A:$A,'Basic Data'!$E:$E),"")</f>
        <v>3.846153846153845E-2</v>
      </c>
      <c r="K1466" s="102">
        <v>55</v>
      </c>
      <c r="L1466" s="35" t="str">
        <f>IFERROR(_xlfn.XLOOKUP(Table6[[#This Row],[Error Code]],'Basic Data'!$AA:$AA,'Basic Data'!$AB:$AB),"Incorrect Error Code")</f>
        <v>WTG shut down</v>
      </c>
      <c r="M1466" s="35" t="s">
        <v>291</v>
      </c>
      <c r="N1466" s="264"/>
      <c r="O1466" s="265">
        <v>0.2638888888888889</v>
      </c>
      <c r="P1466" s="265">
        <v>0.2638888888888889</v>
      </c>
      <c r="Q1466" s="266">
        <v>0.99998842592592596</v>
      </c>
      <c r="R1466" s="261">
        <f>IF(Table6[[#This Row],[Work Start TimeStamp]]="","",(Table6[[#This Row],[Work Start TimeStamp]]-Table6[[#This Row],[Fault Start TimeStamp]])*24)</f>
        <v>0</v>
      </c>
      <c r="S1466" s="261">
        <f>(Table6[[#This Row],[Fault Clearance time]]-Table6[[#This Row],[Work Start TimeStamp]])*24</f>
        <v>17.666388888888889</v>
      </c>
      <c r="T1466" s="261">
        <f>(Table6[[#This Row],[Fault Clearance time]]-Table6[[#This Row],[Fault Start TimeStamp]])*24</f>
        <v>17.666388888888889</v>
      </c>
      <c r="U1466" s="35" t="s">
        <v>581</v>
      </c>
      <c r="V1466" s="102" t="s">
        <v>549</v>
      </c>
      <c r="W1466" s="290">
        <f>IFERROR(Table6[[#This Row],[Breakdown Time]]*Table6[[#This Row],[Plant Equivalent Weightage]],"")</f>
        <v>0.67947649572649549</v>
      </c>
      <c r="X1466" s="262" t="s">
        <v>269</v>
      </c>
      <c r="Y1466" s="263" t="s">
        <v>128</v>
      </c>
      <c r="Z1466" s="102">
        <v>23730</v>
      </c>
      <c r="AA1466" s="257">
        <f>(Table6[[#This Row],[Paired WTG Generation for loss calculation]]/24)*Table6[[#This Row],[Breakdown Time]]</f>
        <v>17467.64201388889</v>
      </c>
      <c r="AB1466" s="102"/>
      <c r="AC1466" s="35"/>
      <c r="AD1466" s="35"/>
    </row>
    <row r="1467" spans="1:30">
      <c r="A1467" s="102">
        <f t="shared" si="23"/>
        <v>1466</v>
      </c>
      <c r="B1467" s="257">
        <f>YEAR(Table6[[#This Row],[Date]])+IF(MONTH(Table6[[#This Row],[Date]])&gt;=4,1,0)</f>
        <v>2026</v>
      </c>
      <c r="C1467" s="102">
        <f>YEAR(Table6[[#This Row],[Date]])</f>
        <v>2025</v>
      </c>
      <c r="D1467" s="102" t="s">
        <v>265</v>
      </c>
      <c r="E1467" s="258">
        <f>Table6[[#This Row],[Date]]-DAY(Table6[[#This Row],[Date]])+1</f>
        <v>45839</v>
      </c>
      <c r="F1467" s="259">
        <v>45843</v>
      </c>
      <c r="G1467" s="35" t="s">
        <v>127</v>
      </c>
      <c r="H1467" s="35" t="str">
        <f>IFERROR(_xlfn.XLOOKUP(Table6[[#This Row],[Affected WTG]],'Basic Data'!$A:$A,'Basic Data'!$B:$B),"")</f>
        <v>TQGXIIPL</v>
      </c>
      <c r="I1467" s="35" t="str">
        <f>IFERROR(_xlfn.XLOOKUP(Table6[[#This Row],[Affected WTG]],'Basic Data'!$A:$A,'Basic Data'!$C:$C),"")</f>
        <v>GEDA</v>
      </c>
      <c r="J1467" s="260">
        <f>IFERROR(_xlfn.XLOOKUP(Table6[[#This Row],[Affected WTG]],'Basic Data'!$A:$A,'Basic Data'!$E:$E),"")</f>
        <v>3.846153846153845E-2</v>
      </c>
      <c r="K1467" s="102">
        <v>6130</v>
      </c>
      <c r="L1467" s="35" t="str">
        <f>IFERROR(_xlfn.XLOOKUP(Table6[[#This Row],[Error Code]],'Basic Data'!$AA:$AA,'Basic Data'!$AB:$AB),"Incorrect Error Code")</f>
        <v>Yaw speed high</v>
      </c>
      <c r="M1467" s="35" t="s">
        <v>266</v>
      </c>
      <c r="N1467" s="264"/>
      <c r="O1467" s="265">
        <v>0.69791666666666663</v>
      </c>
      <c r="P1467" s="265">
        <v>0.69791666666666663</v>
      </c>
      <c r="Q1467" s="266">
        <v>0.7006944444444444</v>
      </c>
      <c r="R1467" s="261">
        <f>IF(Table6[[#This Row],[Work Start TimeStamp]]="","",(Table6[[#This Row],[Work Start TimeStamp]]-Table6[[#This Row],[Fault Start TimeStamp]])*24)</f>
        <v>0</v>
      </c>
      <c r="S1467" s="261">
        <f>(Table6[[#This Row],[Fault Clearance time]]-Table6[[#This Row],[Work Start TimeStamp]])*24</f>
        <v>6.666666666666643E-2</v>
      </c>
      <c r="T1467" s="261">
        <f>(Table6[[#This Row],[Fault Clearance time]]-Table6[[#This Row],[Fault Start TimeStamp]])*24</f>
        <v>6.666666666666643E-2</v>
      </c>
      <c r="U1467" s="35" t="s">
        <v>483</v>
      </c>
      <c r="V1467" s="102" t="s">
        <v>268</v>
      </c>
      <c r="W1467" s="290">
        <f>IFERROR(Table6[[#This Row],[Breakdown Time]]*Table6[[#This Row],[Plant Equivalent Weightage]],"")</f>
        <v>2.5641025641025541E-3</v>
      </c>
      <c r="X1467" s="262" t="s">
        <v>296</v>
      </c>
      <c r="Y1467" s="263" t="s">
        <v>125</v>
      </c>
      <c r="Z1467" s="102">
        <v>22244</v>
      </c>
      <c r="AA1467" s="257">
        <f>(Table6[[#This Row],[Paired WTG Generation for loss calculation]]/24)*Table6[[#This Row],[Breakdown Time]]</f>
        <v>61.788888888888671</v>
      </c>
      <c r="AB1467" s="102"/>
      <c r="AC1467" s="35"/>
      <c r="AD1467" s="35"/>
    </row>
    <row r="1468" spans="1:30">
      <c r="A1468" s="102">
        <f t="shared" si="23"/>
        <v>1467</v>
      </c>
      <c r="B1468" s="257">
        <f>YEAR(Table6[[#This Row],[Date]])+IF(MONTH(Table6[[#This Row],[Date]])&gt;=4,1,0)</f>
        <v>2026</v>
      </c>
      <c r="C1468" s="102">
        <f>YEAR(Table6[[#This Row],[Date]])</f>
        <v>2025</v>
      </c>
      <c r="D1468" s="102" t="s">
        <v>265</v>
      </c>
      <c r="E1468" s="258">
        <f>Table6[[#This Row],[Date]]-DAY(Table6[[#This Row],[Date]])+1</f>
        <v>45839</v>
      </c>
      <c r="F1468" s="259">
        <v>45843</v>
      </c>
      <c r="G1468" s="35" t="s">
        <v>128</v>
      </c>
      <c r="H1468" s="35" t="str">
        <f>IFERROR(_xlfn.XLOOKUP(Table6[[#This Row],[Affected WTG]],'Basic Data'!$A:$A,'Basic Data'!$B:$B),"")</f>
        <v>TQGXIIPL</v>
      </c>
      <c r="I1468" s="35" t="str">
        <f>IFERROR(_xlfn.XLOOKUP(Table6[[#This Row],[Affected WTG]],'Basic Data'!$A:$A,'Basic Data'!$C:$C),"")</f>
        <v>GEDA</v>
      </c>
      <c r="J1468" s="260">
        <f>IFERROR(_xlfn.XLOOKUP(Table6[[#This Row],[Affected WTG]],'Basic Data'!$A:$A,'Basic Data'!$E:$E),"")</f>
        <v>3.846153846153845E-2</v>
      </c>
      <c r="K1468" s="102">
        <v>3110</v>
      </c>
      <c r="L1468" s="35" t="str">
        <f>IFERROR(_xlfn.XLOOKUP(Table6[[#This Row],[Error Code]],'Basic Data'!$AA:$AA,'Basic Data'!$AB:$AB),"Incorrect Error Code")</f>
        <v>Frequency converter error</v>
      </c>
      <c r="M1468" s="35" t="s">
        <v>266</v>
      </c>
      <c r="N1468" s="264"/>
      <c r="O1468" s="265">
        <v>0.65347222222222223</v>
      </c>
      <c r="P1468" s="265">
        <v>0.65347222222222223</v>
      </c>
      <c r="Q1468" s="266">
        <v>0.65833333333333333</v>
      </c>
      <c r="R1468" s="261">
        <f>IF(Table6[[#This Row],[Work Start TimeStamp]]="","",(Table6[[#This Row],[Work Start TimeStamp]]-Table6[[#This Row],[Fault Start TimeStamp]])*24)</f>
        <v>0</v>
      </c>
      <c r="S1468" s="261">
        <f>(Table6[[#This Row],[Fault Clearance time]]-Table6[[#This Row],[Work Start TimeStamp]])*24</f>
        <v>0.11666666666666625</v>
      </c>
      <c r="T1468" s="261">
        <f>(Table6[[#This Row],[Fault Clearance time]]-Table6[[#This Row],[Fault Start TimeStamp]])*24</f>
        <v>0.11666666666666625</v>
      </c>
      <c r="U1468" s="35" t="s">
        <v>483</v>
      </c>
      <c r="V1468" s="102" t="s">
        <v>268</v>
      </c>
      <c r="W1468" s="290">
        <f>IFERROR(Table6[[#This Row],[Breakdown Time]]*Table6[[#This Row],[Plant Equivalent Weightage]],"")</f>
        <v>4.4871794871794695E-3</v>
      </c>
      <c r="X1468" s="262" t="s">
        <v>296</v>
      </c>
      <c r="Y1468" s="263" t="s">
        <v>126</v>
      </c>
      <c r="Z1468" s="102">
        <v>0</v>
      </c>
      <c r="AA1468" s="257">
        <f>(Table6[[#This Row],[Paired WTG Generation for loss calculation]]/24)*Table6[[#This Row],[Breakdown Time]]</f>
        <v>0</v>
      </c>
      <c r="AB1468" s="102"/>
      <c r="AC1468" s="35"/>
      <c r="AD1468" s="35"/>
    </row>
    <row r="1469" spans="1:30">
      <c r="A1469" s="102">
        <f t="shared" si="23"/>
        <v>1468</v>
      </c>
      <c r="B1469" s="257">
        <f>YEAR(Table6[[#This Row],[Date]])+IF(MONTH(Table6[[#This Row],[Date]])&gt;=4,1,0)</f>
        <v>2026</v>
      </c>
      <c r="C1469" s="102">
        <f>YEAR(Table6[[#This Row],[Date]])</f>
        <v>2025</v>
      </c>
      <c r="D1469" s="102" t="s">
        <v>265</v>
      </c>
      <c r="E1469" s="258">
        <f>Table6[[#This Row],[Date]]-DAY(Table6[[#This Row],[Date]])+1</f>
        <v>45839</v>
      </c>
      <c r="F1469" s="259">
        <v>45843</v>
      </c>
      <c r="G1469" s="35" t="s">
        <v>134</v>
      </c>
      <c r="H1469" s="35" t="str">
        <f>IFERROR(_xlfn.XLOOKUP(Table6[[#This Row],[Affected WTG]],'Basic Data'!$A:$A,'Basic Data'!$B:$B),"")</f>
        <v>TQGXIIPL</v>
      </c>
      <c r="I1469" s="35" t="str">
        <f>IFERROR(_xlfn.XLOOKUP(Table6[[#This Row],[Affected WTG]],'Basic Data'!$A:$A,'Basic Data'!$C:$C),"")</f>
        <v>GEDA</v>
      </c>
      <c r="J1469" s="260">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291</v>
      </c>
      <c r="N1469" s="264"/>
      <c r="O1469" s="265">
        <v>0</v>
      </c>
      <c r="P1469" s="265">
        <v>0.36458333333333331</v>
      </c>
      <c r="Q1469" s="266">
        <v>0.99930555555555556</v>
      </c>
      <c r="R1469" s="261">
        <f>IF(Table6[[#This Row],[Work Start TimeStamp]]="","",(Table6[[#This Row],[Work Start TimeStamp]]-Table6[[#This Row],[Fault Start TimeStamp]])*24)</f>
        <v>8.75</v>
      </c>
      <c r="S1469" s="261">
        <f>(Table6[[#This Row],[Fault Clearance time]]-Table6[[#This Row],[Work Start TimeStamp]])*24</f>
        <v>15.233333333333333</v>
      </c>
      <c r="T1469" s="261">
        <f>(Table6[[#This Row],[Fault Clearance time]]-Table6[[#This Row],[Fault Start TimeStamp]])*24</f>
        <v>23.983333333333334</v>
      </c>
      <c r="U1469" s="35" t="s">
        <v>582</v>
      </c>
      <c r="V1469" s="102" t="s">
        <v>549</v>
      </c>
      <c r="W1469" s="290">
        <f>IFERROR(Table6[[#This Row],[Breakdown Time]]*Table6[[#This Row],[Plant Equivalent Weightage]],"")</f>
        <v>0.92243589743589716</v>
      </c>
      <c r="X1469" s="262" t="s">
        <v>296</v>
      </c>
      <c r="Y1469" s="263" t="s">
        <v>138</v>
      </c>
      <c r="Z1469" s="102">
        <v>25208</v>
      </c>
      <c r="AA1469" s="257">
        <f>(Table6[[#This Row],[Paired WTG Generation for loss calculation]]/24)*Table6[[#This Row],[Breakdown Time]]</f>
        <v>25190.494444444445</v>
      </c>
      <c r="AB1469" s="102"/>
      <c r="AC1469" s="35"/>
      <c r="AD1469" s="35"/>
    </row>
    <row r="1470" spans="1:30">
      <c r="A1470" s="102">
        <f t="shared" si="23"/>
        <v>1469</v>
      </c>
      <c r="B1470" s="257">
        <f>YEAR(Table6[[#This Row],[Date]])+IF(MONTH(Table6[[#This Row],[Date]])&gt;=4,1,0)</f>
        <v>2026</v>
      </c>
      <c r="C1470" s="102">
        <f>YEAR(Table6[[#This Row],[Date]])</f>
        <v>2025</v>
      </c>
      <c r="D1470" s="102" t="s">
        <v>265</v>
      </c>
      <c r="E1470" s="258">
        <f>Table6[[#This Row],[Date]]-DAY(Table6[[#This Row],[Date]])+1</f>
        <v>45839</v>
      </c>
      <c r="F1470" s="259">
        <v>45844</v>
      </c>
      <c r="G1470" s="35" t="s">
        <v>116</v>
      </c>
      <c r="H1470" s="35" t="str">
        <f>IFERROR(_xlfn.XLOOKUP(Table6[[#This Row],[Affected WTG]],'Basic Data'!$A:$A,'Basic Data'!$B:$B),"")</f>
        <v>TQGXIIPL</v>
      </c>
      <c r="I1470" s="35" t="str">
        <f>IFERROR(_xlfn.XLOOKUP(Table6[[#This Row],[Affected WTG]],'Basic Data'!$A:$A,'Basic Data'!$C:$C),"")</f>
        <v>GEDA</v>
      </c>
      <c r="J1470" s="260">
        <f>IFERROR(_xlfn.XLOOKUP(Table6[[#This Row],[Affected WTG]],'Basic Data'!$A:$A,'Basic Data'!$E:$E),"")</f>
        <v>3.846153846153845E-2</v>
      </c>
      <c r="K1470" s="102">
        <v>6130</v>
      </c>
      <c r="L1470" s="35" t="str">
        <f>IFERROR(_xlfn.XLOOKUP(Table6[[#This Row],[Error Code]],'Basic Data'!$AA:$AA,'Basic Data'!$AB:$AB),"Incorrect Error Code")</f>
        <v>Yaw speed high</v>
      </c>
      <c r="M1470" s="35" t="s">
        <v>266</v>
      </c>
      <c r="N1470" s="264"/>
      <c r="O1470" s="265">
        <v>0.41666666666666669</v>
      </c>
      <c r="P1470" s="265">
        <v>0.41666666666666669</v>
      </c>
      <c r="Q1470" s="266">
        <v>0.41875000000000001</v>
      </c>
      <c r="R1470" s="261">
        <f>IF(Table6[[#This Row],[Work Start TimeStamp]]="","",(Table6[[#This Row],[Work Start TimeStamp]]-Table6[[#This Row],[Fault Start TimeStamp]])*24)</f>
        <v>0</v>
      </c>
      <c r="S1470" s="261">
        <f>(Table6[[#This Row],[Fault Clearance time]]-Table6[[#This Row],[Work Start TimeStamp]])*24</f>
        <v>4.9999999999999822E-2</v>
      </c>
      <c r="T1470" s="261">
        <f>(Table6[[#This Row],[Fault Clearance time]]-Table6[[#This Row],[Fault Start TimeStamp]])*24</f>
        <v>4.9999999999999822E-2</v>
      </c>
      <c r="U1470" s="35" t="s">
        <v>483</v>
      </c>
      <c r="V1470" s="102" t="s">
        <v>268</v>
      </c>
      <c r="W1470" s="290">
        <f>IFERROR(Table6[[#This Row],[Breakdown Time]]*Table6[[#This Row],[Plant Equivalent Weightage]],"")</f>
        <v>1.9230769230769156E-3</v>
      </c>
      <c r="X1470" s="262" t="s">
        <v>269</v>
      </c>
      <c r="Y1470" s="263" t="s">
        <v>119</v>
      </c>
      <c r="Z1470" s="102">
        <v>36829</v>
      </c>
      <c r="AA1470" s="257">
        <f>(Table6[[#This Row],[Paired WTG Generation for loss calculation]]/24)*Table6[[#This Row],[Breakdown Time]]</f>
        <v>76.72708333333307</v>
      </c>
      <c r="AB1470" s="102"/>
      <c r="AC1470" s="35"/>
      <c r="AD1470" s="35"/>
    </row>
    <row r="1471" spans="1:30">
      <c r="A1471" s="102">
        <f t="shared" si="23"/>
        <v>1470</v>
      </c>
      <c r="B1471" s="257">
        <f>YEAR(Table6[[#This Row],[Date]])+IF(MONTH(Table6[[#This Row],[Date]])&gt;=4,1,0)</f>
        <v>2026</v>
      </c>
      <c r="C1471" s="102">
        <f>YEAR(Table6[[#This Row],[Date]])</f>
        <v>2025</v>
      </c>
      <c r="D1471" s="102" t="s">
        <v>265</v>
      </c>
      <c r="E1471" s="258">
        <f>Table6[[#This Row],[Date]]-DAY(Table6[[#This Row],[Date]])+1</f>
        <v>45839</v>
      </c>
      <c r="F1471" s="259">
        <v>45844</v>
      </c>
      <c r="G1471" s="35" t="s">
        <v>118</v>
      </c>
      <c r="H1471" s="35" t="str">
        <f>IFERROR(_xlfn.XLOOKUP(Table6[[#This Row],[Affected WTG]],'Basic Data'!$A:$A,'Basic Data'!$B:$B),"")</f>
        <v>TQGXIIPL</v>
      </c>
      <c r="I1471" s="35" t="str">
        <f>IFERROR(_xlfn.XLOOKUP(Table6[[#This Row],[Affected WTG]],'Basic Data'!$A:$A,'Basic Data'!$C:$C),"")</f>
        <v>GEDA</v>
      </c>
      <c r="J1471" s="260">
        <f>IFERROR(_xlfn.XLOOKUP(Table6[[#This Row],[Affected WTG]],'Basic Data'!$A:$A,'Basic Data'!$E:$E),"")</f>
        <v>3.846153846153845E-2</v>
      </c>
      <c r="K1471" s="102">
        <v>6130</v>
      </c>
      <c r="L1471" s="35" t="str">
        <f>IFERROR(_xlfn.XLOOKUP(Table6[[#This Row],[Error Code]],'Basic Data'!$AA:$AA,'Basic Data'!$AB:$AB),"Incorrect Error Code")</f>
        <v>Yaw speed high</v>
      </c>
      <c r="M1471" s="35" t="s">
        <v>266</v>
      </c>
      <c r="N1471" s="264"/>
      <c r="O1471" s="265">
        <v>0.52916666666666667</v>
      </c>
      <c r="P1471" s="265">
        <v>0.52916666666666667</v>
      </c>
      <c r="Q1471" s="266">
        <v>0.52986111111111112</v>
      </c>
      <c r="R1471" s="261">
        <f>IF(Table6[[#This Row],[Work Start TimeStamp]]="","",(Table6[[#This Row],[Work Start TimeStamp]]-Table6[[#This Row],[Fault Start TimeStamp]])*24)</f>
        <v>0</v>
      </c>
      <c r="S1471" s="261">
        <f>(Table6[[#This Row],[Fault Clearance time]]-Table6[[#This Row],[Work Start TimeStamp]])*24</f>
        <v>1.6666666666666607E-2</v>
      </c>
      <c r="T1471" s="261">
        <f>(Table6[[#This Row],[Fault Clearance time]]-Table6[[#This Row],[Fault Start TimeStamp]])*24</f>
        <v>1.6666666666666607E-2</v>
      </c>
      <c r="U1471" s="35" t="s">
        <v>483</v>
      </c>
      <c r="V1471" s="102" t="s">
        <v>268</v>
      </c>
      <c r="W1471" s="290">
        <f>IFERROR(Table6[[#This Row],[Breakdown Time]]*Table6[[#This Row],[Plant Equivalent Weightage]],"")</f>
        <v>6.4102564102563853E-4</v>
      </c>
      <c r="X1471" s="262" t="s">
        <v>269</v>
      </c>
      <c r="Y1471" s="263" t="s">
        <v>121</v>
      </c>
      <c r="Z1471" s="102">
        <v>28614</v>
      </c>
      <c r="AA1471" s="257">
        <f>(Table6[[#This Row],[Paired WTG Generation for loss calculation]]/24)*Table6[[#This Row],[Breakdown Time]]</f>
        <v>19.870833333333263</v>
      </c>
      <c r="AB1471" s="102"/>
      <c r="AC1471" s="35"/>
      <c r="AD1471" s="35"/>
    </row>
    <row r="1472" spans="1:30">
      <c r="A1472" s="102">
        <f t="shared" si="23"/>
        <v>1471</v>
      </c>
      <c r="B1472" s="257">
        <f>YEAR(Table6[[#This Row],[Date]])+IF(MONTH(Table6[[#This Row],[Date]])&gt;=4,1,0)</f>
        <v>2026</v>
      </c>
      <c r="C1472" s="102">
        <f>YEAR(Table6[[#This Row],[Date]])</f>
        <v>2025</v>
      </c>
      <c r="D1472" s="102" t="s">
        <v>265</v>
      </c>
      <c r="E1472" s="258">
        <f>Table6[[#This Row],[Date]]-DAY(Table6[[#This Row],[Date]])+1</f>
        <v>45839</v>
      </c>
      <c r="F1472" s="259">
        <v>45844</v>
      </c>
      <c r="G1472" s="35" t="s">
        <v>128</v>
      </c>
      <c r="H1472" s="35" t="str">
        <f>IFERROR(_xlfn.XLOOKUP(Table6[[#This Row],[Affected WTG]],'Basic Data'!$A:$A,'Basic Data'!$B:$B),"")</f>
        <v>TQGXIIPL</v>
      </c>
      <c r="I1472" s="35" t="str">
        <f>IFERROR(_xlfn.XLOOKUP(Table6[[#This Row],[Affected WTG]],'Basic Data'!$A:$A,'Basic Data'!$C:$C),"")</f>
        <v>GEDA</v>
      </c>
      <c r="J1472" s="260">
        <f>IFERROR(_xlfn.XLOOKUP(Table6[[#This Row],[Affected WTG]],'Basic Data'!$A:$A,'Basic Data'!$E:$E),"")</f>
        <v>3.846153846153845E-2</v>
      </c>
      <c r="K1472" s="102">
        <v>6130</v>
      </c>
      <c r="L1472" s="35" t="str">
        <f>IFERROR(_xlfn.XLOOKUP(Table6[[#This Row],[Error Code]],'Basic Data'!$AA:$AA,'Basic Data'!$AB:$AB),"Incorrect Error Code")</f>
        <v>Yaw speed high</v>
      </c>
      <c r="M1472" s="35" t="s">
        <v>278</v>
      </c>
      <c r="N1472" s="264"/>
      <c r="O1472" s="265">
        <v>0.3215277777777778</v>
      </c>
      <c r="P1472" s="265">
        <v>0.3215277777777778</v>
      </c>
      <c r="Q1472" s="266">
        <v>0.32569444444444445</v>
      </c>
      <c r="R1472" s="261">
        <f>IF(Table6[[#This Row],[Work Start TimeStamp]]="","",(Table6[[#This Row],[Work Start TimeStamp]]-Table6[[#This Row],[Fault Start TimeStamp]])*24)</f>
        <v>0</v>
      </c>
      <c r="S1472" s="261">
        <f>(Table6[[#This Row],[Fault Clearance time]]-Table6[[#This Row],[Work Start TimeStamp]])*24</f>
        <v>9.9999999999999645E-2</v>
      </c>
      <c r="T1472" s="261">
        <f>(Table6[[#This Row],[Fault Clearance time]]-Table6[[#This Row],[Fault Start TimeStamp]])*24</f>
        <v>9.9999999999999645E-2</v>
      </c>
      <c r="U1472" s="35" t="s">
        <v>277</v>
      </c>
      <c r="V1472" s="102" t="s">
        <v>268</v>
      </c>
      <c r="W1472" s="290">
        <f>IFERROR(Table6[[#This Row],[Breakdown Time]]*Table6[[#This Row],[Plant Equivalent Weightage]],"")</f>
        <v>3.8461538461538312E-3</v>
      </c>
      <c r="X1472" s="262" t="s">
        <v>269</v>
      </c>
      <c r="Y1472" s="263" t="s">
        <v>126</v>
      </c>
      <c r="Z1472" s="102">
        <v>0</v>
      </c>
      <c r="AA1472" s="257">
        <f>(Table6[[#This Row],[Paired WTG Generation for loss calculation]]/24)*Table6[[#This Row],[Breakdown Time]]</f>
        <v>0</v>
      </c>
      <c r="AB1472" s="102"/>
      <c r="AC1472" s="35"/>
      <c r="AD1472" s="35"/>
    </row>
    <row r="1473" spans="1:30">
      <c r="A1473" s="102">
        <f t="shared" si="23"/>
        <v>1472</v>
      </c>
      <c r="B1473" s="257">
        <f>YEAR(Table6[[#This Row],[Date]])+IF(MONTH(Table6[[#This Row],[Date]])&gt;=4,1,0)</f>
        <v>2026</v>
      </c>
      <c r="C1473" s="102">
        <f>YEAR(Table6[[#This Row],[Date]])</f>
        <v>2025</v>
      </c>
      <c r="D1473" s="102" t="s">
        <v>265</v>
      </c>
      <c r="E1473" s="258">
        <f>Table6[[#This Row],[Date]]-DAY(Table6[[#This Row],[Date]])+1</f>
        <v>45839</v>
      </c>
      <c r="F1473" s="259">
        <v>45844</v>
      </c>
      <c r="G1473" s="35" t="s">
        <v>128</v>
      </c>
      <c r="H1473" s="35" t="str">
        <f>IFERROR(_xlfn.XLOOKUP(Table6[[#This Row],[Affected WTG]],'Basic Data'!$A:$A,'Basic Data'!$B:$B),"")</f>
        <v>TQGXIIPL</v>
      </c>
      <c r="I1473" s="35" t="str">
        <f>IFERROR(_xlfn.XLOOKUP(Table6[[#This Row],[Affected WTG]],'Basic Data'!$A:$A,'Basic Data'!$C:$C),"")</f>
        <v>GEDA</v>
      </c>
      <c r="J1473" s="260">
        <f>IFERROR(_xlfn.XLOOKUP(Table6[[#This Row],[Affected WTG]],'Basic Data'!$A:$A,'Basic Data'!$E:$E),"")</f>
        <v>3.846153846153845E-2</v>
      </c>
      <c r="K1473" s="102">
        <v>6130</v>
      </c>
      <c r="L1473" s="35" t="str">
        <f>IFERROR(_xlfn.XLOOKUP(Table6[[#This Row],[Error Code]],'Basic Data'!$AA:$AA,'Basic Data'!$AB:$AB),"Incorrect Error Code")</f>
        <v>Yaw speed high</v>
      </c>
      <c r="M1473" s="35" t="s">
        <v>266</v>
      </c>
      <c r="N1473" s="264"/>
      <c r="O1473" s="265">
        <v>0.35</v>
      </c>
      <c r="P1473" s="265">
        <v>0.35</v>
      </c>
      <c r="Q1473" s="266">
        <v>0.36041666666666666</v>
      </c>
      <c r="R1473" s="261">
        <f>IF(Table6[[#This Row],[Work Start TimeStamp]]="","",(Table6[[#This Row],[Work Start TimeStamp]]-Table6[[#This Row],[Fault Start TimeStamp]])*24)</f>
        <v>0</v>
      </c>
      <c r="S1473" s="261">
        <f>(Table6[[#This Row],[Fault Clearance time]]-Table6[[#This Row],[Work Start TimeStamp]])*24</f>
        <v>0.25000000000000044</v>
      </c>
      <c r="T1473" s="261">
        <f>(Table6[[#This Row],[Fault Clearance time]]-Table6[[#This Row],[Fault Start TimeStamp]])*24</f>
        <v>0.25000000000000044</v>
      </c>
      <c r="U1473" s="35" t="s">
        <v>575</v>
      </c>
      <c r="V1473" s="102" t="s">
        <v>268</v>
      </c>
      <c r="W1473" s="290">
        <f>IFERROR(Table6[[#This Row],[Breakdown Time]]*Table6[[#This Row],[Plant Equivalent Weightage]],"")</f>
        <v>9.6153846153846298E-3</v>
      </c>
      <c r="X1473" s="262" t="s">
        <v>269</v>
      </c>
      <c r="Y1473" s="263" t="s">
        <v>126</v>
      </c>
      <c r="Z1473" s="102">
        <v>0</v>
      </c>
      <c r="AA1473" s="257">
        <f>(Table6[[#This Row],[Paired WTG Generation for loss calculation]]/24)*Table6[[#This Row],[Breakdown Time]]</f>
        <v>0</v>
      </c>
      <c r="AB1473" s="102"/>
      <c r="AC1473" s="35"/>
      <c r="AD1473" s="35"/>
    </row>
    <row r="1474" spans="1:30">
      <c r="A1474" s="102">
        <f t="shared" si="23"/>
        <v>1473</v>
      </c>
      <c r="B1474" s="257">
        <f>YEAR(Table6[[#This Row],[Date]])+IF(MONTH(Table6[[#This Row],[Date]])&gt;=4,1,0)</f>
        <v>2026</v>
      </c>
      <c r="C1474" s="102">
        <f>YEAR(Table6[[#This Row],[Date]])</f>
        <v>2025</v>
      </c>
      <c r="D1474" s="102" t="s">
        <v>265</v>
      </c>
      <c r="E1474" s="258">
        <f>Table6[[#This Row],[Date]]-DAY(Table6[[#This Row],[Date]])+1</f>
        <v>45839</v>
      </c>
      <c r="F1474" s="259">
        <v>45844</v>
      </c>
      <c r="G1474" s="35" t="s">
        <v>126</v>
      </c>
      <c r="H1474" s="35" t="str">
        <f>IFERROR(_xlfn.XLOOKUP(Table6[[#This Row],[Affected WTG]],'Basic Data'!$A:$A,'Basic Data'!$B:$B),"")</f>
        <v>TQGXIIPL</v>
      </c>
      <c r="I1474" s="35" t="str">
        <f>IFERROR(_xlfn.XLOOKUP(Table6[[#This Row],[Affected WTG]],'Basic Data'!$A:$A,'Basic Data'!$C:$C),"")</f>
        <v>GEDA</v>
      </c>
      <c r="J1474" s="260">
        <f>IFERROR(_xlfn.XLOOKUP(Table6[[#This Row],[Affected WTG]],'Basic Data'!$A:$A,'Basic Data'!$E:$E),"")</f>
        <v>3.846153846153845E-2</v>
      </c>
      <c r="K1474" s="102">
        <v>55</v>
      </c>
      <c r="L1474" s="35" t="str">
        <f>IFERROR(_xlfn.XLOOKUP(Table6[[#This Row],[Error Code]],'Basic Data'!$AA:$AA,'Basic Data'!$AB:$AB),"Incorrect Error Code")</f>
        <v>WTG shut down</v>
      </c>
      <c r="M1474" s="35" t="s">
        <v>291</v>
      </c>
      <c r="N1474" s="264"/>
      <c r="O1474" s="265">
        <v>0</v>
      </c>
      <c r="P1474" s="265">
        <v>0</v>
      </c>
      <c r="Q1474" s="266">
        <v>0.64583333333333337</v>
      </c>
      <c r="R1474" s="261">
        <f>IF(Table6[[#This Row],[Work Start TimeStamp]]="","",(Table6[[#This Row],[Work Start TimeStamp]]-Table6[[#This Row],[Fault Start TimeStamp]])*24)</f>
        <v>0</v>
      </c>
      <c r="S1474" s="261">
        <f>(Table6[[#This Row],[Fault Clearance time]]-Table6[[#This Row],[Work Start TimeStamp]])*24</f>
        <v>15.5</v>
      </c>
      <c r="T1474" s="261">
        <f>(Table6[[#This Row],[Fault Clearance time]]-Table6[[#This Row],[Fault Start TimeStamp]])*24</f>
        <v>15.5</v>
      </c>
      <c r="U1474" s="35" t="s">
        <v>583</v>
      </c>
      <c r="V1474" s="102" t="s">
        <v>549</v>
      </c>
      <c r="W1474" s="290">
        <f>IFERROR(Table6[[#This Row],[Breakdown Time]]*Table6[[#This Row],[Plant Equivalent Weightage]],"")</f>
        <v>0.59615384615384592</v>
      </c>
      <c r="X1474" s="262" t="s">
        <v>531</v>
      </c>
      <c r="Y1474" s="263" t="s">
        <v>128</v>
      </c>
      <c r="Z1474" s="102">
        <v>35152</v>
      </c>
      <c r="AA1474" s="257">
        <f>(Table6[[#This Row],[Paired WTG Generation for loss calculation]]/24)*Table6[[#This Row],[Breakdown Time]]</f>
        <v>22702.333333333336</v>
      </c>
      <c r="AB1474" s="102"/>
      <c r="AC1474" s="35"/>
      <c r="AD1474" s="35"/>
    </row>
    <row r="1475" spans="1:30">
      <c r="A1475" s="102">
        <f t="shared" si="23"/>
        <v>1474</v>
      </c>
      <c r="B1475" s="257">
        <f>YEAR(Table6[[#This Row],[Date]])+IF(MONTH(Table6[[#This Row],[Date]])&gt;=4,1,0)</f>
        <v>2026</v>
      </c>
      <c r="C1475" s="102">
        <f>YEAR(Table6[[#This Row],[Date]])</f>
        <v>2025</v>
      </c>
      <c r="D1475" s="102" t="s">
        <v>265</v>
      </c>
      <c r="E1475" s="258">
        <f>Table6[[#This Row],[Date]]-DAY(Table6[[#This Row],[Date]])+1</f>
        <v>45839</v>
      </c>
      <c r="F1475" s="259">
        <v>45844</v>
      </c>
      <c r="G1475" s="35" t="s">
        <v>126</v>
      </c>
      <c r="H1475" s="35" t="str">
        <f>IFERROR(_xlfn.XLOOKUP(Table6[[#This Row],[Affected WTG]],'Basic Data'!$A:$A,'Basic Data'!$B:$B),"")</f>
        <v>TQGXIIPL</v>
      </c>
      <c r="I1475" s="35" t="str">
        <f>IFERROR(_xlfn.XLOOKUP(Table6[[#This Row],[Affected WTG]],'Basic Data'!$A:$A,'Basic Data'!$C:$C),"")</f>
        <v>GEDA</v>
      </c>
      <c r="J1475" s="260">
        <f>IFERROR(_xlfn.XLOOKUP(Table6[[#This Row],[Affected WTG]],'Basic Data'!$A:$A,'Basic Data'!$E:$E),"")</f>
        <v>3.846153846153845E-2</v>
      </c>
      <c r="K1475" s="102">
        <v>55</v>
      </c>
      <c r="L1475" s="35" t="str">
        <f>IFERROR(_xlfn.XLOOKUP(Table6[[#This Row],[Error Code]],'Basic Data'!$AA:$AA,'Basic Data'!$AB:$AB),"Incorrect Error Code")</f>
        <v>WTG shut down</v>
      </c>
      <c r="M1475" s="35" t="s">
        <v>291</v>
      </c>
      <c r="N1475" s="264"/>
      <c r="O1475" s="265">
        <v>0.64583333333333337</v>
      </c>
      <c r="P1475" s="265">
        <v>0.64583333333333337</v>
      </c>
      <c r="Q1475" s="266">
        <v>0.80694444444444446</v>
      </c>
      <c r="R1475" s="261">
        <f>IF(Table6[[#This Row],[Work Start TimeStamp]]="","",(Table6[[#This Row],[Work Start TimeStamp]]-Table6[[#This Row],[Fault Start TimeStamp]])*24)</f>
        <v>0</v>
      </c>
      <c r="S1475" s="261">
        <f>(Table6[[#This Row],[Fault Clearance time]]-Table6[[#This Row],[Work Start TimeStamp]])*24</f>
        <v>3.8666666666666663</v>
      </c>
      <c r="T1475" s="261">
        <f>(Table6[[#This Row],[Fault Clearance time]]-Table6[[#This Row],[Fault Start TimeStamp]])*24</f>
        <v>3.8666666666666663</v>
      </c>
      <c r="U1475" s="35" t="s">
        <v>583</v>
      </c>
      <c r="V1475" s="102" t="s">
        <v>549</v>
      </c>
      <c r="W1475" s="290">
        <f>IFERROR(Table6[[#This Row],[Breakdown Time]]*Table6[[#This Row],[Plant Equivalent Weightage]],"")</f>
        <v>0.14871794871794866</v>
      </c>
      <c r="X1475" s="262" t="s">
        <v>269</v>
      </c>
      <c r="Y1475" s="263" t="s">
        <v>128</v>
      </c>
      <c r="Z1475" s="102">
        <v>35152</v>
      </c>
      <c r="AA1475" s="257">
        <f>(Table6[[#This Row],[Paired WTG Generation for loss calculation]]/24)*Table6[[#This Row],[Breakdown Time]]</f>
        <v>5663.3777777777777</v>
      </c>
      <c r="AB1475" s="102"/>
      <c r="AC1475" s="35"/>
      <c r="AD1475" s="35"/>
    </row>
    <row r="1476" spans="1:30">
      <c r="A1476" s="102">
        <f t="shared" si="23"/>
        <v>1475</v>
      </c>
      <c r="B1476" s="257">
        <f>YEAR(Table6[[#This Row],[Date]])+IF(MONTH(Table6[[#This Row],[Date]])&gt;=4,1,0)</f>
        <v>2026</v>
      </c>
      <c r="C1476" s="102">
        <f>YEAR(Table6[[#This Row],[Date]])</f>
        <v>2025</v>
      </c>
      <c r="D1476" s="102" t="s">
        <v>265</v>
      </c>
      <c r="E1476" s="258">
        <f>Table6[[#This Row],[Date]]-DAY(Table6[[#This Row],[Date]])+1</f>
        <v>45839</v>
      </c>
      <c r="F1476" s="259">
        <v>45844</v>
      </c>
      <c r="G1476" s="35" t="s">
        <v>134</v>
      </c>
      <c r="H1476" s="35" t="str">
        <f>IFERROR(_xlfn.XLOOKUP(Table6[[#This Row],[Affected WTG]],'Basic Data'!$A:$A,'Basic Data'!$B:$B),"")</f>
        <v>TQGXIIPL</v>
      </c>
      <c r="I1476" s="35" t="str">
        <f>IFERROR(_xlfn.XLOOKUP(Table6[[#This Row],[Affected WTG]],'Basic Data'!$A:$A,'Basic Data'!$C:$C),"")</f>
        <v>GEDA</v>
      </c>
      <c r="J1476" s="260">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291</v>
      </c>
      <c r="N1476" s="264"/>
      <c r="O1476" s="265">
        <v>0</v>
      </c>
      <c r="P1476" s="265">
        <v>0</v>
      </c>
      <c r="Q1476" s="266">
        <v>0.78472222222222221</v>
      </c>
      <c r="R1476" s="261">
        <f>IF(Table6[[#This Row],[Work Start TimeStamp]]="","",(Table6[[#This Row],[Work Start TimeStamp]]-Table6[[#This Row],[Fault Start TimeStamp]])*24)</f>
        <v>0</v>
      </c>
      <c r="S1476" s="261">
        <f>(Table6[[#This Row],[Fault Clearance time]]-Table6[[#This Row],[Work Start TimeStamp]])*24</f>
        <v>18.833333333333332</v>
      </c>
      <c r="T1476" s="261">
        <f>(Table6[[#This Row],[Fault Clearance time]]-Table6[[#This Row],[Fault Start TimeStamp]])*24</f>
        <v>18.833333333333332</v>
      </c>
      <c r="U1476" s="35" t="s">
        <v>582</v>
      </c>
      <c r="V1476" s="102" t="s">
        <v>549</v>
      </c>
      <c r="W1476" s="290">
        <f>IFERROR(Table6[[#This Row],[Breakdown Time]]*Table6[[#This Row],[Plant Equivalent Weightage]],"")</f>
        <v>0.72435897435897412</v>
      </c>
      <c r="X1476" s="262" t="s">
        <v>296</v>
      </c>
      <c r="Y1476" s="263" t="s">
        <v>138</v>
      </c>
      <c r="Z1476" s="102">
        <v>37017</v>
      </c>
      <c r="AA1476" s="257">
        <f>(Table6[[#This Row],[Paired WTG Generation for loss calculation]]/24)*Table6[[#This Row],[Breakdown Time]]</f>
        <v>29048.062499999996</v>
      </c>
      <c r="AB1476" s="102"/>
      <c r="AC1476" s="35"/>
      <c r="AD1476" s="35"/>
    </row>
    <row r="1477" spans="1:30">
      <c r="A1477" s="102">
        <f t="shared" si="23"/>
        <v>1476</v>
      </c>
      <c r="B1477" s="257">
        <f>YEAR(Table6[[#This Row],[Date]])+IF(MONTH(Table6[[#This Row],[Date]])&gt;=4,1,0)</f>
        <v>2026</v>
      </c>
      <c r="C1477" s="102">
        <f>YEAR(Table6[[#This Row],[Date]])</f>
        <v>2025</v>
      </c>
      <c r="D1477" s="102" t="s">
        <v>265</v>
      </c>
      <c r="E1477" s="258">
        <f>Table6[[#This Row],[Date]]-DAY(Table6[[#This Row],[Date]])+1</f>
        <v>45839</v>
      </c>
      <c r="F1477" s="259">
        <v>45844</v>
      </c>
      <c r="G1477" s="35" t="s">
        <v>134</v>
      </c>
      <c r="H1477" s="35" t="str">
        <f>IFERROR(_xlfn.XLOOKUP(Table6[[#This Row],[Affected WTG]],'Basic Data'!$A:$A,'Basic Data'!$B:$B),"")</f>
        <v>TQGXIIPL</v>
      </c>
      <c r="I1477" s="35" t="str">
        <f>IFERROR(_xlfn.XLOOKUP(Table6[[#This Row],[Affected WTG]],'Basic Data'!$A:$A,'Basic Data'!$C:$C),"")</f>
        <v>GEDA</v>
      </c>
      <c r="J1477" s="260">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291</v>
      </c>
      <c r="N1477" s="264"/>
      <c r="O1477" s="265">
        <v>0.80625000000000002</v>
      </c>
      <c r="P1477" s="265">
        <v>0.80625000000000002</v>
      </c>
      <c r="Q1477" s="266">
        <v>0.99998842592592596</v>
      </c>
      <c r="R1477" s="261">
        <f>IF(Table6[[#This Row],[Work Start TimeStamp]]="","",(Table6[[#This Row],[Work Start TimeStamp]]-Table6[[#This Row],[Fault Start TimeStamp]])*24)</f>
        <v>0</v>
      </c>
      <c r="S1477" s="261">
        <f>(Table6[[#This Row],[Fault Clearance time]]-Table6[[#This Row],[Work Start TimeStamp]])*24</f>
        <v>4.6497222222222225</v>
      </c>
      <c r="T1477" s="261">
        <f>(Table6[[#This Row],[Fault Clearance time]]-Table6[[#This Row],[Fault Start TimeStamp]])*24</f>
        <v>4.6497222222222225</v>
      </c>
      <c r="U1477" s="35" t="s">
        <v>584</v>
      </c>
      <c r="V1477" s="102" t="s">
        <v>549</v>
      </c>
      <c r="W1477" s="290">
        <f>IFERROR(Table6[[#This Row],[Breakdown Time]]*Table6[[#This Row],[Plant Equivalent Weightage]],"")</f>
        <v>0.17883547008547004</v>
      </c>
      <c r="X1477" s="262" t="s">
        <v>296</v>
      </c>
      <c r="Y1477" s="263" t="s">
        <v>138</v>
      </c>
      <c r="Z1477" s="102">
        <v>37017</v>
      </c>
      <c r="AA1477" s="257">
        <f>(Table6[[#This Row],[Paired WTG Generation for loss calculation]]/24)*Table6[[#This Row],[Breakdown Time]]</f>
        <v>7171.6153125000001</v>
      </c>
      <c r="AB1477" s="102"/>
      <c r="AC1477" s="35"/>
      <c r="AD1477" s="35"/>
    </row>
    <row r="1478" spans="1:30">
      <c r="A1478" s="102">
        <f t="shared" si="23"/>
        <v>1477</v>
      </c>
      <c r="B1478" s="257">
        <f>YEAR(Table6[[#This Row],[Date]])+IF(MONTH(Table6[[#This Row],[Date]])&gt;=4,1,0)</f>
        <v>2026</v>
      </c>
      <c r="C1478" s="102">
        <f>YEAR(Table6[[#This Row],[Date]])</f>
        <v>2025</v>
      </c>
      <c r="D1478" s="102" t="s">
        <v>265</v>
      </c>
      <c r="E1478" s="258">
        <f>Table6[[#This Row],[Date]]-DAY(Table6[[#This Row],[Date]])+1</f>
        <v>45839</v>
      </c>
      <c r="F1478" s="259">
        <v>45844</v>
      </c>
      <c r="G1478" s="35" t="s">
        <v>136</v>
      </c>
      <c r="H1478" s="35" t="str">
        <f>IFERROR(_xlfn.XLOOKUP(Table6[[#This Row],[Affected WTG]],'Basic Data'!$A:$A,'Basic Data'!$B:$B),"")</f>
        <v>TQGXIIPL</v>
      </c>
      <c r="I1478" s="35" t="str">
        <f>IFERROR(_xlfn.XLOOKUP(Table6[[#This Row],[Affected WTG]],'Basic Data'!$A:$A,'Basic Data'!$C:$C),"")</f>
        <v>GEDA</v>
      </c>
      <c r="J1478" s="260">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266</v>
      </c>
      <c r="N1478" s="264"/>
      <c r="O1478" s="265">
        <v>0.55347222222222225</v>
      </c>
      <c r="P1478" s="265">
        <v>0.55347222222222225</v>
      </c>
      <c r="Q1478" s="266">
        <v>0.55763888888888891</v>
      </c>
      <c r="R1478" s="261">
        <f>IF(Table6[[#This Row],[Work Start TimeStamp]]="","",(Table6[[#This Row],[Work Start TimeStamp]]-Table6[[#This Row],[Fault Start TimeStamp]])*24)</f>
        <v>0</v>
      </c>
      <c r="S1478" s="261">
        <f>(Table6[[#This Row],[Fault Clearance time]]-Table6[[#This Row],[Work Start TimeStamp]])*24</f>
        <v>9.9999999999999645E-2</v>
      </c>
      <c r="T1478" s="261">
        <f>(Table6[[#This Row],[Fault Clearance time]]-Table6[[#This Row],[Fault Start TimeStamp]])*24</f>
        <v>9.9999999999999645E-2</v>
      </c>
      <c r="U1478" s="35" t="s">
        <v>483</v>
      </c>
      <c r="V1478" s="102" t="s">
        <v>268</v>
      </c>
      <c r="W1478" s="290">
        <f>IFERROR(Table6[[#This Row],[Breakdown Time]]*Table6[[#This Row],[Plant Equivalent Weightage]],"")</f>
        <v>3.8461538461538312E-3</v>
      </c>
      <c r="X1478" s="262" t="s">
        <v>269</v>
      </c>
      <c r="Y1478" s="263" t="s">
        <v>120</v>
      </c>
      <c r="Z1478" s="102">
        <v>31487</v>
      </c>
      <c r="AA1478" s="257">
        <f>(Table6[[#This Row],[Paired WTG Generation for loss calculation]]/24)*Table6[[#This Row],[Breakdown Time]]</f>
        <v>131.19583333333287</v>
      </c>
      <c r="AB1478" s="102"/>
      <c r="AC1478" s="35"/>
      <c r="AD1478" s="35"/>
    </row>
    <row r="1479" spans="1:30">
      <c r="A1479" s="102">
        <f t="shared" si="23"/>
        <v>1478</v>
      </c>
      <c r="B1479" s="257">
        <f>YEAR(Table6[[#This Row],[Date]])+IF(MONTH(Table6[[#This Row],[Date]])&gt;=4,1,0)</f>
        <v>2026</v>
      </c>
      <c r="C1479" s="102">
        <f>YEAR(Table6[[#This Row],[Date]])</f>
        <v>2025</v>
      </c>
      <c r="D1479" s="102" t="s">
        <v>265</v>
      </c>
      <c r="E1479" s="258">
        <f>Table6[[#This Row],[Date]]-DAY(Table6[[#This Row],[Date]])+1</f>
        <v>45839</v>
      </c>
      <c r="F1479" s="259">
        <v>45844</v>
      </c>
      <c r="G1479" s="35" t="s">
        <v>136</v>
      </c>
      <c r="H1479" s="35" t="str">
        <f>IFERROR(_xlfn.XLOOKUP(Table6[[#This Row],[Affected WTG]],'Basic Data'!$A:$A,'Basic Data'!$B:$B),"")</f>
        <v>TQGXIIPL</v>
      </c>
      <c r="I1479" s="35" t="str">
        <f>IFERROR(_xlfn.XLOOKUP(Table6[[#This Row],[Affected WTG]],'Basic Data'!$A:$A,'Basic Data'!$C:$C),"")</f>
        <v>GEDA</v>
      </c>
      <c r="J1479" s="260">
        <f>IFERROR(_xlfn.XLOOKUP(Table6[[#This Row],[Affected WTG]],'Basic Data'!$A:$A,'Basic Data'!$E:$E),"")</f>
        <v>3.846153846153845E-2</v>
      </c>
      <c r="K1479" s="102">
        <v>6130</v>
      </c>
      <c r="L1479" s="35" t="str">
        <f>IFERROR(_xlfn.XLOOKUP(Table6[[#This Row],[Error Code]],'Basic Data'!$AA:$AA,'Basic Data'!$AB:$AB),"Incorrect Error Code")</f>
        <v>Yaw speed high</v>
      </c>
      <c r="M1479" s="35" t="s">
        <v>266</v>
      </c>
      <c r="N1479" s="264"/>
      <c r="O1479" s="265">
        <v>0.59097222222222223</v>
      </c>
      <c r="P1479" s="265">
        <v>0.59097222222222223</v>
      </c>
      <c r="Q1479" s="266">
        <v>0.59236111111111112</v>
      </c>
      <c r="R1479" s="261">
        <f>IF(Table6[[#This Row],[Work Start TimeStamp]]="","",(Table6[[#This Row],[Work Start TimeStamp]]-Table6[[#This Row],[Fault Start TimeStamp]])*24)</f>
        <v>0</v>
      </c>
      <c r="S1479" s="261">
        <f>(Table6[[#This Row],[Fault Clearance time]]-Table6[[#This Row],[Work Start TimeStamp]])*24</f>
        <v>3.3333333333333215E-2</v>
      </c>
      <c r="T1479" s="261">
        <f>(Table6[[#This Row],[Fault Clearance time]]-Table6[[#This Row],[Fault Start TimeStamp]])*24</f>
        <v>3.3333333333333215E-2</v>
      </c>
      <c r="U1479" s="35" t="s">
        <v>483</v>
      </c>
      <c r="V1479" s="102" t="s">
        <v>268</v>
      </c>
      <c r="W1479" s="290">
        <f>IFERROR(Table6[[#This Row],[Breakdown Time]]*Table6[[#This Row],[Plant Equivalent Weightage]],"")</f>
        <v>1.2820512820512771E-3</v>
      </c>
      <c r="X1479" s="262" t="s">
        <v>269</v>
      </c>
      <c r="Y1479" s="263" t="s">
        <v>120</v>
      </c>
      <c r="Z1479" s="102">
        <v>31487</v>
      </c>
      <c r="AA1479" s="257">
        <f>(Table6[[#This Row],[Paired WTG Generation for loss calculation]]/24)*Table6[[#This Row],[Breakdown Time]]</f>
        <v>43.731944444444288</v>
      </c>
      <c r="AB1479" s="102"/>
      <c r="AC1479" s="35"/>
      <c r="AD1479" s="35"/>
    </row>
    <row r="1480" spans="1:30">
      <c r="A1480" s="102">
        <f t="shared" si="23"/>
        <v>1479</v>
      </c>
      <c r="B1480" s="257">
        <f>YEAR(Table6[[#This Row],[Date]])+IF(MONTH(Table6[[#This Row],[Date]])&gt;=4,1,0)</f>
        <v>2026</v>
      </c>
      <c r="C1480" s="102">
        <f>YEAR(Table6[[#This Row],[Date]])</f>
        <v>2025</v>
      </c>
      <c r="D1480" s="102" t="s">
        <v>265</v>
      </c>
      <c r="E1480" s="258">
        <f>Table6[[#This Row],[Date]]-DAY(Table6[[#This Row],[Date]])+1</f>
        <v>45839</v>
      </c>
      <c r="F1480" s="259">
        <v>45844</v>
      </c>
      <c r="G1480" s="35" t="s">
        <v>137</v>
      </c>
      <c r="H1480" s="35" t="str">
        <f>IFERROR(_xlfn.XLOOKUP(Table6[[#This Row],[Affected WTG]],'Basic Data'!$A:$A,'Basic Data'!$B:$B),"")</f>
        <v>TQGXIIPL</v>
      </c>
      <c r="I1480" s="35" t="str">
        <f>IFERROR(_xlfn.XLOOKUP(Table6[[#This Row],[Affected WTG]],'Basic Data'!$A:$A,'Basic Data'!$C:$C),"")</f>
        <v>GEDA</v>
      </c>
      <c r="J1480" s="260">
        <f>IFERROR(_xlfn.XLOOKUP(Table6[[#This Row],[Affected WTG]],'Basic Data'!$A:$A,'Basic Data'!$E:$E),"")</f>
        <v>3.846153846153845E-2</v>
      </c>
      <c r="K1480" s="102">
        <v>4970</v>
      </c>
      <c r="L1480" s="35" t="str">
        <f>IFERROR(_xlfn.XLOOKUP(Table6[[#This Row],[Error Code]],'Basic Data'!$AA:$AA,'Basic Data'!$AB:$AB),"Incorrect Error Code")</f>
        <v>Tower oscillation XF</v>
      </c>
      <c r="M1480" s="35" t="s">
        <v>278</v>
      </c>
      <c r="N1480" s="264"/>
      <c r="O1480" s="265">
        <v>0.93125000000000002</v>
      </c>
      <c r="P1480" s="265">
        <v>0.93125000000000002</v>
      </c>
      <c r="Q1480" s="266">
        <v>0.94236111111111109</v>
      </c>
      <c r="R1480" s="261">
        <f>IF(Table6[[#This Row],[Work Start TimeStamp]]="","",(Table6[[#This Row],[Work Start TimeStamp]]-Table6[[#This Row],[Fault Start TimeStamp]])*24)</f>
        <v>0</v>
      </c>
      <c r="S1480" s="261">
        <f>(Table6[[#This Row],[Fault Clearance time]]-Table6[[#This Row],[Work Start TimeStamp]])*24</f>
        <v>0.26666666666666572</v>
      </c>
      <c r="T1480" s="261">
        <f>(Table6[[#This Row],[Fault Clearance time]]-Table6[[#This Row],[Fault Start TimeStamp]])*24</f>
        <v>0.26666666666666572</v>
      </c>
      <c r="U1480" s="35" t="s">
        <v>277</v>
      </c>
      <c r="V1480" s="102" t="s">
        <v>268</v>
      </c>
      <c r="W1480" s="290">
        <f>IFERROR(Table6[[#This Row],[Breakdown Time]]*Table6[[#This Row],[Plant Equivalent Weightage]],"")</f>
        <v>1.0256410256410217E-2</v>
      </c>
      <c r="X1480" s="262" t="s">
        <v>269</v>
      </c>
      <c r="Y1480" s="263" t="s">
        <v>125</v>
      </c>
      <c r="Z1480" s="102">
        <v>34101</v>
      </c>
      <c r="AA1480" s="257">
        <f>(Table6[[#This Row],[Paired WTG Generation for loss calculation]]/24)*Table6[[#This Row],[Breakdown Time]]</f>
        <v>378.89999999999867</v>
      </c>
      <c r="AB1480" s="102"/>
      <c r="AC1480" s="35"/>
      <c r="AD1480" s="35"/>
    </row>
    <row r="1481" spans="1:30">
      <c r="A1481" s="102">
        <f t="shared" si="23"/>
        <v>1480</v>
      </c>
      <c r="B1481" s="257">
        <f>YEAR(Table6[[#This Row],[Date]])+IF(MONTH(Table6[[#This Row],[Date]])&gt;=4,1,0)</f>
        <v>2026</v>
      </c>
      <c r="C1481" s="102">
        <f>YEAR(Table6[[#This Row],[Date]])</f>
        <v>2025</v>
      </c>
      <c r="D1481" s="102" t="s">
        <v>265</v>
      </c>
      <c r="E1481" s="258">
        <f>Table6[[#This Row],[Date]]-DAY(Table6[[#This Row],[Date]])+1</f>
        <v>45839</v>
      </c>
      <c r="F1481" s="259">
        <v>45845</v>
      </c>
      <c r="G1481" s="35" t="s">
        <v>116</v>
      </c>
      <c r="H1481" s="35" t="str">
        <f>IFERROR(_xlfn.XLOOKUP(Table6[[#This Row],[Affected WTG]],'Basic Data'!$A:$A,'Basic Data'!$B:$B),"")</f>
        <v>TQGXIIPL</v>
      </c>
      <c r="I1481" s="35" t="str">
        <f>IFERROR(_xlfn.XLOOKUP(Table6[[#This Row],[Affected WTG]],'Basic Data'!$A:$A,'Basic Data'!$C:$C),"")</f>
        <v>GEDA</v>
      </c>
      <c r="J1481" s="260">
        <f>IFERROR(_xlfn.XLOOKUP(Table6[[#This Row],[Affected WTG]],'Basic Data'!$A:$A,'Basic Data'!$E:$E),"")</f>
        <v>3.846153846153845E-2</v>
      </c>
      <c r="K1481" s="102">
        <v>520</v>
      </c>
      <c r="L1481" s="35" t="str">
        <f>IFERROR(_xlfn.XLOOKUP(Table6[[#This Row],[Error Code]],'Basic Data'!$AA:$AA,'Basic Data'!$AB:$AB),"Incorrect Error Code")</f>
        <v>Overload axis 1</v>
      </c>
      <c r="M1481" s="35" t="s">
        <v>266</v>
      </c>
      <c r="N1481" s="264"/>
      <c r="O1481" s="265">
        <v>0.74305555555555558</v>
      </c>
      <c r="P1481" s="265">
        <v>0.74305555555555558</v>
      </c>
      <c r="Q1481" s="266">
        <v>0.75486111111111109</v>
      </c>
      <c r="R1481" s="261">
        <f>IF(Table6[[#This Row],[Work Start TimeStamp]]="","",(Table6[[#This Row],[Work Start TimeStamp]]-Table6[[#This Row],[Fault Start TimeStamp]])*24)</f>
        <v>0</v>
      </c>
      <c r="S1481" s="261">
        <f>(Table6[[#This Row],[Fault Clearance time]]-Table6[[#This Row],[Work Start TimeStamp]])*24</f>
        <v>0.28333333333333233</v>
      </c>
      <c r="T1481" s="261">
        <f>(Table6[[#This Row],[Fault Clearance time]]-Table6[[#This Row],[Fault Start TimeStamp]])*24</f>
        <v>0.28333333333333233</v>
      </c>
      <c r="U1481" s="35" t="s">
        <v>575</v>
      </c>
      <c r="V1481" s="102" t="s">
        <v>268</v>
      </c>
      <c r="W1481" s="290">
        <f>IFERROR(Table6[[#This Row],[Breakdown Time]]*Table6[[#This Row],[Plant Equivalent Weightage]],"")</f>
        <v>1.0897435897435855E-2</v>
      </c>
      <c r="X1481" s="262" t="s">
        <v>269</v>
      </c>
      <c r="Y1481" s="263" t="s">
        <v>119</v>
      </c>
      <c r="Z1481" s="102">
        <v>33272</v>
      </c>
      <c r="AA1481" s="257">
        <f>(Table6[[#This Row],[Paired WTG Generation for loss calculation]]/24)*Table6[[#This Row],[Breakdown Time]]</f>
        <v>392.794444444443</v>
      </c>
      <c r="AB1481" s="102"/>
      <c r="AC1481" s="35"/>
      <c r="AD1481" s="35"/>
    </row>
    <row r="1482" spans="1:30">
      <c r="A1482" s="102">
        <f t="shared" si="23"/>
        <v>1481</v>
      </c>
      <c r="B1482" s="257">
        <f>YEAR(Table6[[#This Row],[Date]])+IF(MONTH(Table6[[#This Row],[Date]])&gt;=4,1,0)</f>
        <v>2026</v>
      </c>
      <c r="C1482" s="102">
        <f>YEAR(Table6[[#This Row],[Date]])</f>
        <v>2025</v>
      </c>
      <c r="D1482" s="102" t="s">
        <v>265</v>
      </c>
      <c r="E1482" s="258">
        <f>Table6[[#This Row],[Date]]-DAY(Table6[[#This Row],[Date]])+1</f>
        <v>45839</v>
      </c>
      <c r="F1482" s="259">
        <v>45845</v>
      </c>
      <c r="G1482" s="35" t="s">
        <v>118</v>
      </c>
      <c r="H1482" s="35" t="str">
        <f>IFERROR(_xlfn.XLOOKUP(Table6[[#This Row],[Affected WTG]],'Basic Data'!$A:$A,'Basic Data'!$B:$B),"")</f>
        <v>TQGXIIPL</v>
      </c>
      <c r="I1482" s="35" t="str">
        <f>IFERROR(_xlfn.XLOOKUP(Table6[[#This Row],[Affected WTG]],'Basic Data'!$A:$A,'Basic Data'!$C:$C),"")</f>
        <v>GEDA</v>
      </c>
      <c r="J1482" s="260">
        <f>IFERROR(_xlfn.XLOOKUP(Table6[[#This Row],[Affected WTG]],'Basic Data'!$A:$A,'Basic Data'!$E:$E),"")</f>
        <v>3.846153846153845E-2</v>
      </c>
      <c r="K1482" s="102">
        <v>6130</v>
      </c>
      <c r="L1482" s="35" t="str">
        <f>IFERROR(_xlfn.XLOOKUP(Table6[[#This Row],[Error Code]],'Basic Data'!$AA:$AA,'Basic Data'!$AB:$AB),"Incorrect Error Code")</f>
        <v>Yaw speed high</v>
      </c>
      <c r="M1482" s="35" t="s">
        <v>278</v>
      </c>
      <c r="N1482" s="264"/>
      <c r="O1482" s="265">
        <v>3.4722222222222224E-2</v>
      </c>
      <c r="P1482" s="265">
        <v>3.4722222222222224E-2</v>
      </c>
      <c r="Q1482" s="266">
        <v>3.888888888888889E-2</v>
      </c>
      <c r="R1482" s="261">
        <f>IF(Table6[[#This Row],[Work Start TimeStamp]]="","",(Table6[[#This Row],[Work Start TimeStamp]]-Table6[[#This Row],[Fault Start TimeStamp]])*24)</f>
        <v>0</v>
      </c>
      <c r="S1482" s="261">
        <f>(Table6[[#This Row],[Fault Clearance time]]-Table6[[#This Row],[Work Start TimeStamp]])*24</f>
        <v>9.9999999999999978E-2</v>
      </c>
      <c r="T1482" s="261">
        <f>(Table6[[#This Row],[Fault Clearance time]]-Table6[[#This Row],[Fault Start TimeStamp]])*24</f>
        <v>9.9999999999999978E-2</v>
      </c>
      <c r="U1482" s="35" t="s">
        <v>277</v>
      </c>
      <c r="V1482" s="102" t="s">
        <v>268</v>
      </c>
      <c r="W1482" s="290">
        <f>IFERROR(Table6[[#This Row],[Breakdown Time]]*Table6[[#This Row],[Plant Equivalent Weightage]],"")</f>
        <v>3.8461538461538442E-3</v>
      </c>
      <c r="X1482" s="262" t="s">
        <v>269</v>
      </c>
      <c r="Y1482" s="263" t="s">
        <v>121</v>
      </c>
      <c r="Z1482" s="102">
        <v>32816</v>
      </c>
      <c r="AA1482" s="257">
        <f>(Table6[[#This Row],[Paired WTG Generation for loss calculation]]/24)*Table6[[#This Row],[Breakdown Time]]</f>
        <v>136.73333333333329</v>
      </c>
      <c r="AB1482" s="102"/>
      <c r="AC1482" s="35"/>
      <c r="AD1482" s="35"/>
    </row>
    <row r="1483" spans="1:30">
      <c r="A1483" s="102">
        <f t="shared" si="23"/>
        <v>1482</v>
      </c>
      <c r="B1483" s="257">
        <f>YEAR(Table6[[#This Row],[Date]])+IF(MONTH(Table6[[#This Row],[Date]])&gt;=4,1,0)</f>
        <v>2026</v>
      </c>
      <c r="C1483" s="102">
        <f>YEAR(Table6[[#This Row],[Date]])</f>
        <v>2025</v>
      </c>
      <c r="D1483" s="102" t="s">
        <v>265</v>
      </c>
      <c r="E1483" s="258">
        <f>Table6[[#This Row],[Date]]-DAY(Table6[[#This Row],[Date]])+1</f>
        <v>45839</v>
      </c>
      <c r="F1483" s="259">
        <v>45845</v>
      </c>
      <c r="G1483" s="35" t="s">
        <v>121</v>
      </c>
      <c r="H1483" s="35" t="str">
        <f>IFERROR(_xlfn.XLOOKUP(Table6[[#This Row],[Affected WTG]],'Basic Data'!$A:$A,'Basic Data'!$B:$B),"")</f>
        <v>TQGXIIPL</v>
      </c>
      <c r="I1483" s="35" t="str">
        <f>IFERROR(_xlfn.XLOOKUP(Table6[[#This Row],[Affected WTG]],'Basic Data'!$A:$A,'Basic Data'!$C:$C),"")</f>
        <v>GEDA</v>
      </c>
      <c r="J1483" s="260">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266</v>
      </c>
      <c r="N1483" s="264"/>
      <c r="O1483" s="265">
        <v>0.62430555555555556</v>
      </c>
      <c r="P1483" s="265">
        <v>0.62430555555555556</v>
      </c>
      <c r="Q1483" s="266">
        <v>0.62847222222222221</v>
      </c>
      <c r="R1483" s="261">
        <f>IF(Table6[[#This Row],[Work Start TimeStamp]]="","",(Table6[[#This Row],[Work Start TimeStamp]]-Table6[[#This Row],[Fault Start TimeStamp]])*24)</f>
        <v>0</v>
      </c>
      <c r="S1483" s="261">
        <f>(Table6[[#This Row],[Fault Clearance time]]-Table6[[#This Row],[Work Start TimeStamp]])*24</f>
        <v>9.9999999999999645E-2</v>
      </c>
      <c r="T1483" s="261">
        <f>(Table6[[#This Row],[Fault Clearance time]]-Table6[[#This Row],[Fault Start TimeStamp]])*24</f>
        <v>9.9999999999999645E-2</v>
      </c>
      <c r="U1483" s="35" t="s">
        <v>483</v>
      </c>
      <c r="V1483" s="102" t="s">
        <v>268</v>
      </c>
      <c r="W1483" s="290">
        <f>IFERROR(Table6[[#This Row],[Breakdown Time]]*Table6[[#This Row],[Plant Equivalent Weightage]],"")</f>
        <v>3.8461538461538312E-3</v>
      </c>
      <c r="X1483" s="262" t="s">
        <v>269</v>
      </c>
      <c r="Y1483" s="263" t="s">
        <v>118</v>
      </c>
      <c r="Z1483" s="102">
        <v>33919</v>
      </c>
      <c r="AA1483" s="257">
        <f>(Table6[[#This Row],[Paired WTG Generation for loss calculation]]/24)*Table6[[#This Row],[Breakdown Time]]</f>
        <v>141.32916666666617</v>
      </c>
      <c r="AB1483" s="102"/>
      <c r="AC1483" s="35"/>
      <c r="AD1483" s="35"/>
    </row>
    <row r="1484" spans="1:30">
      <c r="A1484" s="102">
        <f t="shared" si="23"/>
        <v>1483</v>
      </c>
      <c r="B1484" s="257">
        <f>YEAR(Table6[[#This Row],[Date]])+IF(MONTH(Table6[[#This Row],[Date]])&gt;=4,1,0)</f>
        <v>2026</v>
      </c>
      <c r="C1484" s="102">
        <f>YEAR(Table6[[#This Row],[Date]])</f>
        <v>2025</v>
      </c>
      <c r="D1484" s="102" t="s">
        <v>265</v>
      </c>
      <c r="E1484" s="258">
        <f>Table6[[#This Row],[Date]]-DAY(Table6[[#This Row],[Date]])+1</f>
        <v>45839</v>
      </c>
      <c r="F1484" s="259">
        <v>45845</v>
      </c>
      <c r="G1484" s="35" t="s">
        <v>121</v>
      </c>
      <c r="H1484" s="35" t="str">
        <f>IFERROR(_xlfn.XLOOKUP(Table6[[#This Row],[Affected WTG]],'Basic Data'!$A:$A,'Basic Data'!$B:$B),"")</f>
        <v>TQGXIIPL</v>
      </c>
      <c r="I1484" s="35" t="str">
        <f>IFERROR(_xlfn.XLOOKUP(Table6[[#This Row],[Affected WTG]],'Basic Data'!$A:$A,'Basic Data'!$C:$C),"")</f>
        <v>GEDA</v>
      </c>
      <c r="J1484" s="260">
        <f>IFERROR(_xlfn.XLOOKUP(Table6[[#This Row],[Affected WTG]],'Basic Data'!$A:$A,'Basic Data'!$E:$E),"")</f>
        <v>3.846153846153845E-2</v>
      </c>
      <c r="K1484" s="102">
        <v>175</v>
      </c>
      <c r="L1484" s="35" t="str">
        <f>IFERROR(_xlfn.XLOOKUP(Table6[[#This Row],[Error Code]],'Basic Data'!$AA:$AA,'Basic Data'!$AB:$AB),"Incorrect Error Code")</f>
        <v>SLC error</v>
      </c>
      <c r="M1484" s="35" t="s">
        <v>266</v>
      </c>
      <c r="N1484" s="264"/>
      <c r="O1484" s="265">
        <v>0.60902777777777772</v>
      </c>
      <c r="P1484" s="265">
        <v>0.60902777777777772</v>
      </c>
      <c r="Q1484" s="266">
        <v>0.6166666666666667</v>
      </c>
      <c r="R1484" s="261">
        <f>IF(Table6[[#This Row],[Work Start TimeStamp]]="","",(Table6[[#This Row],[Work Start TimeStamp]]-Table6[[#This Row],[Fault Start TimeStamp]])*24)</f>
        <v>0</v>
      </c>
      <c r="S1484" s="261">
        <f>(Table6[[#This Row],[Fault Clearance time]]-Table6[[#This Row],[Work Start TimeStamp]])*24</f>
        <v>0.18333333333333535</v>
      </c>
      <c r="T1484" s="261">
        <f>(Table6[[#This Row],[Fault Clearance time]]-Table6[[#This Row],[Fault Start TimeStamp]])*24</f>
        <v>0.18333333333333535</v>
      </c>
      <c r="U1484" s="35" t="s">
        <v>575</v>
      </c>
      <c r="V1484" s="102" t="s">
        <v>268</v>
      </c>
      <c r="W1484" s="290">
        <f>IFERROR(Table6[[#This Row],[Breakdown Time]]*Table6[[#This Row],[Plant Equivalent Weightage]],"")</f>
        <v>7.0512820512821268E-3</v>
      </c>
      <c r="X1484" s="262" t="s">
        <v>269</v>
      </c>
      <c r="Y1484" s="263" t="s">
        <v>118</v>
      </c>
      <c r="Z1484" s="102">
        <v>33919</v>
      </c>
      <c r="AA1484" s="257">
        <f>(Table6[[#This Row],[Paired WTG Generation for loss calculation]]/24)*Table6[[#This Row],[Breakdown Time]]</f>
        <v>259.10347222222509</v>
      </c>
      <c r="AB1484" s="102"/>
      <c r="AC1484" s="35"/>
      <c r="AD1484" s="35"/>
    </row>
    <row r="1485" spans="1:30">
      <c r="A1485" s="102">
        <f t="shared" si="23"/>
        <v>1484</v>
      </c>
      <c r="B1485" s="257">
        <f>YEAR(Table6[[#This Row],[Date]])+IF(MONTH(Table6[[#This Row],[Date]])&gt;=4,1,0)</f>
        <v>2026</v>
      </c>
      <c r="C1485" s="102">
        <f>YEAR(Table6[[#This Row],[Date]])</f>
        <v>2025</v>
      </c>
      <c r="D1485" s="102" t="s">
        <v>265</v>
      </c>
      <c r="E1485" s="258">
        <f>Table6[[#This Row],[Date]]-DAY(Table6[[#This Row],[Date]])+1</f>
        <v>45839</v>
      </c>
      <c r="F1485" s="259">
        <v>45845</v>
      </c>
      <c r="G1485" s="35" t="s">
        <v>123</v>
      </c>
      <c r="H1485" s="35" t="str">
        <f>IFERROR(_xlfn.XLOOKUP(Table6[[#This Row],[Affected WTG]],'Basic Data'!$A:$A,'Basic Data'!$B:$B),"")</f>
        <v>TQGXIIPL</v>
      </c>
      <c r="I1485" s="35" t="str">
        <f>IFERROR(_xlfn.XLOOKUP(Table6[[#This Row],[Affected WTG]],'Basic Data'!$A:$A,'Basic Data'!$C:$C),"")</f>
        <v>GEDA</v>
      </c>
      <c r="J1485" s="260">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266</v>
      </c>
      <c r="N1485" s="264"/>
      <c r="O1485" s="265">
        <v>0.7319444444444444</v>
      </c>
      <c r="P1485" s="265">
        <v>0.7319444444444444</v>
      </c>
      <c r="Q1485" s="266">
        <v>0.76249999999999996</v>
      </c>
      <c r="R1485" s="261">
        <f>IF(Table6[[#This Row],[Work Start TimeStamp]]="","",(Table6[[#This Row],[Work Start TimeStamp]]-Table6[[#This Row],[Fault Start TimeStamp]])*24)</f>
        <v>0</v>
      </c>
      <c r="S1485" s="261">
        <f>(Table6[[#This Row],[Fault Clearance time]]-Table6[[#This Row],[Work Start TimeStamp]])*24</f>
        <v>0.73333333333333339</v>
      </c>
      <c r="T1485" s="261">
        <f>(Table6[[#This Row],[Fault Clearance time]]-Table6[[#This Row],[Fault Start TimeStamp]])*24</f>
        <v>0.73333333333333339</v>
      </c>
      <c r="U1485" s="35" t="s">
        <v>585</v>
      </c>
      <c r="V1485" s="102" t="s">
        <v>268</v>
      </c>
      <c r="W1485" s="290">
        <f>IFERROR(Table6[[#This Row],[Breakdown Time]]*Table6[[#This Row],[Plant Equivalent Weightage]],"")</f>
        <v>2.8205128205128199E-2</v>
      </c>
      <c r="X1485" s="262" t="s">
        <v>269</v>
      </c>
      <c r="Y1485" s="263" t="s">
        <v>117</v>
      </c>
      <c r="Z1485" s="102">
        <v>32768</v>
      </c>
      <c r="AA1485" s="257">
        <f>(Table6[[#This Row],[Paired WTG Generation for loss calculation]]/24)*Table6[[#This Row],[Breakdown Time]]</f>
        <v>1001.2444444444445</v>
      </c>
      <c r="AB1485" s="102"/>
      <c r="AC1485" s="35"/>
      <c r="AD1485" s="35"/>
    </row>
    <row r="1486" spans="1:30">
      <c r="A1486" s="102">
        <f t="shared" si="23"/>
        <v>1485</v>
      </c>
      <c r="B1486" s="257">
        <f>YEAR(Table6[[#This Row],[Date]])+IF(MONTH(Table6[[#This Row],[Date]])&gt;=4,1,0)</f>
        <v>2026</v>
      </c>
      <c r="C1486" s="102">
        <f>YEAR(Table6[[#This Row],[Date]])</f>
        <v>2025</v>
      </c>
      <c r="D1486" s="102" t="s">
        <v>265</v>
      </c>
      <c r="E1486" s="258">
        <f>Table6[[#This Row],[Date]]-DAY(Table6[[#This Row],[Date]])+1</f>
        <v>45839</v>
      </c>
      <c r="F1486" s="259">
        <v>45845</v>
      </c>
      <c r="G1486" s="35" t="s">
        <v>125</v>
      </c>
      <c r="H1486" s="35" t="str">
        <f>IFERROR(_xlfn.XLOOKUP(Table6[[#This Row],[Affected WTG]],'Basic Data'!$A:$A,'Basic Data'!$B:$B),"")</f>
        <v>TQGXIIPL</v>
      </c>
      <c r="I1486" s="35" t="str">
        <f>IFERROR(_xlfn.XLOOKUP(Table6[[#This Row],[Affected WTG]],'Basic Data'!$A:$A,'Basic Data'!$C:$C),"")</f>
        <v>GEDA</v>
      </c>
      <c r="J1486" s="260">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291</v>
      </c>
      <c r="N1486" s="264"/>
      <c r="O1486" s="265">
        <v>0.7319444444444444</v>
      </c>
      <c r="P1486" s="265">
        <v>0.79166666666666663</v>
      </c>
      <c r="Q1486" s="266">
        <v>1</v>
      </c>
      <c r="R1486" s="261">
        <f>IF(Table6[[#This Row],[Work Start TimeStamp]]="","",(Table6[[#This Row],[Work Start TimeStamp]]-Table6[[#This Row],[Fault Start TimeStamp]])*24)</f>
        <v>1.4333333333333336</v>
      </c>
      <c r="S1486" s="261">
        <f>(Table6[[#This Row],[Fault Clearance time]]-Table6[[#This Row],[Work Start TimeStamp]])*24</f>
        <v>5.0000000000000009</v>
      </c>
      <c r="T1486" s="261">
        <f>(Table6[[#This Row],[Fault Clearance time]]-Table6[[#This Row],[Fault Start TimeStamp]])*24</f>
        <v>6.4333333333333345</v>
      </c>
      <c r="U1486" s="35" t="s">
        <v>586</v>
      </c>
      <c r="V1486" s="102" t="s">
        <v>268</v>
      </c>
      <c r="W1486" s="290">
        <f>IFERROR(Table6[[#This Row],[Breakdown Time]]*Table6[[#This Row],[Plant Equivalent Weightage]],"")</f>
        <v>0.24743589743589742</v>
      </c>
      <c r="X1486" s="262" t="s">
        <v>296</v>
      </c>
      <c r="Y1486" s="263" t="s">
        <v>127</v>
      </c>
      <c r="Z1486" s="102">
        <v>36860</v>
      </c>
      <c r="AA1486" s="257">
        <f>(Table6[[#This Row],[Paired WTG Generation for loss calculation]]/24)*Table6[[#This Row],[Breakdown Time]]</f>
        <v>9880.5277777777792</v>
      </c>
      <c r="AB1486" s="102"/>
      <c r="AC1486" s="35"/>
      <c r="AD1486" s="35"/>
    </row>
    <row r="1487" spans="1:30">
      <c r="A1487" s="102">
        <f t="shared" ref="A1487:A1550" si="24">A1486+1</f>
        <v>1486</v>
      </c>
      <c r="B1487" s="257">
        <f>YEAR(Table6[[#This Row],[Date]])+IF(MONTH(Table6[[#This Row],[Date]])&gt;=4,1,0)</f>
        <v>2026</v>
      </c>
      <c r="C1487" s="102">
        <f>YEAR(Table6[[#This Row],[Date]])</f>
        <v>2025</v>
      </c>
      <c r="D1487" s="102" t="s">
        <v>265</v>
      </c>
      <c r="E1487" s="258">
        <f>Table6[[#This Row],[Date]]-DAY(Table6[[#This Row],[Date]])+1</f>
        <v>45839</v>
      </c>
      <c r="F1487" s="259">
        <v>45845</v>
      </c>
      <c r="G1487" s="35" t="s">
        <v>126</v>
      </c>
      <c r="H1487" s="35" t="str">
        <f>IFERROR(_xlfn.XLOOKUP(Table6[[#This Row],[Affected WTG]],'Basic Data'!$A:$A,'Basic Data'!$B:$B),"")</f>
        <v>TQGXIIPL</v>
      </c>
      <c r="I1487" s="35" t="str">
        <f>IFERROR(_xlfn.XLOOKUP(Table6[[#This Row],[Affected WTG]],'Basic Data'!$A:$A,'Basic Data'!$C:$C),"")</f>
        <v>GEDA</v>
      </c>
      <c r="J1487" s="260">
        <f>IFERROR(_xlfn.XLOOKUP(Table6[[#This Row],[Affected WTG]],'Basic Data'!$A:$A,'Basic Data'!$E:$E),"")</f>
        <v>3.846153846153845E-2</v>
      </c>
      <c r="K1487" s="102">
        <v>55</v>
      </c>
      <c r="L1487" s="35" t="str">
        <f>IFERROR(_xlfn.XLOOKUP(Table6[[#This Row],[Error Code]],'Basic Data'!$AA:$AA,'Basic Data'!$AB:$AB),"Incorrect Error Code")</f>
        <v>WTG shut down</v>
      </c>
      <c r="M1487" s="35" t="s">
        <v>291</v>
      </c>
      <c r="N1487" s="264"/>
      <c r="O1487" s="265">
        <v>0</v>
      </c>
      <c r="P1487" s="265">
        <v>0</v>
      </c>
      <c r="Q1487" s="266">
        <v>0.67361111111111116</v>
      </c>
      <c r="R1487" s="261">
        <f>IF(Table6[[#This Row],[Work Start TimeStamp]]="","",(Table6[[#This Row],[Work Start TimeStamp]]-Table6[[#This Row],[Fault Start TimeStamp]])*24)</f>
        <v>0</v>
      </c>
      <c r="S1487" s="261">
        <f>(Table6[[#This Row],[Fault Clearance time]]-Table6[[#This Row],[Work Start TimeStamp]])*24</f>
        <v>16.166666666666668</v>
      </c>
      <c r="T1487" s="261">
        <f>(Table6[[#This Row],[Fault Clearance time]]-Table6[[#This Row],[Fault Start TimeStamp]])*24</f>
        <v>16.166666666666668</v>
      </c>
      <c r="U1487" s="35" t="s">
        <v>587</v>
      </c>
      <c r="V1487" s="102" t="s">
        <v>268</v>
      </c>
      <c r="W1487" s="290">
        <f>IFERROR(Table6[[#This Row],[Breakdown Time]]*Table6[[#This Row],[Plant Equivalent Weightage]],"")</f>
        <v>0.6217948717948717</v>
      </c>
      <c r="X1487" s="262" t="s">
        <v>296</v>
      </c>
      <c r="Y1487" s="263" t="s">
        <v>128</v>
      </c>
      <c r="Z1487" s="102">
        <v>33429</v>
      </c>
      <c r="AA1487" s="257">
        <f>(Table6[[#This Row],[Paired WTG Generation for loss calculation]]/24)*Table6[[#This Row],[Breakdown Time]]</f>
        <v>22518.145833333336</v>
      </c>
      <c r="AB1487" s="102"/>
      <c r="AC1487" s="35"/>
      <c r="AD1487" s="35"/>
    </row>
    <row r="1488" spans="1:30">
      <c r="A1488" s="102">
        <f t="shared" si="24"/>
        <v>1487</v>
      </c>
      <c r="B1488" s="257">
        <f>YEAR(Table6[[#This Row],[Date]])+IF(MONTH(Table6[[#This Row],[Date]])&gt;=4,1,0)</f>
        <v>2026</v>
      </c>
      <c r="C1488" s="102">
        <f>YEAR(Table6[[#This Row],[Date]])</f>
        <v>2025</v>
      </c>
      <c r="D1488" s="102" t="s">
        <v>265</v>
      </c>
      <c r="E1488" s="258">
        <f>Table6[[#This Row],[Date]]-DAY(Table6[[#This Row],[Date]])+1</f>
        <v>45839</v>
      </c>
      <c r="F1488" s="259">
        <v>45845</v>
      </c>
      <c r="G1488" s="35" t="s">
        <v>126</v>
      </c>
      <c r="H1488" s="35" t="str">
        <f>IFERROR(_xlfn.XLOOKUP(Table6[[#This Row],[Affected WTG]],'Basic Data'!$A:$A,'Basic Data'!$B:$B),"")</f>
        <v>TQGXIIPL</v>
      </c>
      <c r="I1488" s="35" t="str">
        <f>IFERROR(_xlfn.XLOOKUP(Table6[[#This Row],[Affected WTG]],'Basic Data'!$A:$A,'Basic Data'!$C:$C),"")</f>
        <v>GEDA</v>
      </c>
      <c r="J1488" s="260">
        <f>IFERROR(_xlfn.XLOOKUP(Table6[[#This Row],[Affected WTG]],'Basic Data'!$A:$A,'Basic Data'!$E:$E),"")</f>
        <v>3.846153846153845E-2</v>
      </c>
      <c r="K1488" s="102">
        <v>55</v>
      </c>
      <c r="L1488" s="35" t="str">
        <f>IFERROR(_xlfn.XLOOKUP(Table6[[#This Row],[Error Code]],'Basic Data'!$AA:$AA,'Basic Data'!$AB:$AB),"Incorrect Error Code")</f>
        <v>WTG shut down</v>
      </c>
      <c r="M1488" s="35" t="s">
        <v>291</v>
      </c>
      <c r="N1488" s="264"/>
      <c r="O1488" s="265">
        <v>0.67361111111111116</v>
      </c>
      <c r="P1488" s="265">
        <v>0.67361111111111116</v>
      </c>
      <c r="Q1488" s="266">
        <v>0.71319444444444446</v>
      </c>
      <c r="R1488" s="261">
        <f>IF(Table6[[#This Row],[Work Start TimeStamp]]="","",(Table6[[#This Row],[Work Start TimeStamp]]-Table6[[#This Row],[Fault Start TimeStamp]])*24)</f>
        <v>0</v>
      </c>
      <c r="S1488" s="261">
        <f>(Table6[[#This Row],[Fault Clearance time]]-Table6[[#This Row],[Work Start TimeStamp]])*24</f>
        <v>0.94999999999999929</v>
      </c>
      <c r="T1488" s="261">
        <f>(Table6[[#This Row],[Fault Clearance time]]-Table6[[#This Row],[Fault Start TimeStamp]])*24</f>
        <v>0.94999999999999929</v>
      </c>
      <c r="U1488" s="35" t="s">
        <v>588</v>
      </c>
      <c r="V1488" s="102" t="s">
        <v>268</v>
      </c>
      <c r="W1488" s="290">
        <f>IFERROR(Table6[[#This Row],[Breakdown Time]]*Table6[[#This Row],[Plant Equivalent Weightage]],"")</f>
        <v>3.6538461538461499E-2</v>
      </c>
      <c r="X1488" s="262" t="s">
        <v>296</v>
      </c>
      <c r="Y1488" s="263" t="s">
        <v>128</v>
      </c>
      <c r="Z1488" s="102">
        <v>33429</v>
      </c>
      <c r="AA1488" s="257">
        <f>(Table6[[#This Row],[Paired WTG Generation for loss calculation]]/24)*Table6[[#This Row],[Breakdown Time]]</f>
        <v>1323.2312499999989</v>
      </c>
      <c r="AB1488" s="102"/>
      <c r="AC1488" s="35"/>
      <c r="AD1488" s="35"/>
    </row>
    <row r="1489" spans="1:30">
      <c r="A1489" s="102">
        <f t="shared" si="24"/>
        <v>1488</v>
      </c>
      <c r="B1489" s="257">
        <f>YEAR(Table6[[#This Row],[Date]])+IF(MONTH(Table6[[#This Row],[Date]])&gt;=4,1,0)</f>
        <v>2026</v>
      </c>
      <c r="C1489" s="102">
        <f>YEAR(Table6[[#This Row],[Date]])</f>
        <v>2025</v>
      </c>
      <c r="D1489" s="102" t="s">
        <v>265</v>
      </c>
      <c r="E1489" s="258">
        <f>Table6[[#This Row],[Date]]-DAY(Table6[[#This Row],[Date]])+1</f>
        <v>45839</v>
      </c>
      <c r="F1489" s="259">
        <v>45845</v>
      </c>
      <c r="G1489" s="35" t="s">
        <v>126</v>
      </c>
      <c r="H1489" s="35" t="str">
        <f>IFERROR(_xlfn.XLOOKUP(Table6[[#This Row],[Affected WTG]],'Basic Data'!$A:$A,'Basic Data'!$B:$B),"")</f>
        <v>TQGXIIPL</v>
      </c>
      <c r="I1489" s="35" t="str">
        <f>IFERROR(_xlfn.XLOOKUP(Table6[[#This Row],[Affected WTG]],'Basic Data'!$A:$A,'Basic Data'!$C:$C),"")</f>
        <v>GEDA</v>
      </c>
      <c r="J1489" s="260">
        <f>IFERROR(_xlfn.XLOOKUP(Table6[[#This Row],[Affected WTG]],'Basic Data'!$A:$A,'Basic Data'!$E:$E),"")</f>
        <v>3.846153846153845E-2</v>
      </c>
      <c r="K1489" s="102">
        <v>55</v>
      </c>
      <c r="L1489" s="35" t="str">
        <f>IFERROR(_xlfn.XLOOKUP(Table6[[#This Row],[Error Code]],'Basic Data'!$AA:$AA,'Basic Data'!$AB:$AB),"Incorrect Error Code")</f>
        <v>WTG shut down</v>
      </c>
      <c r="M1489" s="35" t="s">
        <v>291</v>
      </c>
      <c r="N1489" s="264"/>
      <c r="O1489" s="265">
        <v>0.7319444444444444</v>
      </c>
      <c r="P1489" s="265">
        <v>0.7319444444444444</v>
      </c>
      <c r="Q1489" s="266">
        <v>0.80694444444444446</v>
      </c>
      <c r="R1489" s="261">
        <f>IF(Table6[[#This Row],[Work Start TimeStamp]]="","",(Table6[[#This Row],[Work Start TimeStamp]]-Table6[[#This Row],[Fault Start TimeStamp]])*24)</f>
        <v>0</v>
      </c>
      <c r="S1489" s="261">
        <f>(Table6[[#This Row],[Fault Clearance time]]-Table6[[#This Row],[Work Start TimeStamp]])*24</f>
        <v>1.8000000000000016</v>
      </c>
      <c r="T1489" s="261">
        <f>(Table6[[#This Row],[Fault Clearance time]]-Table6[[#This Row],[Fault Start TimeStamp]])*24</f>
        <v>1.8000000000000016</v>
      </c>
      <c r="U1489" s="35" t="s">
        <v>587</v>
      </c>
      <c r="V1489" s="102" t="s">
        <v>268</v>
      </c>
      <c r="W1489" s="290">
        <f>IFERROR(Table6[[#This Row],[Breakdown Time]]*Table6[[#This Row],[Plant Equivalent Weightage]],"")</f>
        <v>6.9230769230769276E-2</v>
      </c>
      <c r="X1489" s="262" t="s">
        <v>296</v>
      </c>
      <c r="Y1489" s="263" t="s">
        <v>128</v>
      </c>
      <c r="Z1489" s="102">
        <v>33429</v>
      </c>
      <c r="AA1489" s="257">
        <f>(Table6[[#This Row],[Paired WTG Generation for loss calculation]]/24)*Table6[[#This Row],[Breakdown Time]]</f>
        <v>2507.175000000002</v>
      </c>
      <c r="AB1489" s="102"/>
      <c r="AC1489" s="35"/>
      <c r="AD1489" s="35"/>
    </row>
    <row r="1490" spans="1:30">
      <c r="A1490" s="102">
        <f t="shared" si="24"/>
        <v>1489</v>
      </c>
      <c r="B1490" s="257">
        <f>YEAR(Table6[[#This Row],[Date]])+IF(MONTH(Table6[[#This Row],[Date]])&gt;=4,1,0)</f>
        <v>2026</v>
      </c>
      <c r="C1490" s="102">
        <f>YEAR(Table6[[#This Row],[Date]])</f>
        <v>2025</v>
      </c>
      <c r="D1490" s="102" t="s">
        <v>265</v>
      </c>
      <c r="E1490" s="258">
        <f>Table6[[#This Row],[Date]]-DAY(Table6[[#This Row],[Date]])+1</f>
        <v>45839</v>
      </c>
      <c r="F1490" s="259">
        <v>45845</v>
      </c>
      <c r="G1490" s="35" t="s">
        <v>128</v>
      </c>
      <c r="H1490" s="35" t="str">
        <f>IFERROR(_xlfn.XLOOKUP(Table6[[#This Row],[Affected WTG]],'Basic Data'!$A:$A,'Basic Data'!$B:$B),"")</f>
        <v>TQGXIIPL</v>
      </c>
      <c r="I1490" s="35" t="str">
        <f>IFERROR(_xlfn.XLOOKUP(Table6[[#This Row],[Affected WTG]],'Basic Data'!$A:$A,'Basic Data'!$C:$C),"")</f>
        <v>GEDA</v>
      </c>
      <c r="J1490" s="260">
        <f>IFERROR(_xlfn.XLOOKUP(Table6[[#This Row],[Affected WTG]],'Basic Data'!$A:$A,'Basic Data'!$E:$E),"")</f>
        <v>3.846153846153845E-2</v>
      </c>
      <c r="K1490" s="102">
        <v>6130</v>
      </c>
      <c r="L1490" s="35" t="str">
        <f>IFERROR(_xlfn.XLOOKUP(Table6[[#This Row],[Error Code]],'Basic Data'!$AA:$AA,'Basic Data'!$AB:$AB),"Incorrect Error Code")</f>
        <v>Yaw speed high</v>
      </c>
      <c r="M1490" s="35" t="s">
        <v>266</v>
      </c>
      <c r="N1490" s="264"/>
      <c r="O1490" s="265">
        <v>0.35</v>
      </c>
      <c r="P1490" s="265">
        <v>0.35</v>
      </c>
      <c r="Q1490" s="266">
        <v>0.35347222222222224</v>
      </c>
      <c r="R1490" s="261">
        <f>IF(Table6[[#This Row],[Work Start TimeStamp]]="","",(Table6[[#This Row],[Work Start TimeStamp]]-Table6[[#This Row],[Fault Start TimeStamp]])*24)</f>
        <v>0</v>
      </c>
      <c r="S1490" s="261">
        <f>(Table6[[#This Row],[Fault Clearance time]]-Table6[[#This Row],[Work Start TimeStamp]])*24</f>
        <v>8.333333333333437E-2</v>
      </c>
      <c r="T1490" s="261">
        <f>(Table6[[#This Row],[Fault Clearance time]]-Table6[[#This Row],[Fault Start TimeStamp]])*24</f>
        <v>8.333333333333437E-2</v>
      </c>
      <c r="U1490" s="35" t="s">
        <v>483</v>
      </c>
      <c r="V1490" s="102" t="s">
        <v>268</v>
      </c>
      <c r="W1490" s="290">
        <f>IFERROR(Table6[[#This Row],[Breakdown Time]]*Table6[[#This Row],[Plant Equivalent Weightage]],"")</f>
        <v>3.205128205128244E-3</v>
      </c>
      <c r="X1490" s="262" t="s">
        <v>269</v>
      </c>
      <c r="Y1490" s="263" t="s">
        <v>126</v>
      </c>
      <c r="Z1490" s="102">
        <v>4654</v>
      </c>
      <c r="AA1490" s="257">
        <f>(Table6[[#This Row],[Paired WTG Generation for loss calculation]]/24)*Table6[[#This Row],[Breakdown Time]]</f>
        <v>16.159722222222424</v>
      </c>
      <c r="AB1490" s="102"/>
      <c r="AC1490" s="35"/>
      <c r="AD1490" s="35"/>
    </row>
    <row r="1491" spans="1:30">
      <c r="A1491" s="102">
        <f t="shared" si="24"/>
        <v>1490</v>
      </c>
      <c r="B1491" s="257">
        <f>YEAR(Table6[[#This Row],[Date]])+IF(MONTH(Table6[[#This Row],[Date]])&gt;=4,1,0)</f>
        <v>2026</v>
      </c>
      <c r="C1491" s="102">
        <f>YEAR(Table6[[#This Row],[Date]])</f>
        <v>2025</v>
      </c>
      <c r="D1491" s="102" t="s">
        <v>265</v>
      </c>
      <c r="E1491" s="258">
        <f>Table6[[#This Row],[Date]]-DAY(Table6[[#This Row],[Date]])+1</f>
        <v>45839</v>
      </c>
      <c r="F1491" s="259">
        <v>45845</v>
      </c>
      <c r="G1491" s="35" t="s">
        <v>128</v>
      </c>
      <c r="H1491" s="35" t="str">
        <f>IFERROR(_xlfn.XLOOKUP(Table6[[#This Row],[Affected WTG]],'Basic Data'!$A:$A,'Basic Data'!$B:$B),"")</f>
        <v>TQGXIIPL</v>
      </c>
      <c r="I1491" s="35" t="str">
        <f>IFERROR(_xlfn.XLOOKUP(Table6[[#This Row],[Affected WTG]],'Basic Data'!$A:$A,'Basic Data'!$C:$C),"")</f>
        <v>GEDA</v>
      </c>
      <c r="J1491" s="260">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266</v>
      </c>
      <c r="N1491" s="264"/>
      <c r="O1491" s="265">
        <v>0.6118055555555556</v>
      </c>
      <c r="P1491" s="265">
        <v>0.6118055555555556</v>
      </c>
      <c r="Q1491" s="266">
        <v>0.61736111111111114</v>
      </c>
      <c r="R1491" s="261">
        <f>IF(Table6[[#This Row],[Work Start TimeStamp]]="","",(Table6[[#This Row],[Work Start TimeStamp]]-Table6[[#This Row],[Fault Start TimeStamp]])*24)</f>
        <v>0</v>
      </c>
      <c r="S1491" s="261">
        <f>(Table6[[#This Row],[Fault Clearance time]]-Table6[[#This Row],[Work Start TimeStamp]])*24</f>
        <v>0.13333333333333286</v>
      </c>
      <c r="T1491" s="261">
        <f>(Table6[[#This Row],[Fault Clearance time]]-Table6[[#This Row],[Fault Start TimeStamp]])*24</f>
        <v>0.13333333333333286</v>
      </c>
      <c r="U1491" s="35" t="s">
        <v>483</v>
      </c>
      <c r="V1491" s="102" t="s">
        <v>268</v>
      </c>
      <c r="W1491" s="290">
        <f>IFERROR(Table6[[#This Row],[Breakdown Time]]*Table6[[#This Row],[Plant Equivalent Weightage]],"")</f>
        <v>5.1282051282051083E-3</v>
      </c>
      <c r="X1491" s="262" t="s">
        <v>269</v>
      </c>
      <c r="Y1491" s="263" t="s">
        <v>126</v>
      </c>
      <c r="Z1491" s="102">
        <v>4654</v>
      </c>
      <c r="AA1491" s="257">
        <f>(Table6[[#This Row],[Paired WTG Generation for loss calculation]]/24)*Table6[[#This Row],[Breakdown Time]]</f>
        <v>25.855555555555462</v>
      </c>
      <c r="AB1491" s="102"/>
      <c r="AC1491" s="35"/>
      <c r="AD1491" s="35"/>
    </row>
    <row r="1492" spans="1:30">
      <c r="A1492" s="102">
        <f t="shared" si="24"/>
        <v>1491</v>
      </c>
      <c r="B1492" s="257">
        <f>YEAR(Table6[[#This Row],[Date]])+IF(MONTH(Table6[[#This Row],[Date]])&gt;=4,1,0)</f>
        <v>2026</v>
      </c>
      <c r="C1492" s="102">
        <f>YEAR(Table6[[#This Row],[Date]])</f>
        <v>2025</v>
      </c>
      <c r="D1492" s="102" t="s">
        <v>265</v>
      </c>
      <c r="E1492" s="258">
        <f>Table6[[#This Row],[Date]]-DAY(Table6[[#This Row],[Date]])+1</f>
        <v>45839</v>
      </c>
      <c r="F1492" s="259">
        <v>45845</v>
      </c>
      <c r="G1492" s="35" t="s">
        <v>128</v>
      </c>
      <c r="H1492" s="35" t="str">
        <f>IFERROR(_xlfn.XLOOKUP(Table6[[#This Row],[Affected WTG]],'Basic Data'!$A:$A,'Basic Data'!$B:$B),"")</f>
        <v>TQGXIIPL</v>
      </c>
      <c r="I1492" s="35" t="str">
        <f>IFERROR(_xlfn.XLOOKUP(Table6[[#This Row],[Affected WTG]],'Basic Data'!$A:$A,'Basic Data'!$C:$C),"")</f>
        <v>GEDA</v>
      </c>
      <c r="J1492" s="260">
        <f>IFERROR(_xlfn.XLOOKUP(Table6[[#This Row],[Affected WTG]],'Basic Data'!$A:$A,'Basic Data'!$E:$E),"")</f>
        <v>3.846153846153845E-2</v>
      </c>
      <c r="K1492" s="102">
        <v>170</v>
      </c>
      <c r="L1492" s="35" t="str">
        <f>IFERROR(_xlfn.XLOOKUP(Table6[[#This Row],[Error Code]],'Basic Data'!$AA:$AA,'Basic Data'!$AB:$AB),"Incorrect Error Code")</f>
        <v>SLC MF brake request HC</v>
      </c>
      <c r="M1492" s="35" t="s">
        <v>266</v>
      </c>
      <c r="N1492" s="264"/>
      <c r="O1492" s="265">
        <v>0.7319444444444444</v>
      </c>
      <c r="P1492" s="265">
        <v>0.7319444444444444</v>
      </c>
      <c r="Q1492" s="266">
        <v>0.74444444444444446</v>
      </c>
      <c r="R1492" s="261">
        <f>IF(Table6[[#This Row],[Work Start TimeStamp]]="","",(Table6[[#This Row],[Work Start TimeStamp]]-Table6[[#This Row],[Fault Start TimeStamp]])*24)</f>
        <v>0</v>
      </c>
      <c r="S1492" s="261">
        <f>(Table6[[#This Row],[Fault Clearance time]]-Table6[[#This Row],[Work Start TimeStamp]])*24</f>
        <v>0.3000000000000016</v>
      </c>
      <c r="T1492" s="261">
        <f>(Table6[[#This Row],[Fault Clearance time]]-Table6[[#This Row],[Fault Start TimeStamp]])*24</f>
        <v>0.3000000000000016</v>
      </c>
      <c r="U1492" s="35" t="s">
        <v>575</v>
      </c>
      <c r="V1492" s="102" t="s">
        <v>268</v>
      </c>
      <c r="W1492" s="290">
        <f>IFERROR(Table6[[#This Row],[Breakdown Time]]*Table6[[#This Row],[Plant Equivalent Weightage]],"")</f>
        <v>1.1538461538461596E-2</v>
      </c>
      <c r="X1492" s="262" t="s">
        <v>269</v>
      </c>
      <c r="Y1492" s="263" t="s">
        <v>126</v>
      </c>
      <c r="Z1492" s="102">
        <v>4654</v>
      </c>
      <c r="AA1492" s="257">
        <f>(Table6[[#This Row],[Paired WTG Generation for loss calculation]]/24)*Table6[[#This Row],[Breakdown Time]]</f>
        <v>58.17500000000031</v>
      </c>
      <c r="AB1492" s="102"/>
      <c r="AC1492" s="35"/>
      <c r="AD1492" s="35"/>
    </row>
    <row r="1493" spans="1:30">
      <c r="A1493" s="102">
        <f t="shared" si="24"/>
        <v>1492</v>
      </c>
      <c r="B1493" s="257">
        <f>YEAR(Table6[[#This Row],[Date]])+IF(MONTH(Table6[[#This Row],[Date]])&gt;=4,1,0)</f>
        <v>2026</v>
      </c>
      <c r="C1493" s="102">
        <f>YEAR(Table6[[#This Row],[Date]])</f>
        <v>2025</v>
      </c>
      <c r="D1493" s="102" t="s">
        <v>265</v>
      </c>
      <c r="E1493" s="258">
        <f>Table6[[#This Row],[Date]]-DAY(Table6[[#This Row],[Date]])+1</f>
        <v>45839</v>
      </c>
      <c r="F1493" s="259">
        <v>45845</v>
      </c>
      <c r="G1493" s="35" t="s">
        <v>134</v>
      </c>
      <c r="H1493" s="35" t="str">
        <f>IFERROR(_xlfn.XLOOKUP(Table6[[#This Row],[Affected WTG]],'Basic Data'!$A:$A,'Basic Data'!$B:$B),"")</f>
        <v>TQGXIIPL</v>
      </c>
      <c r="I1493" s="35" t="str">
        <f>IFERROR(_xlfn.XLOOKUP(Table6[[#This Row],[Affected WTG]],'Basic Data'!$A:$A,'Basic Data'!$C:$C),"")</f>
        <v>GEDA</v>
      </c>
      <c r="J1493" s="260">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291</v>
      </c>
      <c r="N1493" s="264"/>
      <c r="O1493" s="265">
        <v>0</v>
      </c>
      <c r="P1493" s="265">
        <v>0</v>
      </c>
      <c r="Q1493" s="266">
        <v>0.99930555555555556</v>
      </c>
      <c r="R1493" s="261">
        <f>IF(Table6[[#This Row],[Work Start TimeStamp]]="","",(Table6[[#This Row],[Work Start TimeStamp]]-Table6[[#This Row],[Fault Start TimeStamp]])*24)</f>
        <v>0</v>
      </c>
      <c r="S1493" s="261">
        <f>(Table6[[#This Row],[Fault Clearance time]]-Table6[[#This Row],[Work Start TimeStamp]])*24</f>
        <v>23.983333333333334</v>
      </c>
      <c r="T1493" s="261">
        <f>(Table6[[#This Row],[Fault Clearance time]]-Table6[[#This Row],[Fault Start TimeStamp]])*24</f>
        <v>23.983333333333334</v>
      </c>
      <c r="U1493" s="35" t="s">
        <v>582</v>
      </c>
      <c r="V1493" s="102" t="s">
        <v>549</v>
      </c>
      <c r="W1493" s="290">
        <f>IFERROR(Table6[[#This Row],[Breakdown Time]]*Table6[[#This Row],[Plant Equivalent Weightage]],"")</f>
        <v>0.92243589743589716</v>
      </c>
      <c r="X1493" s="262" t="s">
        <v>296</v>
      </c>
      <c r="Y1493" s="263" t="s">
        <v>138</v>
      </c>
      <c r="Z1493" s="102">
        <v>38504</v>
      </c>
      <c r="AA1493" s="257">
        <f>(Table6[[#This Row],[Paired WTG Generation for loss calculation]]/24)*Table6[[#This Row],[Breakdown Time]]</f>
        <v>38477.261111111111</v>
      </c>
      <c r="AB1493" s="102"/>
      <c r="AC1493" s="35"/>
      <c r="AD1493" s="35"/>
    </row>
    <row r="1494" spans="1:30">
      <c r="A1494" s="102">
        <f t="shared" si="24"/>
        <v>1493</v>
      </c>
      <c r="B1494" s="257">
        <f>YEAR(Table6[[#This Row],[Date]])+IF(MONTH(Table6[[#This Row],[Date]])&gt;=4,1,0)</f>
        <v>2026</v>
      </c>
      <c r="C1494" s="102">
        <f>YEAR(Table6[[#This Row],[Date]])</f>
        <v>2025</v>
      </c>
      <c r="D1494" s="102" t="s">
        <v>265</v>
      </c>
      <c r="E1494" s="258">
        <f>Table6[[#This Row],[Date]]-DAY(Table6[[#This Row],[Date]])+1</f>
        <v>45839</v>
      </c>
      <c r="F1494" s="259">
        <v>45846</v>
      </c>
      <c r="G1494" s="35" t="s">
        <v>119</v>
      </c>
      <c r="H1494" s="35" t="str">
        <f>IFERROR(_xlfn.XLOOKUP(Table6[[#This Row],[Affected WTG]],'Basic Data'!$A:$A,'Basic Data'!$B:$B),"")</f>
        <v>TQGXIIPL</v>
      </c>
      <c r="I1494" s="35" t="str">
        <f>IFERROR(_xlfn.XLOOKUP(Table6[[#This Row],[Affected WTG]],'Basic Data'!$A:$A,'Basic Data'!$C:$C),"")</f>
        <v>GEDA</v>
      </c>
      <c r="J1494" s="260">
        <f>IFERROR(_xlfn.XLOOKUP(Table6[[#This Row],[Affected WTG]],'Basic Data'!$A:$A,'Basic Data'!$E:$E),"")</f>
        <v>3.846153846153845E-2</v>
      </c>
      <c r="K1494" s="102">
        <v>6605</v>
      </c>
      <c r="L1494" s="35" t="str">
        <f>IFERROR(_xlfn.XLOOKUP(Table6[[#This Row],[Error Code]],'Basic Data'!$AA:$AA,'Basic Data'!$AB:$AB),"Incorrect Error Code")</f>
        <v>Wind.dir. diff. level 2</v>
      </c>
      <c r="M1494" s="35" t="s">
        <v>266</v>
      </c>
      <c r="N1494" s="264"/>
      <c r="O1494" s="265">
        <v>0.60347222222222219</v>
      </c>
      <c r="P1494" s="265">
        <v>0.60347222222222219</v>
      </c>
      <c r="Q1494" s="266">
        <v>0.60624999999999996</v>
      </c>
      <c r="R1494" s="261">
        <f>IF(Table6[[#This Row],[Work Start TimeStamp]]="","",(Table6[[#This Row],[Work Start TimeStamp]]-Table6[[#This Row],[Fault Start TimeStamp]])*24)</f>
        <v>0</v>
      </c>
      <c r="S1494" s="261">
        <f>(Table6[[#This Row],[Fault Clearance time]]-Table6[[#This Row],[Work Start TimeStamp]])*24</f>
        <v>6.666666666666643E-2</v>
      </c>
      <c r="T1494" s="261">
        <f>(Table6[[#This Row],[Fault Clearance time]]-Table6[[#This Row],[Fault Start TimeStamp]])*24</f>
        <v>6.666666666666643E-2</v>
      </c>
      <c r="U1494" s="35" t="s">
        <v>483</v>
      </c>
      <c r="V1494" s="102" t="s">
        <v>268</v>
      </c>
      <c r="W1494" s="290">
        <f>IFERROR(Table6[[#This Row],[Breakdown Time]]*Table6[[#This Row],[Plant Equivalent Weightage]],"")</f>
        <v>2.5641025641025541E-3</v>
      </c>
      <c r="X1494" s="262" t="s">
        <v>269</v>
      </c>
      <c r="Y1494" s="263" t="s">
        <v>116</v>
      </c>
      <c r="Z1494" s="102">
        <v>25412</v>
      </c>
      <c r="AA1494" s="257">
        <f>(Table6[[#This Row],[Paired WTG Generation for loss calculation]]/24)*Table6[[#This Row],[Breakdown Time]]</f>
        <v>70.588888888888633</v>
      </c>
      <c r="AB1494" s="102"/>
      <c r="AC1494" s="35"/>
      <c r="AD1494" s="35"/>
    </row>
    <row r="1495" spans="1:30">
      <c r="A1495" s="102">
        <f t="shared" si="24"/>
        <v>1494</v>
      </c>
      <c r="B1495" s="257">
        <f>YEAR(Table6[[#This Row],[Date]])+IF(MONTH(Table6[[#This Row],[Date]])&gt;=4,1,0)</f>
        <v>2026</v>
      </c>
      <c r="C1495" s="102">
        <f>YEAR(Table6[[#This Row],[Date]])</f>
        <v>2025</v>
      </c>
      <c r="D1495" s="102" t="s">
        <v>265</v>
      </c>
      <c r="E1495" s="258">
        <f>Table6[[#This Row],[Date]]-DAY(Table6[[#This Row],[Date]])+1</f>
        <v>45839</v>
      </c>
      <c r="F1495" s="259">
        <v>45846</v>
      </c>
      <c r="G1495" s="35" t="s">
        <v>119</v>
      </c>
      <c r="H1495" s="35" t="str">
        <f>IFERROR(_xlfn.XLOOKUP(Table6[[#This Row],[Affected WTG]],'Basic Data'!$A:$A,'Basic Data'!$B:$B),"")</f>
        <v>TQGXIIPL</v>
      </c>
      <c r="I1495" s="35" t="str">
        <f>IFERROR(_xlfn.XLOOKUP(Table6[[#This Row],[Affected WTG]],'Basic Data'!$A:$A,'Basic Data'!$C:$C),"")</f>
        <v>GEDA</v>
      </c>
      <c r="J1495" s="260">
        <f>IFERROR(_xlfn.XLOOKUP(Table6[[#This Row],[Affected WTG]],'Basic Data'!$A:$A,'Basic Data'!$E:$E),"")</f>
        <v>3.846153846153845E-2</v>
      </c>
      <c r="K1495" s="102">
        <v>6130</v>
      </c>
      <c r="L1495" s="35" t="str">
        <f>IFERROR(_xlfn.XLOOKUP(Table6[[#This Row],[Error Code]],'Basic Data'!$AA:$AA,'Basic Data'!$AB:$AB),"Incorrect Error Code")</f>
        <v>Yaw speed high</v>
      </c>
      <c r="M1495" s="35" t="s">
        <v>278</v>
      </c>
      <c r="N1495" s="264"/>
      <c r="O1495" s="265">
        <v>0.64930555555555558</v>
      </c>
      <c r="P1495" s="265">
        <v>0.64930555555555558</v>
      </c>
      <c r="Q1495" s="266">
        <v>0.65347222222222223</v>
      </c>
      <c r="R1495" s="261">
        <f>IF(Table6[[#This Row],[Work Start TimeStamp]]="","",(Table6[[#This Row],[Work Start TimeStamp]]-Table6[[#This Row],[Fault Start TimeStamp]])*24)</f>
        <v>0</v>
      </c>
      <c r="S1495" s="261">
        <f>(Table6[[#This Row],[Fault Clearance time]]-Table6[[#This Row],[Work Start TimeStamp]])*24</f>
        <v>9.9999999999999645E-2</v>
      </c>
      <c r="T1495" s="261">
        <f>(Table6[[#This Row],[Fault Clearance time]]-Table6[[#This Row],[Fault Start TimeStamp]])*24</f>
        <v>9.9999999999999645E-2</v>
      </c>
      <c r="U1495" s="35" t="s">
        <v>277</v>
      </c>
      <c r="V1495" s="102" t="s">
        <v>268</v>
      </c>
      <c r="W1495" s="290">
        <f>IFERROR(Table6[[#This Row],[Breakdown Time]]*Table6[[#This Row],[Plant Equivalent Weightage]],"")</f>
        <v>3.8461538461538312E-3</v>
      </c>
      <c r="X1495" s="262" t="s">
        <v>269</v>
      </c>
      <c r="Y1495" s="263" t="s">
        <v>116</v>
      </c>
      <c r="Z1495" s="102">
        <v>25412</v>
      </c>
      <c r="AA1495" s="257">
        <f>(Table6[[#This Row],[Paired WTG Generation for loss calculation]]/24)*Table6[[#This Row],[Breakdown Time]]</f>
        <v>105.88333333333296</v>
      </c>
      <c r="AB1495" s="102"/>
      <c r="AC1495" s="35"/>
      <c r="AD1495" s="35"/>
    </row>
    <row r="1496" spans="1:30">
      <c r="A1496" s="102">
        <f t="shared" si="24"/>
        <v>1495</v>
      </c>
      <c r="B1496" s="257">
        <f>YEAR(Table6[[#This Row],[Date]])+IF(MONTH(Table6[[#This Row],[Date]])&gt;=4,1,0)</f>
        <v>2026</v>
      </c>
      <c r="C1496" s="102">
        <f>YEAR(Table6[[#This Row],[Date]])</f>
        <v>2025</v>
      </c>
      <c r="D1496" s="102" t="s">
        <v>265</v>
      </c>
      <c r="E1496" s="258">
        <f>Table6[[#This Row],[Date]]-DAY(Table6[[#This Row],[Date]])+1</f>
        <v>45839</v>
      </c>
      <c r="F1496" s="259">
        <v>45846</v>
      </c>
      <c r="G1496" s="35" t="s">
        <v>125</v>
      </c>
      <c r="H1496" s="35" t="str">
        <f>IFERROR(_xlfn.XLOOKUP(Table6[[#This Row],[Affected WTG]],'Basic Data'!$A:$A,'Basic Data'!$B:$B),"")</f>
        <v>TQGXIIPL</v>
      </c>
      <c r="I1496" s="35" t="str">
        <f>IFERROR(_xlfn.XLOOKUP(Table6[[#This Row],[Affected WTG]],'Basic Data'!$A:$A,'Basic Data'!$C:$C),"")</f>
        <v>GEDA</v>
      </c>
      <c r="J1496" s="260">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291</v>
      </c>
      <c r="N1496" s="264"/>
      <c r="O1496" s="265">
        <v>0</v>
      </c>
      <c r="P1496" s="265">
        <v>0</v>
      </c>
      <c r="Q1496" s="266">
        <v>0.16319444444444445</v>
      </c>
      <c r="R1496" s="261">
        <f>IF(Table6[[#This Row],[Work Start TimeStamp]]="","",(Table6[[#This Row],[Work Start TimeStamp]]-Table6[[#This Row],[Fault Start TimeStamp]])*24)</f>
        <v>0</v>
      </c>
      <c r="S1496" s="261">
        <f>(Table6[[#This Row],[Fault Clearance time]]-Table6[[#This Row],[Work Start TimeStamp]])*24</f>
        <v>3.916666666666667</v>
      </c>
      <c r="T1496" s="261">
        <f>(Table6[[#This Row],[Fault Clearance time]]-Table6[[#This Row],[Fault Start TimeStamp]])*24</f>
        <v>3.916666666666667</v>
      </c>
      <c r="U1496" s="35" t="s">
        <v>589</v>
      </c>
      <c r="V1496" s="102" t="s">
        <v>268</v>
      </c>
      <c r="W1496" s="290">
        <f>IFERROR(Table6[[#This Row],[Breakdown Time]]*Table6[[#This Row],[Plant Equivalent Weightage]],"")</f>
        <v>0.15064102564102561</v>
      </c>
      <c r="X1496" s="262" t="s">
        <v>296</v>
      </c>
      <c r="Y1496" s="263" t="s">
        <v>127</v>
      </c>
      <c r="Z1496" s="102">
        <v>25805</v>
      </c>
      <c r="AA1496" s="257">
        <f>(Table6[[#This Row],[Paired WTG Generation for loss calculation]]/24)*Table6[[#This Row],[Breakdown Time]]</f>
        <v>4211.2326388888887</v>
      </c>
      <c r="AB1496" s="102"/>
      <c r="AC1496" s="35"/>
      <c r="AD1496" s="35"/>
    </row>
    <row r="1497" spans="1:30">
      <c r="A1497" s="102">
        <f t="shared" si="24"/>
        <v>1496</v>
      </c>
      <c r="B1497" s="257">
        <f>YEAR(Table6[[#This Row],[Date]])+IF(MONTH(Table6[[#This Row],[Date]])&gt;=4,1,0)</f>
        <v>2026</v>
      </c>
      <c r="C1497" s="102">
        <f>YEAR(Table6[[#This Row],[Date]])</f>
        <v>2025</v>
      </c>
      <c r="D1497" s="102" t="s">
        <v>265</v>
      </c>
      <c r="E1497" s="258">
        <f>Table6[[#This Row],[Date]]-DAY(Table6[[#This Row],[Date]])+1</f>
        <v>45839</v>
      </c>
      <c r="F1497" s="259">
        <v>45846</v>
      </c>
      <c r="G1497" s="35" t="s">
        <v>126</v>
      </c>
      <c r="H1497" s="35" t="str">
        <f>IFERROR(_xlfn.XLOOKUP(Table6[[#This Row],[Affected WTG]],'Basic Data'!$A:$A,'Basic Data'!$B:$B),"")</f>
        <v>TQGXIIPL</v>
      </c>
      <c r="I1497" s="35" t="str">
        <f>IFERROR(_xlfn.XLOOKUP(Table6[[#This Row],[Affected WTG]],'Basic Data'!$A:$A,'Basic Data'!$C:$C),"")</f>
        <v>GEDA</v>
      </c>
      <c r="J1497" s="260">
        <f>IFERROR(_xlfn.XLOOKUP(Table6[[#This Row],[Affected WTG]],'Basic Data'!$A:$A,'Basic Data'!$E:$E),"")</f>
        <v>3.846153846153845E-2</v>
      </c>
      <c r="K1497" s="102">
        <v>6501</v>
      </c>
      <c r="L1497" s="35" t="str">
        <f>IFERROR(_xlfn.XLOOKUP(Table6[[#This Row],[Error Code]],'Basic Data'!$AA:$AA,'Basic Data'!$AB:$AB),"Incorrect Error Code")</f>
        <v>Wind.sp. diff. level 1</v>
      </c>
      <c r="M1497" s="35" t="s">
        <v>266</v>
      </c>
      <c r="N1497" s="264"/>
      <c r="O1497" s="265">
        <v>0.49236111111111114</v>
      </c>
      <c r="P1497" s="265">
        <v>0.49236111111111114</v>
      </c>
      <c r="Q1497" s="266">
        <v>0.50347222222222221</v>
      </c>
      <c r="R1497" s="261">
        <f>IF(Table6[[#This Row],[Work Start TimeStamp]]="","",(Table6[[#This Row],[Work Start TimeStamp]]-Table6[[#This Row],[Fault Start TimeStamp]])*24)</f>
        <v>0</v>
      </c>
      <c r="S1497" s="261">
        <f>(Table6[[#This Row],[Fault Clearance time]]-Table6[[#This Row],[Work Start TimeStamp]])*24</f>
        <v>0.26666666666666572</v>
      </c>
      <c r="T1497" s="261">
        <f>(Table6[[#This Row],[Fault Clearance time]]-Table6[[#This Row],[Fault Start TimeStamp]])*24</f>
        <v>0.26666666666666572</v>
      </c>
      <c r="U1497" s="35" t="s">
        <v>575</v>
      </c>
      <c r="V1497" s="102" t="s">
        <v>268</v>
      </c>
      <c r="W1497" s="290">
        <f>IFERROR(Table6[[#This Row],[Breakdown Time]]*Table6[[#This Row],[Plant Equivalent Weightage]],"")</f>
        <v>1.0256410256410217E-2</v>
      </c>
      <c r="X1497" s="262" t="s">
        <v>269</v>
      </c>
      <c r="Y1497" s="263" t="s">
        <v>128</v>
      </c>
      <c r="Z1497" s="102">
        <v>22138</v>
      </c>
      <c r="AA1497" s="257">
        <f>(Table6[[#This Row],[Paired WTG Generation for loss calculation]]/24)*Table6[[#This Row],[Breakdown Time]]</f>
        <v>245.97777777777691</v>
      </c>
      <c r="AB1497" s="102"/>
      <c r="AC1497" s="35"/>
      <c r="AD1497" s="35"/>
    </row>
    <row r="1498" spans="1:30">
      <c r="A1498" s="102">
        <f t="shared" si="24"/>
        <v>1497</v>
      </c>
      <c r="B1498" s="257">
        <f>YEAR(Table6[[#This Row],[Date]])+IF(MONTH(Table6[[#This Row],[Date]])&gt;=4,1,0)</f>
        <v>2026</v>
      </c>
      <c r="C1498" s="102">
        <f>YEAR(Table6[[#This Row],[Date]])</f>
        <v>2025</v>
      </c>
      <c r="D1498" s="102" t="s">
        <v>265</v>
      </c>
      <c r="E1498" s="258">
        <f>Table6[[#This Row],[Date]]-DAY(Table6[[#This Row],[Date]])+1</f>
        <v>45839</v>
      </c>
      <c r="F1498" s="259">
        <v>45846</v>
      </c>
      <c r="G1498" s="35" t="s">
        <v>130</v>
      </c>
      <c r="H1498" s="35" t="str">
        <f>IFERROR(_xlfn.XLOOKUP(Table6[[#This Row],[Affected WTG]],'Basic Data'!$A:$A,'Basic Data'!$B:$B),"")</f>
        <v>TQGXIIPL</v>
      </c>
      <c r="I1498" s="35" t="str">
        <f>IFERROR(_xlfn.XLOOKUP(Table6[[#This Row],[Affected WTG]],'Basic Data'!$A:$A,'Basic Data'!$C:$C),"")</f>
        <v>GEDA</v>
      </c>
      <c r="J1498" s="260">
        <f>IFERROR(_xlfn.XLOOKUP(Table6[[#This Row],[Affected WTG]],'Basic Data'!$A:$A,'Basic Data'!$E:$E),"")</f>
        <v>3.846153846153845E-2</v>
      </c>
      <c r="K1498" s="102">
        <v>7002</v>
      </c>
      <c r="L1498" s="35" t="str">
        <f>IFERROR(_xlfn.XLOOKUP(Table6[[#This Row],[Error Code]],'Basic Data'!$AA:$AA,'Basic Data'!$AB:$AB),"Incorrect Error Code")</f>
        <v>Task runtime failure 5ms</v>
      </c>
      <c r="M1498" s="35" t="s">
        <v>266</v>
      </c>
      <c r="N1498" s="264"/>
      <c r="O1498" s="265">
        <v>0.83333333333333337</v>
      </c>
      <c r="P1498" s="265">
        <v>0.83333333333333337</v>
      </c>
      <c r="Q1498" s="266">
        <v>0.8354166666666667</v>
      </c>
      <c r="R1498" s="261">
        <f>IF(Table6[[#This Row],[Work Start TimeStamp]]="","",(Table6[[#This Row],[Work Start TimeStamp]]-Table6[[#This Row],[Fault Start TimeStamp]])*24)</f>
        <v>0</v>
      </c>
      <c r="S1498" s="261">
        <f>(Table6[[#This Row],[Fault Clearance time]]-Table6[[#This Row],[Work Start TimeStamp]])*24</f>
        <v>4.9999999999999822E-2</v>
      </c>
      <c r="T1498" s="261">
        <f>(Table6[[#This Row],[Fault Clearance time]]-Table6[[#This Row],[Fault Start TimeStamp]])*24</f>
        <v>4.9999999999999822E-2</v>
      </c>
      <c r="U1498" s="35" t="s">
        <v>483</v>
      </c>
      <c r="V1498" s="102" t="s">
        <v>268</v>
      </c>
      <c r="W1498" s="290">
        <f>IFERROR(Table6[[#This Row],[Breakdown Time]]*Table6[[#This Row],[Plant Equivalent Weightage]],"")</f>
        <v>1.9230769230769156E-3</v>
      </c>
      <c r="X1498" s="262" t="s">
        <v>269</v>
      </c>
      <c r="Y1498" s="263" t="s">
        <v>135</v>
      </c>
      <c r="Z1498" s="102">
        <v>28180</v>
      </c>
      <c r="AA1498" s="257">
        <f>(Table6[[#This Row],[Paired WTG Generation for loss calculation]]/24)*Table6[[#This Row],[Breakdown Time]]</f>
        <v>58.70833333333313</v>
      </c>
      <c r="AB1498" s="102"/>
      <c r="AC1498" s="35"/>
      <c r="AD1498" s="35"/>
    </row>
    <row r="1499" spans="1:30">
      <c r="A1499" s="102">
        <f t="shared" si="24"/>
        <v>1498</v>
      </c>
      <c r="B1499" s="257">
        <f>YEAR(Table6[[#This Row],[Date]])+IF(MONTH(Table6[[#This Row],[Date]])&gt;=4,1,0)</f>
        <v>2026</v>
      </c>
      <c r="C1499" s="102">
        <f>YEAR(Table6[[#This Row],[Date]])</f>
        <v>2025</v>
      </c>
      <c r="D1499" s="102" t="s">
        <v>265</v>
      </c>
      <c r="E1499" s="258">
        <f>Table6[[#This Row],[Date]]-DAY(Table6[[#This Row],[Date]])+1</f>
        <v>45839</v>
      </c>
      <c r="F1499" s="259">
        <v>45846</v>
      </c>
      <c r="G1499" s="35" t="s">
        <v>132</v>
      </c>
      <c r="H1499" s="35" t="str">
        <f>IFERROR(_xlfn.XLOOKUP(Table6[[#This Row],[Affected WTG]],'Basic Data'!$A:$A,'Basic Data'!$B:$B),"")</f>
        <v>TQGXIIPL</v>
      </c>
      <c r="I1499" s="35" t="str">
        <f>IFERROR(_xlfn.XLOOKUP(Table6[[#This Row],[Affected WTG]],'Basic Data'!$A:$A,'Basic Data'!$C:$C),"")</f>
        <v>GEDA</v>
      </c>
      <c r="J1499" s="260">
        <f>IFERROR(_xlfn.XLOOKUP(Table6[[#This Row],[Affected WTG]],'Basic Data'!$A:$A,'Basic Data'!$E:$E),"")</f>
        <v>3.846153846153845E-2</v>
      </c>
      <c r="K1499" s="102">
        <v>55</v>
      </c>
      <c r="L1499" s="35" t="str">
        <f>IFERROR(_xlfn.XLOOKUP(Table6[[#This Row],[Error Code]],'Basic Data'!$AA:$AA,'Basic Data'!$AB:$AB),"Incorrect Error Code")</f>
        <v>WTG shut down</v>
      </c>
      <c r="M1499" s="35" t="s">
        <v>504</v>
      </c>
      <c r="N1499" s="264"/>
      <c r="O1499" s="265">
        <v>0.59444444444444444</v>
      </c>
      <c r="P1499" s="265">
        <v>0.59444444444444444</v>
      </c>
      <c r="Q1499" s="266">
        <v>0.75</v>
      </c>
      <c r="R1499" s="261">
        <f>IF(Table6[[#This Row],[Work Start TimeStamp]]="","",(Table6[[#This Row],[Work Start TimeStamp]]-Table6[[#This Row],[Fault Start TimeStamp]])*24)</f>
        <v>0</v>
      </c>
      <c r="S1499" s="261">
        <f>(Table6[[#This Row],[Fault Clearance time]]-Table6[[#This Row],[Work Start TimeStamp]])*24</f>
        <v>3.7333333333333334</v>
      </c>
      <c r="T1499" s="261">
        <f>(Table6[[#This Row],[Fault Clearance time]]-Table6[[#This Row],[Fault Start TimeStamp]])*24</f>
        <v>3.7333333333333334</v>
      </c>
      <c r="U1499" s="35" t="s">
        <v>590</v>
      </c>
      <c r="V1499" s="102" t="s">
        <v>268</v>
      </c>
      <c r="W1499" s="290">
        <f>IFERROR(Table6[[#This Row],[Breakdown Time]]*Table6[[#This Row],[Plant Equivalent Weightage]],"")</f>
        <v>0.14358974358974355</v>
      </c>
      <c r="X1499" s="262" t="s">
        <v>296</v>
      </c>
      <c r="Y1499" s="263" t="s">
        <v>120</v>
      </c>
      <c r="Z1499" s="102">
        <v>31743</v>
      </c>
      <c r="AA1499" s="257">
        <f>(Table6[[#This Row],[Paired WTG Generation for loss calculation]]/24)*Table6[[#This Row],[Breakdown Time]]</f>
        <v>4937.8</v>
      </c>
      <c r="AB1499" s="102"/>
      <c r="AC1499" s="35"/>
      <c r="AD1499" s="35"/>
    </row>
    <row r="1500" spans="1:30">
      <c r="A1500" s="102">
        <f t="shared" si="24"/>
        <v>1499</v>
      </c>
      <c r="B1500" s="257">
        <f>YEAR(Table6[[#This Row],[Date]])+IF(MONTH(Table6[[#This Row],[Date]])&gt;=4,1,0)</f>
        <v>2026</v>
      </c>
      <c r="C1500" s="102">
        <f>YEAR(Table6[[#This Row],[Date]])</f>
        <v>2025</v>
      </c>
      <c r="D1500" s="102" t="s">
        <v>265</v>
      </c>
      <c r="E1500" s="258">
        <f>Table6[[#This Row],[Date]]-DAY(Table6[[#This Row],[Date]])+1</f>
        <v>45839</v>
      </c>
      <c r="F1500" s="259">
        <v>45846</v>
      </c>
      <c r="G1500" s="35" t="s">
        <v>132</v>
      </c>
      <c r="H1500" s="35" t="str">
        <f>IFERROR(_xlfn.XLOOKUP(Table6[[#This Row],[Affected WTG]],'Basic Data'!$A:$A,'Basic Data'!$B:$B),"")</f>
        <v>TQGXIIPL</v>
      </c>
      <c r="I1500" s="35" t="str">
        <f>IFERROR(_xlfn.XLOOKUP(Table6[[#This Row],[Affected WTG]],'Basic Data'!$A:$A,'Basic Data'!$C:$C),"")</f>
        <v>GEDA</v>
      </c>
      <c r="J1500" s="260">
        <f>IFERROR(_xlfn.XLOOKUP(Table6[[#This Row],[Affected WTG]],'Basic Data'!$A:$A,'Basic Data'!$E:$E),"")</f>
        <v>3.846153846153845E-2</v>
      </c>
      <c r="K1500" s="102">
        <v>55</v>
      </c>
      <c r="L1500" s="35" t="str">
        <f>IFERROR(_xlfn.XLOOKUP(Table6[[#This Row],[Error Code]],'Basic Data'!$AA:$AA,'Basic Data'!$AB:$AB),"Incorrect Error Code")</f>
        <v>WTG shut down</v>
      </c>
      <c r="M1500" s="35" t="s">
        <v>291</v>
      </c>
      <c r="N1500" s="264"/>
      <c r="O1500" s="265">
        <v>0.75</v>
      </c>
      <c r="P1500" s="265">
        <v>0.75</v>
      </c>
      <c r="Q1500" s="266">
        <v>0.97916666666666663</v>
      </c>
      <c r="R1500" s="261">
        <f>IF(Table6[[#This Row],[Work Start TimeStamp]]="","",(Table6[[#This Row],[Work Start TimeStamp]]-Table6[[#This Row],[Fault Start TimeStamp]])*24)</f>
        <v>0</v>
      </c>
      <c r="S1500" s="261">
        <f>(Table6[[#This Row],[Fault Clearance time]]-Table6[[#This Row],[Work Start TimeStamp]])*24</f>
        <v>5.4999999999999991</v>
      </c>
      <c r="T1500" s="261">
        <f>(Table6[[#This Row],[Fault Clearance time]]-Table6[[#This Row],[Fault Start TimeStamp]])*24</f>
        <v>5.4999999999999991</v>
      </c>
      <c r="U1500" s="35" t="s">
        <v>590</v>
      </c>
      <c r="V1500" s="102" t="s">
        <v>268</v>
      </c>
      <c r="W1500" s="290">
        <f>IFERROR(Table6[[#This Row],[Breakdown Time]]*Table6[[#This Row],[Plant Equivalent Weightage]],"")</f>
        <v>0.21153846153846145</v>
      </c>
      <c r="X1500" s="262" t="s">
        <v>296</v>
      </c>
      <c r="Y1500" s="263" t="s">
        <v>120</v>
      </c>
      <c r="Z1500" s="102">
        <v>31743</v>
      </c>
      <c r="AA1500" s="257">
        <f>(Table6[[#This Row],[Paired WTG Generation for loss calculation]]/24)*Table6[[#This Row],[Breakdown Time]]</f>
        <v>7274.4374999999991</v>
      </c>
      <c r="AB1500" s="102"/>
      <c r="AC1500" s="35"/>
      <c r="AD1500" s="35"/>
    </row>
    <row r="1501" spans="1:30">
      <c r="A1501" s="102">
        <f t="shared" si="24"/>
        <v>1500</v>
      </c>
      <c r="B1501" s="257">
        <f>YEAR(Table6[[#This Row],[Date]])+IF(MONTH(Table6[[#This Row],[Date]])&gt;=4,1,0)</f>
        <v>2026</v>
      </c>
      <c r="C1501" s="102">
        <f>YEAR(Table6[[#This Row],[Date]])</f>
        <v>2025</v>
      </c>
      <c r="D1501" s="102" t="s">
        <v>265</v>
      </c>
      <c r="E1501" s="258">
        <f>Table6[[#This Row],[Date]]-DAY(Table6[[#This Row],[Date]])+1</f>
        <v>45839</v>
      </c>
      <c r="F1501" s="259">
        <v>45846</v>
      </c>
      <c r="G1501" s="35" t="s">
        <v>134</v>
      </c>
      <c r="H1501" s="35" t="str">
        <f>IFERROR(_xlfn.XLOOKUP(Table6[[#This Row],[Affected WTG]],'Basic Data'!$A:$A,'Basic Data'!$B:$B),"")</f>
        <v>TQGXIIPL</v>
      </c>
      <c r="I1501" s="35" t="str">
        <f>IFERROR(_xlfn.XLOOKUP(Table6[[#This Row],[Affected WTG]],'Basic Data'!$A:$A,'Basic Data'!$C:$C),"")</f>
        <v>GEDA</v>
      </c>
      <c r="J1501" s="260">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291</v>
      </c>
      <c r="N1501" s="264"/>
      <c r="O1501" s="265">
        <v>0</v>
      </c>
      <c r="P1501" s="265">
        <v>0.44513888888888886</v>
      </c>
      <c r="Q1501" s="266">
        <v>0.875</v>
      </c>
      <c r="R1501" s="261">
        <f>IF(Table6[[#This Row],[Work Start TimeStamp]]="","",(Table6[[#This Row],[Work Start TimeStamp]]-Table6[[#This Row],[Fault Start TimeStamp]])*24)</f>
        <v>10.683333333333334</v>
      </c>
      <c r="S1501" s="261">
        <f>(Table6[[#This Row],[Fault Clearance time]]-Table6[[#This Row],[Work Start TimeStamp]])*24</f>
        <v>10.316666666666666</v>
      </c>
      <c r="T1501" s="261">
        <f>(Table6[[#This Row],[Fault Clearance time]]-Table6[[#This Row],[Fault Start TimeStamp]])*24</f>
        <v>21</v>
      </c>
      <c r="U1501" s="35" t="s">
        <v>591</v>
      </c>
      <c r="V1501" s="102" t="s">
        <v>268</v>
      </c>
      <c r="W1501" s="290">
        <f>IFERROR(Table6[[#This Row],[Breakdown Time]]*Table6[[#This Row],[Plant Equivalent Weightage]],"")</f>
        <v>0.80769230769230749</v>
      </c>
      <c r="X1501" s="262" t="s">
        <v>296</v>
      </c>
      <c r="Y1501" s="263" t="s">
        <v>138</v>
      </c>
      <c r="Z1501" s="102">
        <v>27774</v>
      </c>
      <c r="AA1501" s="257">
        <f>(Table6[[#This Row],[Paired WTG Generation for loss calculation]]/24)*Table6[[#This Row],[Breakdown Time]]</f>
        <v>24302.25</v>
      </c>
      <c r="AB1501" s="102"/>
      <c r="AC1501" s="35"/>
      <c r="AD1501" s="35"/>
    </row>
    <row r="1502" spans="1:30">
      <c r="A1502" s="102">
        <f t="shared" si="24"/>
        <v>1501</v>
      </c>
      <c r="B1502" s="257">
        <f>YEAR(Table6[[#This Row],[Date]])+IF(MONTH(Table6[[#This Row],[Date]])&gt;=4,1,0)</f>
        <v>2026</v>
      </c>
      <c r="C1502" s="102">
        <f>YEAR(Table6[[#This Row],[Date]])</f>
        <v>2025</v>
      </c>
      <c r="D1502" s="102" t="s">
        <v>265</v>
      </c>
      <c r="E1502" s="258">
        <f>Table6[[#This Row],[Date]]-DAY(Table6[[#This Row],[Date]])+1</f>
        <v>45839</v>
      </c>
      <c r="F1502" s="259">
        <v>45846</v>
      </c>
      <c r="G1502" s="35" t="s">
        <v>134</v>
      </c>
      <c r="H1502" s="35" t="str">
        <f>IFERROR(_xlfn.XLOOKUP(Table6[[#This Row],[Affected WTG]],'Basic Data'!$A:$A,'Basic Data'!$B:$B),"")</f>
        <v>TQGXIIPL</v>
      </c>
      <c r="I1502" s="35" t="str">
        <f>IFERROR(_xlfn.XLOOKUP(Table6[[#This Row],[Affected WTG]],'Basic Data'!$A:$A,'Basic Data'!$C:$C),"")</f>
        <v>GEDA</v>
      </c>
      <c r="J1502" s="260">
        <f>IFERROR(_xlfn.XLOOKUP(Table6[[#This Row],[Affected WTG]],'Basic Data'!$A:$A,'Basic Data'!$E:$E),"")</f>
        <v>3.846153846153845E-2</v>
      </c>
      <c r="K1502" s="102">
        <v>3110</v>
      </c>
      <c r="L1502" s="35" t="str">
        <f>IFERROR(_xlfn.XLOOKUP(Table6[[#This Row],[Error Code]],'Basic Data'!$AA:$AA,'Basic Data'!$AB:$AB),"Incorrect Error Code")</f>
        <v>Frequency converter error</v>
      </c>
      <c r="M1502" s="35" t="s">
        <v>278</v>
      </c>
      <c r="N1502" s="264"/>
      <c r="O1502" s="265">
        <v>0.90625</v>
      </c>
      <c r="P1502" s="265">
        <v>0.90625</v>
      </c>
      <c r="Q1502" s="266">
        <v>0.90763888888888888</v>
      </c>
      <c r="R1502" s="261">
        <f>IF(Table6[[#This Row],[Work Start TimeStamp]]="","",(Table6[[#This Row],[Work Start TimeStamp]]-Table6[[#This Row],[Fault Start TimeStamp]])*24)</f>
        <v>0</v>
      </c>
      <c r="S1502" s="261">
        <f>(Table6[[#This Row],[Fault Clearance time]]-Table6[[#This Row],[Work Start TimeStamp]])*24</f>
        <v>3.3333333333333215E-2</v>
      </c>
      <c r="T1502" s="261">
        <f>(Table6[[#This Row],[Fault Clearance time]]-Table6[[#This Row],[Fault Start TimeStamp]])*24</f>
        <v>3.3333333333333215E-2</v>
      </c>
      <c r="U1502" s="35" t="s">
        <v>277</v>
      </c>
      <c r="V1502" s="102" t="s">
        <v>268</v>
      </c>
      <c r="W1502" s="290">
        <f>IFERROR(Table6[[#This Row],[Breakdown Time]]*Table6[[#This Row],[Plant Equivalent Weightage]],"")</f>
        <v>1.2820512820512771E-3</v>
      </c>
      <c r="X1502" s="262" t="s">
        <v>269</v>
      </c>
      <c r="Y1502" s="263" t="s">
        <v>138</v>
      </c>
      <c r="Z1502" s="102">
        <v>27774</v>
      </c>
      <c r="AA1502" s="257">
        <f>(Table6[[#This Row],[Paired WTG Generation for loss calculation]]/24)*Table6[[#This Row],[Breakdown Time]]</f>
        <v>38.574999999999861</v>
      </c>
      <c r="AB1502" s="102"/>
      <c r="AC1502" s="35"/>
      <c r="AD1502" s="35"/>
    </row>
    <row r="1503" spans="1:30">
      <c r="A1503" s="102">
        <f t="shared" si="24"/>
        <v>1502</v>
      </c>
      <c r="B1503" s="257">
        <f>YEAR(Table6[[#This Row],[Date]])+IF(MONTH(Table6[[#This Row],[Date]])&gt;=4,1,0)</f>
        <v>2026</v>
      </c>
      <c r="C1503" s="102">
        <f>YEAR(Table6[[#This Row],[Date]])</f>
        <v>2025</v>
      </c>
      <c r="D1503" s="102" t="s">
        <v>265</v>
      </c>
      <c r="E1503" s="258">
        <f>Table6[[#This Row],[Date]]-DAY(Table6[[#This Row],[Date]])+1</f>
        <v>45839</v>
      </c>
      <c r="F1503" s="259">
        <v>45846</v>
      </c>
      <c r="G1503" s="35" t="s">
        <v>134</v>
      </c>
      <c r="H1503" s="35" t="str">
        <f>IFERROR(_xlfn.XLOOKUP(Table6[[#This Row],[Affected WTG]],'Basic Data'!$A:$A,'Basic Data'!$B:$B),"")</f>
        <v>TQGXIIPL</v>
      </c>
      <c r="I1503" s="35" t="str">
        <f>IFERROR(_xlfn.XLOOKUP(Table6[[#This Row],[Affected WTG]],'Basic Data'!$A:$A,'Basic Data'!$C:$C),"")</f>
        <v>GEDA</v>
      </c>
      <c r="J1503" s="260">
        <f>IFERROR(_xlfn.XLOOKUP(Table6[[#This Row],[Affected WTG]],'Basic Data'!$A:$A,'Basic Data'!$E:$E),"")</f>
        <v>3.846153846153845E-2</v>
      </c>
      <c r="K1503" s="102">
        <v>3110</v>
      </c>
      <c r="L1503" s="35" t="str">
        <f>IFERROR(_xlfn.XLOOKUP(Table6[[#This Row],[Error Code]],'Basic Data'!$AA:$AA,'Basic Data'!$AB:$AB),"Incorrect Error Code")</f>
        <v>Frequency converter error</v>
      </c>
      <c r="M1503" s="35" t="s">
        <v>266</v>
      </c>
      <c r="N1503" s="264"/>
      <c r="O1503" s="265">
        <v>0.9194444444444444</v>
      </c>
      <c r="P1503" s="265">
        <v>0.9194444444444444</v>
      </c>
      <c r="Q1503" s="266">
        <v>0.92361111111111116</v>
      </c>
      <c r="R1503" s="261">
        <f>IF(Table6[[#This Row],[Work Start TimeStamp]]="","",(Table6[[#This Row],[Work Start TimeStamp]]-Table6[[#This Row],[Fault Start TimeStamp]])*24)</f>
        <v>0</v>
      </c>
      <c r="S1503" s="261">
        <f>(Table6[[#This Row],[Fault Clearance time]]-Table6[[#This Row],[Work Start TimeStamp]])*24</f>
        <v>0.10000000000000231</v>
      </c>
      <c r="T1503" s="261">
        <f>(Table6[[#This Row],[Fault Clearance time]]-Table6[[#This Row],[Fault Start TimeStamp]])*24</f>
        <v>0.10000000000000231</v>
      </c>
      <c r="U1503" s="35" t="s">
        <v>483</v>
      </c>
      <c r="V1503" s="102" t="s">
        <v>268</v>
      </c>
      <c r="W1503" s="290">
        <f>IFERROR(Table6[[#This Row],[Breakdown Time]]*Table6[[#This Row],[Plant Equivalent Weightage]],"")</f>
        <v>3.846153846153934E-3</v>
      </c>
      <c r="X1503" s="262" t="s">
        <v>269</v>
      </c>
      <c r="Y1503" s="263" t="s">
        <v>138</v>
      </c>
      <c r="Z1503" s="102">
        <v>27774</v>
      </c>
      <c r="AA1503" s="257">
        <f>(Table6[[#This Row],[Paired WTG Generation for loss calculation]]/24)*Table6[[#This Row],[Breakdown Time]]</f>
        <v>115.72500000000267</v>
      </c>
      <c r="AB1503" s="102"/>
      <c r="AC1503" s="35"/>
      <c r="AD1503" s="35"/>
    </row>
    <row r="1504" spans="1:30">
      <c r="A1504" s="102">
        <f t="shared" si="24"/>
        <v>1503</v>
      </c>
      <c r="B1504" s="257">
        <f>YEAR(Table6[[#This Row],[Date]])+IF(MONTH(Table6[[#This Row],[Date]])&gt;=4,1,0)</f>
        <v>2026</v>
      </c>
      <c r="C1504" s="102">
        <f>YEAR(Table6[[#This Row],[Date]])</f>
        <v>2025</v>
      </c>
      <c r="D1504" s="102" t="s">
        <v>265</v>
      </c>
      <c r="E1504" s="258">
        <f>Table6[[#This Row],[Date]]-DAY(Table6[[#This Row],[Date]])+1</f>
        <v>45839</v>
      </c>
      <c r="F1504" s="259">
        <v>45847</v>
      </c>
      <c r="G1504" s="35" t="s">
        <v>119</v>
      </c>
      <c r="H1504" s="35" t="str">
        <f>IFERROR(_xlfn.XLOOKUP(Table6[[#This Row],[Affected WTG]],'Basic Data'!$A:$A,'Basic Data'!$B:$B),"")</f>
        <v>TQGXIIPL</v>
      </c>
      <c r="I1504" s="35" t="str">
        <f>IFERROR(_xlfn.XLOOKUP(Table6[[#This Row],[Affected WTG]],'Basic Data'!$A:$A,'Basic Data'!$C:$C),"")</f>
        <v>GEDA</v>
      </c>
      <c r="J1504" s="260">
        <f>IFERROR(_xlfn.XLOOKUP(Table6[[#This Row],[Affected WTG]],'Basic Data'!$A:$A,'Basic Data'!$E:$E),"")</f>
        <v>3.846153846153845E-2</v>
      </c>
      <c r="K1504" s="102">
        <v>6130</v>
      </c>
      <c r="L1504" s="35" t="str">
        <f>IFERROR(_xlfn.XLOOKUP(Table6[[#This Row],[Error Code]],'Basic Data'!$AA:$AA,'Basic Data'!$AB:$AB),"Incorrect Error Code")</f>
        <v>Yaw speed high</v>
      </c>
      <c r="M1504" s="35" t="s">
        <v>324</v>
      </c>
      <c r="N1504" s="264"/>
      <c r="O1504" s="265">
        <v>0.57986111111111116</v>
      </c>
      <c r="P1504" s="265">
        <v>0.57986111111111116</v>
      </c>
      <c r="Q1504" s="266">
        <v>0.6875</v>
      </c>
      <c r="R1504" s="261">
        <f>IF(Table6[[#This Row],[Work Start TimeStamp]]="","",(Table6[[#This Row],[Work Start TimeStamp]]-Table6[[#This Row],[Fault Start TimeStamp]])*24)</f>
        <v>0</v>
      </c>
      <c r="S1504" s="261">
        <f>(Table6[[#This Row],[Fault Clearance time]]-Table6[[#This Row],[Work Start TimeStamp]])*24</f>
        <v>2.5833333333333321</v>
      </c>
      <c r="T1504" s="261">
        <f>(Table6[[#This Row],[Fault Clearance time]]-Table6[[#This Row],[Fault Start TimeStamp]])*24</f>
        <v>2.5833333333333321</v>
      </c>
      <c r="U1504" s="35" t="s">
        <v>574</v>
      </c>
      <c r="V1504" s="102" t="s">
        <v>268</v>
      </c>
      <c r="W1504" s="290">
        <f>IFERROR(Table6[[#This Row],[Breakdown Time]]*Table6[[#This Row],[Plant Equivalent Weightage]],"")</f>
        <v>9.9358974358974284E-2</v>
      </c>
      <c r="X1504" s="262" t="s">
        <v>269</v>
      </c>
      <c r="Y1504" s="263" t="s">
        <v>116</v>
      </c>
      <c r="Z1504" s="102">
        <v>28942</v>
      </c>
      <c r="AA1504" s="257">
        <f>(Table6[[#This Row],[Paired WTG Generation for loss calculation]]/24)*Table6[[#This Row],[Breakdown Time]]</f>
        <v>3115.2847222222208</v>
      </c>
      <c r="AB1504" s="102"/>
      <c r="AC1504" s="35"/>
      <c r="AD1504" s="35"/>
    </row>
    <row r="1505" spans="1:30">
      <c r="A1505" s="102">
        <f t="shared" si="24"/>
        <v>1504</v>
      </c>
      <c r="B1505" s="257">
        <f>YEAR(Table6[[#This Row],[Date]])+IF(MONTH(Table6[[#This Row],[Date]])&gt;=4,1,0)</f>
        <v>2026</v>
      </c>
      <c r="C1505" s="102">
        <f>YEAR(Table6[[#This Row],[Date]])</f>
        <v>2025</v>
      </c>
      <c r="D1505" s="102" t="s">
        <v>265</v>
      </c>
      <c r="E1505" s="258">
        <f>Table6[[#This Row],[Date]]-DAY(Table6[[#This Row],[Date]])+1</f>
        <v>45839</v>
      </c>
      <c r="F1505" s="259">
        <v>45847</v>
      </c>
      <c r="G1505" s="35" t="s">
        <v>126</v>
      </c>
      <c r="H1505" s="35" t="str">
        <f>IFERROR(_xlfn.XLOOKUP(Table6[[#This Row],[Affected WTG]],'Basic Data'!$A:$A,'Basic Data'!$B:$B),"")</f>
        <v>TQGXIIPL</v>
      </c>
      <c r="I1505" s="35" t="str">
        <f>IFERROR(_xlfn.XLOOKUP(Table6[[#This Row],[Affected WTG]],'Basic Data'!$A:$A,'Basic Data'!$C:$C),"")</f>
        <v>GEDA</v>
      </c>
      <c r="J1505" s="260">
        <f>IFERROR(_xlfn.XLOOKUP(Table6[[#This Row],[Affected WTG]],'Basic Data'!$A:$A,'Basic Data'!$E:$E),"")</f>
        <v>3.846153846153845E-2</v>
      </c>
      <c r="K1505" s="102">
        <v>64</v>
      </c>
      <c r="L1505" s="35" t="str">
        <f>IFERROR(_xlfn.XLOOKUP(Table6[[#This Row],[Error Code]],'Basic Data'!$AA:$AA,'Basic Data'!$AB:$AB),"Incorrect Error Code")</f>
        <v>Max. wind speed</v>
      </c>
      <c r="M1505" s="35" t="s">
        <v>266</v>
      </c>
      <c r="N1505" s="264"/>
      <c r="O1505" s="265">
        <v>0.79513888888888884</v>
      </c>
      <c r="P1505" s="265">
        <v>0.79513888888888884</v>
      </c>
      <c r="Q1505" s="266">
        <v>0.80138888888888893</v>
      </c>
      <c r="R1505" s="261">
        <f>IF(Table6[[#This Row],[Work Start TimeStamp]]="","",(Table6[[#This Row],[Work Start TimeStamp]]-Table6[[#This Row],[Fault Start TimeStamp]])*24)</f>
        <v>0</v>
      </c>
      <c r="S1505" s="261">
        <f>(Table6[[#This Row],[Fault Clearance time]]-Table6[[#This Row],[Work Start TimeStamp]])*24</f>
        <v>0.15000000000000213</v>
      </c>
      <c r="T1505" s="261">
        <f>(Table6[[#This Row],[Fault Clearance time]]-Table6[[#This Row],[Fault Start TimeStamp]])*24</f>
        <v>0.15000000000000213</v>
      </c>
      <c r="U1505" s="35" t="s">
        <v>483</v>
      </c>
      <c r="V1505" s="102" t="s">
        <v>268</v>
      </c>
      <c r="W1505" s="290">
        <f>IFERROR(Table6[[#This Row],[Breakdown Time]]*Table6[[#This Row],[Plant Equivalent Weightage]],"")</f>
        <v>5.7692307692308493E-3</v>
      </c>
      <c r="X1505" s="262" t="s">
        <v>269</v>
      </c>
      <c r="Y1505" s="263" t="s">
        <v>128</v>
      </c>
      <c r="Z1505" s="102">
        <v>31153</v>
      </c>
      <c r="AA1505" s="257">
        <f>(Table6[[#This Row],[Paired WTG Generation for loss calculation]]/24)*Table6[[#This Row],[Breakdown Time]]</f>
        <v>194.70625000000277</v>
      </c>
      <c r="AB1505" s="102"/>
      <c r="AC1505" s="35"/>
      <c r="AD1505" s="35"/>
    </row>
    <row r="1506" spans="1:30">
      <c r="A1506" s="102">
        <f t="shared" si="24"/>
        <v>1505</v>
      </c>
      <c r="B1506" s="257">
        <f>YEAR(Table6[[#This Row],[Date]])+IF(MONTH(Table6[[#This Row],[Date]])&gt;=4,1,0)</f>
        <v>2026</v>
      </c>
      <c r="C1506" s="102">
        <f>YEAR(Table6[[#This Row],[Date]])</f>
        <v>2025</v>
      </c>
      <c r="D1506" s="102" t="s">
        <v>265</v>
      </c>
      <c r="E1506" s="258">
        <f>Table6[[#This Row],[Date]]-DAY(Table6[[#This Row],[Date]])+1</f>
        <v>45839</v>
      </c>
      <c r="F1506" s="259">
        <v>45847</v>
      </c>
      <c r="G1506" s="35" t="s">
        <v>126</v>
      </c>
      <c r="H1506" s="35" t="str">
        <f>IFERROR(_xlfn.XLOOKUP(Table6[[#This Row],[Affected WTG]],'Basic Data'!$A:$A,'Basic Data'!$B:$B),"")</f>
        <v>TQGXIIPL</v>
      </c>
      <c r="I1506" s="35" t="str">
        <f>IFERROR(_xlfn.XLOOKUP(Table6[[#This Row],[Affected WTG]],'Basic Data'!$A:$A,'Basic Data'!$C:$C),"")</f>
        <v>GEDA</v>
      </c>
      <c r="J1506" s="260">
        <f>IFERROR(_xlfn.XLOOKUP(Table6[[#This Row],[Affected WTG]],'Basic Data'!$A:$A,'Basic Data'!$E:$E),"")</f>
        <v>3.846153846153845E-2</v>
      </c>
      <c r="K1506" s="102">
        <v>55</v>
      </c>
      <c r="L1506" s="35" t="str">
        <f>IFERROR(_xlfn.XLOOKUP(Table6[[#This Row],[Error Code]],'Basic Data'!$AA:$AA,'Basic Data'!$AB:$AB),"Incorrect Error Code")</f>
        <v>WTG shut down</v>
      </c>
      <c r="M1506" s="35" t="s">
        <v>266</v>
      </c>
      <c r="N1506" s="264"/>
      <c r="O1506" s="265">
        <v>0.92777777777777781</v>
      </c>
      <c r="P1506" s="265">
        <v>0.92777777777777781</v>
      </c>
      <c r="Q1506" s="266">
        <v>1</v>
      </c>
      <c r="R1506" s="261">
        <f>IF(Table6[[#This Row],[Work Start TimeStamp]]="","",(Table6[[#This Row],[Work Start TimeStamp]]-Table6[[#This Row],[Fault Start TimeStamp]])*24)</f>
        <v>0</v>
      </c>
      <c r="S1506" s="261">
        <f>(Table6[[#This Row],[Fault Clearance time]]-Table6[[#This Row],[Work Start TimeStamp]])*24</f>
        <v>1.7333333333333325</v>
      </c>
      <c r="T1506" s="261">
        <f>(Table6[[#This Row],[Fault Clearance time]]-Table6[[#This Row],[Fault Start TimeStamp]])*24</f>
        <v>1.7333333333333325</v>
      </c>
      <c r="U1506" s="35" t="s">
        <v>592</v>
      </c>
      <c r="V1506" s="102" t="s">
        <v>549</v>
      </c>
      <c r="W1506" s="290">
        <f>IFERROR(Table6[[#This Row],[Breakdown Time]]*Table6[[#This Row],[Plant Equivalent Weightage]],"")</f>
        <v>6.666666666666661E-2</v>
      </c>
      <c r="X1506" s="262" t="s">
        <v>296</v>
      </c>
      <c r="Y1506" s="263" t="s">
        <v>128</v>
      </c>
      <c r="Z1506" s="102">
        <v>31153</v>
      </c>
      <c r="AA1506" s="257">
        <f>(Table6[[#This Row],[Paired WTG Generation for loss calculation]]/24)*Table6[[#This Row],[Breakdown Time]]</f>
        <v>2249.938888888888</v>
      </c>
      <c r="AB1506" s="102"/>
      <c r="AC1506" s="35"/>
      <c r="AD1506" s="35"/>
    </row>
    <row r="1507" spans="1:30">
      <c r="A1507" s="102">
        <f t="shared" si="24"/>
        <v>1506</v>
      </c>
      <c r="B1507" s="257">
        <f>YEAR(Table6[[#This Row],[Date]])+IF(MONTH(Table6[[#This Row],[Date]])&gt;=4,1,0)</f>
        <v>2026</v>
      </c>
      <c r="C1507" s="102">
        <f>YEAR(Table6[[#This Row],[Date]])</f>
        <v>2025</v>
      </c>
      <c r="D1507" s="102" t="s">
        <v>265</v>
      </c>
      <c r="E1507" s="258">
        <f>Table6[[#This Row],[Date]]-DAY(Table6[[#This Row],[Date]])+1</f>
        <v>45839</v>
      </c>
      <c r="F1507" s="259">
        <v>45847</v>
      </c>
      <c r="G1507" s="35" t="s">
        <v>132</v>
      </c>
      <c r="H1507" s="35" t="str">
        <f>IFERROR(_xlfn.XLOOKUP(Table6[[#This Row],[Affected WTG]],'Basic Data'!$A:$A,'Basic Data'!$B:$B),"")</f>
        <v>TQGXIIPL</v>
      </c>
      <c r="I1507" s="35" t="str">
        <f>IFERROR(_xlfn.XLOOKUP(Table6[[#This Row],[Affected WTG]],'Basic Data'!$A:$A,'Basic Data'!$C:$C),"")</f>
        <v>GEDA</v>
      </c>
      <c r="J1507" s="260">
        <f>IFERROR(_xlfn.XLOOKUP(Table6[[#This Row],[Affected WTG]],'Basic Data'!$A:$A,'Basic Data'!$E:$E),"")</f>
        <v>3.846153846153845E-2</v>
      </c>
      <c r="K1507" s="102">
        <v>55</v>
      </c>
      <c r="L1507" s="35" t="str">
        <f>IFERROR(_xlfn.XLOOKUP(Table6[[#This Row],[Error Code]],'Basic Data'!$AA:$AA,'Basic Data'!$AB:$AB),"Incorrect Error Code")</f>
        <v>WTG shut down</v>
      </c>
      <c r="M1507" s="35" t="s">
        <v>477</v>
      </c>
      <c r="N1507" s="264"/>
      <c r="O1507" s="265">
        <v>0.625</v>
      </c>
      <c r="P1507" s="265">
        <v>0.625</v>
      </c>
      <c r="Q1507" s="266">
        <v>0.64513888888888893</v>
      </c>
      <c r="R1507" s="261">
        <f>IF(Table6[[#This Row],[Work Start TimeStamp]]="","",(Table6[[#This Row],[Work Start TimeStamp]]-Table6[[#This Row],[Fault Start TimeStamp]])*24)</f>
        <v>0</v>
      </c>
      <c r="S1507" s="261">
        <f>(Table6[[#This Row],[Fault Clearance time]]-Table6[[#This Row],[Work Start TimeStamp]])*24</f>
        <v>0.48333333333333428</v>
      </c>
      <c r="T1507" s="261">
        <f>(Table6[[#This Row],[Fault Clearance time]]-Table6[[#This Row],[Fault Start TimeStamp]])*24</f>
        <v>0.48333333333333428</v>
      </c>
      <c r="U1507" s="35" t="s">
        <v>590</v>
      </c>
      <c r="V1507" s="102" t="s">
        <v>268</v>
      </c>
      <c r="W1507" s="290">
        <f>IFERROR(Table6[[#This Row],[Breakdown Time]]*Table6[[#This Row],[Plant Equivalent Weightage]],"")</f>
        <v>1.8589743589743621E-2</v>
      </c>
      <c r="X1507" s="262" t="s">
        <v>296</v>
      </c>
      <c r="Y1507" s="263" t="s">
        <v>120</v>
      </c>
      <c r="Z1507" s="102">
        <v>32672</v>
      </c>
      <c r="AA1507" s="257">
        <f>(Table6[[#This Row],[Paired WTG Generation for loss calculation]]/24)*Table6[[#This Row],[Breakdown Time]]</f>
        <v>657.97777777777901</v>
      </c>
      <c r="AB1507" s="102"/>
      <c r="AC1507" s="35"/>
      <c r="AD1507" s="35"/>
    </row>
    <row r="1508" spans="1:30">
      <c r="A1508" s="102">
        <f t="shared" si="24"/>
        <v>1507</v>
      </c>
      <c r="B1508" s="257">
        <f>YEAR(Table6[[#This Row],[Date]])+IF(MONTH(Table6[[#This Row],[Date]])&gt;=4,1,0)</f>
        <v>2026</v>
      </c>
      <c r="C1508" s="102">
        <f>YEAR(Table6[[#This Row],[Date]])</f>
        <v>2025</v>
      </c>
      <c r="D1508" s="102" t="s">
        <v>265</v>
      </c>
      <c r="E1508" s="258">
        <f>Table6[[#This Row],[Date]]-DAY(Table6[[#This Row],[Date]])+1</f>
        <v>45839</v>
      </c>
      <c r="F1508" s="259">
        <v>45847</v>
      </c>
      <c r="G1508" s="35" t="s">
        <v>134</v>
      </c>
      <c r="H1508" s="35" t="str">
        <f>IFERROR(_xlfn.XLOOKUP(Table6[[#This Row],[Affected WTG]],'Basic Data'!$A:$A,'Basic Data'!$B:$B),"")</f>
        <v>TQGXIIPL</v>
      </c>
      <c r="I1508" s="35" t="str">
        <f>IFERROR(_xlfn.XLOOKUP(Table6[[#This Row],[Affected WTG]],'Basic Data'!$A:$A,'Basic Data'!$C:$C),"")</f>
        <v>GEDA</v>
      </c>
      <c r="J1508" s="260">
        <f>IFERROR(_xlfn.XLOOKUP(Table6[[#This Row],[Affected WTG]],'Basic Data'!$A:$A,'Basic Data'!$E:$E),"")</f>
        <v>3.846153846153845E-2</v>
      </c>
      <c r="K1508" s="102">
        <v>3110</v>
      </c>
      <c r="L1508" s="35" t="str">
        <f>IFERROR(_xlfn.XLOOKUP(Table6[[#This Row],[Error Code]],'Basic Data'!$AA:$AA,'Basic Data'!$AB:$AB),"Incorrect Error Code")</f>
        <v>Frequency converter error</v>
      </c>
      <c r="M1508" s="35" t="s">
        <v>266</v>
      </c>
      <c r="N1508" s="264"/>
      <c r="O1508" s="265">
        <v>0.67083333333333328</v>
      </c>
      <c r="P1508" s="265">
        <v>0.67083333333333328</v>
      </c>
      <c r="Q1508" s="266">
        <v>0.68125000000000002</v>
      </c>
      <c r="R1508" s="261">
        <f>IF(Table6[[#This Row],[Work Start TimeStamp]]="","",(Table6[[#This Row],[Work Start TimeStamp]]-Table6[[#This Row],[Fault Start TimeStamp]])*24)</f>
        <v>0</v>
      </c>
      <c r="S1508" s="261">
        <f>(Table6[[#This Row],[Fault Clearance time]]-Table6[[#This Row],[Work Start TimeStamp]])*24</f>
        <v>0.25000000000000178</v>
      </c>
      <c r="T1508" s="261">
        <f>(Table6[[#This Row],[Fault Clearance time]]-Table6[[#This Row],[Fault Start TimeStamp]])*24</f>
        <v>0.25000000000000178</v>
      </c>
      <c r="U1508" s="35" t="s">
        <v>575</v>
      </c>
      <c r="V1508" s="102" t="s">
        <v>268</v>
      </c>
      <c r="W1508" s="290">
        <f>IFERROR(Table6[[#This Row],[Breakdown Time]]*Table6[[#This Row],[Plant Equivalent Weightage]],"")</f>
        <v>9.6153846153846801E-3</v>
      </c>
      <c r="X1508" s="262" t="s">
        <v>269</v>
      </c>
      <c r="Y1508" s="263" t="s">
        <v>138</v>
      </c>
      <c r="Z1508" s="102">
        <v>33552</v>
      </c>
      <c r="AA1508" s="257">
        <f>(Table6[[#This Row],[Paired WTG Generation for loss calculation]]/24)*Table6[[#This Row],[Breakdown Time]]</f>
        <v>349.5000000000025</v>
      </c>
      <c r="AB1508" s="102"/>
      <c r="AC1508" s="35"/>
      <c r="AD1508" s="35"/>
    </row>
    <row r="1509" spans="1:30">
      <c r="A1509" s="102">
        <f t="shared" si="24"/>
        <v>1508</v>
      </c>
      <c r="B1509" s="257">
        <f>YEAR(Table6[[#This Row],[Date]])+IF(MONTH(Table6[[#This Row],[Date]])&gt;=4,1,0)</f>
        <v>2026</v>
      </c>
      <c r="C1509" s="102">
        <f>YEAR(Table6[[#This Row],[Date]])</f>
        <v>2025</v>
      </c>
      <c r="D1509" s="102" t="s">
        <v>265</v>
      </c>
      <c r="E1509" s="258">
        <f>Table6[[#This Row],[Date]]-DAY(Table6[[#This Row],[Date]])+1</f>
        <v>45839</v>
      </c>
      <c r="F1509" s="259">
        <v>45847</v>
      </c>
      <c r="G1509" s="35" t="s">
        <v>135</v>
      </c>
      <c r="H1509" s="35" t="str">
        <f>IFERROR(_xlfn.XLOOKUP(Table6[[#This Row],[Affected WTG]],'Basic Data'!$A:$A,'Basic Data'!$B:$B),"")</f>
        <v>TQGXIIPL</v>
      </c>
      <c r="I1509" s="35" t="str">
        <f>IFERROR(_xlfn.XLOOKUP(Table6[[#This Row],[Affected WTG]],'Basic Data'!$A:$A,'Basic Data'!$C:$C),"")</f>
        <v>GEDA</v>
      </c>
      <c r="J1509" s="260">
        <f>IFERROR(_xlfn.XLOOKUP(Table6[[#This Row],[Affected WTG]],'Basic Data'!$A:$A,'Basic Data'!$E:$E),"")</f>
        <v>3.846153846153845E-2</v>
      </c>
      <c r="K1509" s="102">
        <v>6130</v>
      </c>
      <c r="L1509" s="35" t="str">
        <f>IFERROR(_xlfn.XLOOKUP(Table6[[#This Row],[Error Code]],'Basic Data'!$AA:$AA,'Basic Data'!$AB:$AB),"Incorrect Error Code")</f>
        <v>Yaw speed high</v>
      </c>
      <c r="M1509" s="35" t="s">
        <v>278</v>
      </c>
      <c r="N1509" s="264"/>
      <c r="O1509" s="265">
        <v>0.84722222222222221</v>
      </c>
      <c r="P1509" s="265">
        <v>0.84722222222222221</v>
      </c>
      <c r="Q1509" s="266">
        <v>0.85138888888888886</v>
      </c>
      <c r="R1509" s="261">
        <f>IF(Table6[[#This Row],[Work Start TimeStamp]]="","",(Table6[[#This Row],[Work Start TimeStamp]]-Table6[[#This Row],[Fault Start TimeStamp]])*24)</f>
        <v>0</v>
      </c>
      <c r="S1509" s="261">
        <f>(Table6[[#This Row],[Fault Clearance time]]-Table6[[#This Row],[Work Start TimeStamp]])*24</f>
        <v>9.9999999999999645E-2</v>
      </c>
      <c r="T1509" s="261">
        <f>(Table6[[#This Row],[Fault Clearance time]]-Table6[[#This Row],[Fault Start TimeStamp]])*24</f>
        <v>9.9999999999999645E-2</v>
      </c>
      <c r="U1509" s="35" t="s">
        <v>277</v>
      </c>
      <c r="V1509" s="102" t="s">
        <v>268</v>
      </c>
      <c r="W1509" s="290">
        <f>IFERROR(Table6[[#This Row],[Breakdown Time]]*Table6[[#This Row],[Plant Equivalent Weightage]],"")</f>
        <v>3.8461538461538312E-3</v>
      </c>
      <c r="X1509" s="262" t="s">
        <v>269</v>
      </c>
      <c r="Y1509" s="263" t="s">
        <v>120</v>
      </c>
      <c r="Z1509" s="102">
        <v>32672</v>
      </c>
      <c r="AA1509" s="257">
        <f>(Table6[[#This Row],[Paired WTG Generation for loss calculation]]/24)*Table6[[#This Row],[Breakdown Time]]</f>
        <v>136.13333333333284</v>
      </c>
      <c r="AB1509" s="102"/>
      <c r="AC1509" s="35"/>
      <c r="AD1509" s="35"/>
    </row>
    <row r="1510" spans="1:30">
      <c r="A1510" s="102">
        <f t="shared" si="24"/>
        <v>1509</v>
      </c>
      <c r="B1510" s="257">
        <f>YEAR(Table6[[#This Row],[Date]])+IF(MONTH(Table6[[#This Row],[Date]])&gt;=4,1,0)</f>
        <v>2026</v>
      </c>
      <c r="C1510" s="102">
        <f>YEAR(Table6[[#This Row],[Date]])</f>
        <v>2025</v>
      </c>
      <c r="D1510" s="102" t="s">
        <v>265</v>
      </c>
      <c r="E1510" s="258">
        <f>Table6[[#This Row],[Date]]-DAY(Table6[[#This Row],[Date]])+1</f>
        <v>45839</v>
      </c>
      <c r="F1510" s="259">
        <v>45847</v>
      </c>
      <c r="G1510" s="35" t="s">
        <v>135</v>
      </c>
      <c r="H1510" s="35" t="str">
        <f>IFERROR(_xlfn.XLOOKUP(Table6[[#This Row],[Affected WTG]],'Basic Data'!$A:$A,'Basic Data'!$B:$B),"")</f>
        <v>TQGXIIPL</v>
      </c>
      <c r="I1510" s="35" t="str">
        <f>IFERROR(_xlfn.XLOOKUP(Table6[[#This Row],[Affected WTG]],'Basic Data'!$A:$A,'Basic Data'!$C:$C),"")</f>
        <v>GEDA</v>
      </c>
      <c r="J1510" s="260">
        <f>IFERROR(_xlfn.XLOOKUP(Table6[[#This Row],[Affected WTG]],'Basic Data'!$A:$A,'Basic Data'!$E:$E),"")</f>
        <v>3.846153846153845E-2</v>
      </c>
      <c r="K1510" s="102">
        <v>4970</v>
      </c>
      <c r="L1510" s="35" t="str">
        <f>IFERROR(_xlfn.XLOOKUP(Table6[[#This Row],[Error Code]],'Basic Data'!$AA:$AA,'Basic Data'!$AB:$AB),"Incorrect Error Code")</f>
        <v>Tower oscillation XF</v>
      </c>
      <c r="M1510" s="35" t="s">
        <v>266</v>
      </c>
      <c r="N1510" s="264"/>
      <c r="O1510" s="265">
        <v>0.98124999999999996</v>
      </c>
      <c r="P1510" s="265">
        <v>0.98124999999999996</v>
      </c>
      <c r="Q1510" s="266">
        <v>0.98888888888888893</v>
      </c>
      <c r="R1510" s="261">
        <f>IF(Table6[[#This Row],[Work Start TimeStamp]]="","",(Table6[[#This Row],[Work Start TimeStamp]]-Table6[[#This Row],[Fault Start TimeStamp]])*24)</f>
        <v>0</v>
      </c>
      <c r="S1510" s="261">
        <f>(Table6[[#This Row],[Fault Clearance time]]-Table6[[#This Row],[Work Start TimeStamp]])*24</f>
        <v>0.18333333333333535</v>
      </c>
      <c r="T1510" s="261">
        <f>(Table6[[#This Row],[Fault Clearance time]]-Table6[[#This Row],[Fault Start TimeStamp]])*24</f>
        <v>0.18333333333333535</v>
      </c>
      <c r="U1510" s="35" t="s">
        <v>483</v>
      </c>
      <c r="V1510" s="102" t="s">
        <v>268</v>
      </c>
      <c r="W1510" s="290">
        <f>IFERROR(Table6[[#This Row],[Breakdown Time]]*Table6[[#This Row],[Plant Equivalent Weightage]],"")</f>
        <v>7.0512820512821268E-3</v>
      </c>
      <c r="X1510" s="262" t="s">
        <v>269</v>
      </c>
      <c r="Y1510" s="263" t="s">
        <v>120</v>
      </c>
      <c r="Z1510" s="102">
        <v>32672</v>
      </c>
      <c r="AA1510" s="257">
        <f>(Table6[[#This Row],[Paired WTG Generation for loss calculation]]/24)*Table6[[#This Row],[Breakdown Time]]</f>
        <v>249.57777777778051</v>
      </c>
      <c r="AB1510" s="102"/>
      <c r="AC1510" s="35"/>
      <c r="AD1510" s="35"/>
    </row>
    <row r="1511" spans="1:30">
      <c r="A1511" s="102">
        <f t="shared" si="24"/>
        <v>1510</v>
      </c>
      <c r="B1511" s="257">
        <f>YEAR(Table6[[#This Row],[Date]])+IF(MONTH(Table6[[#This Row],[Date]])&gt;=4,1,0)</f>
        <v>2026</v>
      </c>
      <c r="C1511" s="102">
        <f>YEAR(Table6[[#This Row],[Date]])</f>
        <v>2025</v>
      </c>
      <c r="D1511" s="102" t="s">
        <v>265</v>
      </c>
      <c r="E1511" s="258">
        <f>Table6[[#This Row],[Date]]-DAY(Table6[[#This Row],[Date]])+1</f>
        <v>45839</v>
      </c>
      <c r="F1511" s="259">
        <v>45847</v>
      </c>
      <c r="G1511" s="35" t="s">
        <v>137</v>
      </c>
      <c r="H1511" s="35" t="str">
        <f>IFERROR(_xlfn.XLOOKUP(Table6[[#This Row],[Affected WTG]],'Basic Data'!$A:$A,'Basic Data'!$B:$B),"")</f>
        <v>TQGXIIPL</v>
      </c>
      <c r="I1511" s="35" t="str">
        <f>IFERROR(_xlfn.XLOOKUP(Table6[[#This Row],[Affected WTG]],'Basic Data'!$A:$A,'Basic Data'!$C:$C),"")</f>
        <v>GEDA</v>
      </c>
      <c r="J1511" s="260">
        <f>IFERROR(_xlfn.XLOOKUP(Table6[[#This Row],[Affected WTG]],'Basic Data'!$A:$A,'Basic Data'!$E:$E),"")</f>
        <v>3.846153846153845E-2</v>
      </c>
      <c r="K1511" s="102">
        <v>6130</v>
      </c>
      <c r="L1511" s="35" t="str">
        <f>IFERROR(_xlfn.XLOOKUP(Table6[[#This Row],[Error Code]],'Basic Data'!$AA:$AA,'Basic Data'!$AB:$AB),"Incorrect Error Code")</f>
        <v>Yaw speed high</v>
      </c>
      <c r="M1511" s="35" t="s">
        <v>278</v>
      </c>
      <c r="N1511" s="264"/>
      <c r="O1511" s="265">
        <v>0.79305555555555551</v>
      </c>
      <c r="P1511" s="265">
        <v>0.79305555555555551</v>
      </c>
      <c r="Q1511" s="266">
        <v>0.79722222222222228</v>
      </c>
      <c r="R1511" s="261">
        <f>IF(Table6[[#This Row],[Work Start TimeStamp]]="","",(Table6[[#This Row],[Work Start TimeStamp]]-Table6[[#This Row],[Fault Start TimeStamp]])*24)</f>
        <v>0</v>
      </c>
      <c r="S1511" s="261">
        <f>(Table6[[#This Row],[Fault Clearance time]]-Table6[[#This Row],[Work Start TimeStamp]])*24</f>
        <v>0.10000000000000231</v>
      </c>
      <c r="T1511" s="261">
        <f>(Table6[[#This Row],[Fault Clearance time]]-Table6[[#This Row],[Fault Start TimeStamp]])*24</f>
        <v>0.10000000000000231</v>
      </c>
      <c r="U1511" s="35" t="s">
        <v>277</v>
      </c>
      <c r="V1511" s="102" t="s">
        <v>268</v>
      </c>
      <c r="W1511" s="290">
        <f>IFERROR(Table6[[#This Row],[Breakdown Time]]*Table6[[#This Row],[Plant Equivalent Weightage]],"")</f>
        <v>3.846153846153934E-3</v>
      </c>
      <c r="X1511" s="262" t="s">
        <v>269</v>
      </c>
      <c r="Y1511" s="263" t="s">
        <v>125</v>
      </c>
      <c r="Z1511" s="102">
        <v>30700</v>
      </c>
      <c r="AA1511" s="257">
        <f>(Table6[[#This Row],[Paired WTG Generation for loss calculation]]/24)*Table6[[#This Row],[Breakdown Time]]</f>
        <v>127.91666666666963</v>
      </c>
      <c r="AB1511" s="102"/>
      <c r="AC1511" s="35"/>
      <c r="AD1511" s="35"/>
    </row>
    <row r="1512" spans="1:30">
      <c r="A1512" s="102">
        <f t="shared" si="24"/>
        <v>1511</v>
      </c>
      <c r="B1512" s="257">
        <f>YEAR(Table6[[#This Row],[Date]])+IF(MONTH(Table6[[#This Row],[Date]])&gt;=4,1,0)</f>
        <v>2026</v>
      </c>
      <c r="C1512" s="102">
        <f>YEAR(Table6[[#This Row],[Date]])</f>
        <v>2025</v>
      </c>
      <c r="D1512" s="102" t="s">
        <v>265</v>
      </c>
      <c r="E1512" s="258">
        <f>Table6[[#This Row],[Date]]-DAY(Table6[[#This Row],[Date]])+1</f>
        <v>45839</v>
      </c>
      <c r="F1512" s="259">
        <v>45847</v>
      </c>
      <c r="G1512" s="35" t="s">
        <v>137</v>
      </c>
      <c r="H1512" s="35" t="str">
        <f>IFERROR(_xlfn.XLOOKUP(Table6[[#This Row],[Affected WTG]],'Basic Data'!$A:$A,'Basic Data'!$B:$B),"")</f>
        <v>TQGXIIPL</v>
      </c>
      <c r="I1512" s="35" t="str">
        <f>IFERROR(_xlfn.XLOOKUP(Table6[[#This Row],[Affected WTG]],'Basic Data'!$A:$A,'Basic Data'!$C:$C),"")</f>
        <v>GEDA</v>
      </c>
      <c r="J1512" s="260">
        <f>IFERROR(_xlfn.XLOOKUP(Table6[[#This Row],[Affected WTG]],'Basic Data'!$A:$A,'Basic Data'!$E:$E),"")</f>
        <v>3.846153846153845E-2</v>
      </c>
      <c r="K1512" s="102">
        <v>6130</v>
      </c>
      <c r="L1512" s="35" t="str">
        <f>IFERROR(_xlfn.XLOOKUP(Table6[[#This Row],[Error Code]],'Basic Data'!$AA:$AA,'Basic Data'!$AB:$AB),"Incorrect Error Code")</f>
        <v>Yaw speed high</v>
      </c>
      <c r="M1512" s="35" t="s">
        <v>266</v>
      </c>
      <c r="N1512" s="264"/>
      <c r="O1512" s="265">
        <v>0.8520833333333333</v>
      </c>
      <c r="P1512" s="265">
        <v>0.8520833333333333</v>
      </c>
      <c r="Q1512" s="266">
        <v>0.85763888888888884</v>
      </c>
      <c r="R1512" s="261">
        <f>IF(Table6[[#This Row],[Work Start TimeStamp]]="","",(Table6[[#This Row],[Work Start TimeStamp]]-Table6[[#This Row],[Fault Start TimeStamp]])*24)</f>
        <v>0</v>
      </c>
      <c r="S1512" s="261">
        <f>(Table6[[#This Row],[Fault Clearance time]]-Table6[[#This Row],[Work Start TimeStamp]])*24</f>
        <v>0.13333333333333286</v>
      </c>
      <c r="T1512" s="261">
        <f>(Table6[[#This Row],[Fault Clearance time]]-Table6[[#This Row],[Fault Start TimeStamp]])*24</f>
        <v>0.13333333333333286</v>
      </c>
      <c r="U1512" s="35" t="s">
        <v>483</v>
      </c>
      <c r="V1512" s="102" t="s">
        <v>268</v>
      </c>
      <c r="W1512" s="290">
        <f>IFERROR(Table6[[#This Row],[Breakdown Time]]*Table6[[#This Row],[Plant Equivalent Weightage]],"")</f>
        <v>5.1282051282051083E-3</v>
      </c>
      <c r="X1512" s="262" t="s">
        <v>269</v>
      </c>
      <c r="Y1512" s="263" t="s">
        <v>125</v>
      </c>
      <c r="Z1512" s="102">
        <v>30700</v>
      </c>
      <c r="AA1512" s="257">
        <f>(Table6[[#This Row],[Paired WTG Generation for loss calculation]]/24)*Table6[[#This Row],[Breakdown Time]]</f>
        <v>170.55555555555495</v>
      </c>
      <c r="AB1512" s="102"/>
      <c r="AC1512" s="35"/>
      <c r="AD1512" s="35"/>
    </row>
    <row r="1513" spans="1:30">
      <c r="A1513" s="102">
        <f t="shared" si="24"/>
        <v>1512</v>
      </c>
      <c r="B1513" s="257">
        <f>YEAR(Table6[[#This Row],[Date]])+IF(MONTH(Table6[[#This Row],[Date]])&gt;=4,1,0)</f>
        <v>2026</v>
      </c>
      <c r="C1513" s="102">
        <f>YEAR(Table6[[#This Row],[Date]])</f>
        <v>2025</v>
      </c>
      <c r="D1513" s="102" t="s">
        <v>265</v>
      </c>
      <c r="E1513" s="258">
        <f>Table6[[#This Row],[Date]]-DAY(Table6[[#This Row],[Date]])+1</f>
        <v>45839</v>
      </c>
      <c r="F1513" s="259">
        <v>45848</v>
      </c>
      <c r="G1513" s="35" t="s">
        <v>118</v>
      </c>
      <c r="H1513" s="35" t="str">
        <f>IFERROR(_xlfn.XLOOKUP(Table6[[#This Row],[Affected WTG]],'Basic Data'!$A:$A,'Basic Data'!$B:$B),"")</f>
        <v>TQGXIIPL</v>
      </c>
      <c r="I1513" s="35" t="str">
        <f>IFERROR(_xlfn.XLOOKUP(Table6[[#This Row],[Affected WTG]],'Basic Data'!$A:$A,'Basic Data'!$C:$C),"")</f>
        <v>GEDA</v>
      </c>
      <c r="J1513" s="260">
        <f>IFERROR(_xlfn.XLOOKUP(Table6[[#This Row],[Affected WTG]],'Basic Data'!$A:$A,'Basic Data'!$E:$E),"")</f>
        <v>3.846153846153845E-2</v>
      </c>
      <c r="K1513" s="102">
        <v>55</v>
      </c>
      <c r="L1513" s="35" t="str">
        <f>IFERROR(_xlfn.XLOOKUP(Table6[[#This Row],[Error Code]],'Basic Data'!$AA:$AA,'Basic Data'!$AB:$AB),"Incorrect Error Code")</f>
        <v>WTG shut down</v>
      </c>
      <c r="M1513" s="35" t="s">
        <v>266</v>
      </c>
      <c r="N1513" s="264"/>
      <c r="O1513" s="265">
        <v>0.47499999999999998</v>
      </c>
      <c r="P1513" s="265">
        <v>0.47499999999999998</v>
      </c>
      <c r="Q1513" s="266">
        <v>0.70972222222222225</v>
      </c>
      <c r="R1513" s="261">
        <f>IF(Table6[[#This Row],[Work Start TimeStamp]]="","",(Table6[[#This Row],[Work Start TimeStamp]]-Table6[[#This Row],[Fault Start TimeStamp]])*24)</f>
        <v>0</v>
      </c>
      <c r="S1513" s="261">
        <f>(Table6[[#This Row],[Fault Clearance time]]-Table6[[#This Row],[Work Start TimeStamp]])*24</f>
        <v>5.6333333333333346</v>
      </c>
      <c r="T1513" s="261">
        <f>(Table6[[#This Row],[Fault Clearance time]]-Table6[[#This Row],[Fault Start TimeStamp]])*24</f>
        <v>5.6333333333333346</v>
      </c>
      <c r="U1513" s="35" t="s">
        <v>593</v>
      </c>
      <c r="V1513" s="102" t="s">
        <v>268</v>
      </c>
      <c r="W1513" s="290">
        <f>IFERROR(Table6[[#This Row],[Breakdown Time]]*Table6[[#This Row],[Plant Equivalent Weightage]],"")</f>
        <v>0.21666666666666665</v>
      </c>
      <c r="X1513" s="262" t="s">
        <v>296</v>
      </c>
      <c r="Y1513" s="263" t="s">
        <v>118</v>
      </c>
      <c r="Z1513" s="102">
        <v>14852</v>
      </c>
      <c r="AA1513" s="257">
        <f>(Table6[[#This Row],[Paired WTG Generation for loss calculation]]/24)*Table6[[#This Row],[Breakdown Time]]</f>
        <v>3486.0944444444453</v>
      </c>
      <c r="AB1513" s="102"/>
      <c r="AC1513" s="35"/>
      <c r="AD1513" s="35"/>
    </row>
    <row r="1514" spans="1:30">
      <c r="A1514" s="102">
        <f t="shared" si="24"/>
        <v>1513</v>
      </c>
      <c r="B1514" s="257">
        <f>YEAR(Table6[[#This Row],[Date]])+IF(MONTH(Table6[[#This Row],[Date]])&gt;=4,1,0)</f>
        <v>2026</v>
      </c>
      <c r="C1514" s="102">
        <f>YEAR(Table6[[#This Row],[Date]])</f>
        <v>2025</v>
      </c>
      <c r="D1514" s="102" t="s">
        <v>265</v>
      </c>
      <c r="E1514" s="258">
        <f>Table6[[#This Row],[Date]]-DAY(Table6[[#This Row],[Date]])+1</f>
        <v>45839</v>
      </c>
      <c r="F1514" s="259">
        <v>45848</v>
      </c>
      <c r="G1514" s="35" t="s">
        <v>120</v>
      </c>
      <c r="H1514" s="35" t="str">
        <f>IFERROR(_xlfn.XLOOKUP(Table6[[#This Row],[Affected WTG]],'Basic Data'!$A:$A,'Basic Data'!$B:$B),"")</f>
        <v>TQGXIIPL</v>
      </c>
      <c r="I1514" s="35" t="str">
        <f>IFERROR(_xlfn.XLOOKUP(Table6[[#This Row],[Affected WTG]],'Basic Data'!$A:$A,'Basic Data'!$C:$C),"")</f>
        <v>GEDA</v>
      </c>
      <c r="J1514" s="260">
        <f>IFERROR(_xlfn.XLOOKUP(Table6[[#This Row],[Affected WTG]],'Basic Data'!$A:$A,'Basic Data'!$E:$E),"")</f>
        <v>3.846153846153845E-2</v>
      </c>
      <c r="K1514" s="102">
        <v>55</v>
      </c>
      <c r="L1514" s="35" t="str">
        <f>IFERROR(_xlfn.XLOOKUP(Table6[[#This Row],[Error Code]],'Basic Data'!$AA:$AA,'Basic Data'!$AB:$AB),"Incorrect Error Code")</f>
        <v>WTG shut down</v>
      </c>
      <c r="M1514" s="35" t="s">
        <v>291</v>
      </c>
      <c r="N1514" s="264"/>
      <c r="O1514" s="265">
        <v>0.625</v>
      </c>
      <c r="P1514" s="265">
        <v>0.625</v>
      </c>
      <c r="Q1514" s="266">
        <v>0.91319444444444442</v>
      </c>
      <c r="R1514" s="261">
        <f>IF(Table6[[#This Row],[Work Start TimeStamp]]="","",(Table6[[#This Row],[Work Start TimeStamp]]-Table6[[#This Row],[Fault Start TimeStamp]])*24)</f>
        <v>0</v>
      </c>
      <c r="S1514" s="261">
        <f>(Table6[[#This Row],[Fault Clearance time]]-Table6[[#This Row],[Work Start TimeStamp]])*24</f>
        <v>6.9166666666666661</v>
      </c>
      <c r="T1514" s="261">
        <f>(Table6[[#This Row],[Fault Clearance time]]-Table6[[#This Row],[Fault Start TimeStamp]])*24</f>
        <v>6.9166666666666661</v>
      </c>
      <c r="U1514" s="35" t="s">
        <v>594</v>
      </c>
      <c r="V1514" s="102" t="s">
        <v>268</v>
      </c>
      <c r="W1514" s="290">
        <f>IFERROR(Table6[[#This Row],[Breakdown Time]]*Table6[[#This Row],[Plant Equivalent Weightage]],"")</f>
        <v>0.26602564102564091</v>
      </c>
      <c r="X1514" s="262" t="s">
        <v>296</v>
      </c>
      <c r="Y1514" s="263" t="s">
        <v>120</v>
      </c>
      <c r="Z1514" s="102">
        <v>19373</v>
      </c>
      <c r="AA1514" s="257">
        <f>(Table6[[#This Row],[Paired WTG Generation for loss calculation]]/24)*Table6[[#This Row],[Breakdown Time]]</f>
        <v>5583.1909722222217</v>
      </c>
      <c r="AB1514" s="102"/>
      <c r="AC1514" s="35"/>
      <c r="AD1514" s="35"/>
    </row>
    <row r="1515" spans="1:30">
      <c r="A1515" s="102">
        <f t="shared" si="24"/>
        <v>1514</v>
      </c>
      <c r="B1515" s="257">
        <f>YEAR(Table6[[#This Row],[Date]])+IF(MONTH(Table6[[#This Row],[Date]])&gt;=4,1,0)</f>
        <v>2026</v>
      </c>
      <c r="C1515" s="102">
        <f>YEAR(Table6[[#This Row],[Date]])</f>
        <v>2025</v>
      </c>
      <c r="D1515" s="102" t="s">
        <v>265</v>
      </c>
      <c r="E1515" s="258">
        <f>Table6[[#This Row],[Date]]-DAY(Table6[[#This Row],[Date]])+1</f>
        <v>45839</v>
      </c>
      <c r="F1515" s="259">
        <v>45848</v>
      </c>
      <c r="G1515" s="35" t="s">
        <v>126</v>
      </c>
      <c r="H1515" s="35" t="str">
        <f>IFERROR(_xlfn.XLOOKUP(Table6[[#This Row],[Affected WTG]],'Basic Data'!$A:$A,'Basic Data'!$B:$B),"")</f>
        <v>TQGXIIPL</v>
      </c>
      <c r="I1515" s="35" t="str">
        <f>IFERROR(_xlfn.XLOOKUP(Table6[[#This Row],[Affected WTG]],'Basic Data'!$A:$A,'Basic Data'!$C:$C),"")</f>
        <v>GEDA</v>
      </c>
      <c r="J1515" s="260">
        <f>IFERROR(_xlfn.XLOOKUP(Table6[[#This Row],[Affected WTG]],'Basic Data'!$A:$A,'Basic Data'!$E:$E),"")</f>
        <v>3.846153846153845E-2</v>
      </c>
      <c r="K1515" s="102">
        <v>55</v>
      </c>
      <c r="L1515" s="35" t="str">
        <f>IFERROR(_xlfn.XLOOKUP(Table6[[#This Row],[Error Code]],'Basic Data'!$AA:$AA,'Basic Data'!$AB:$AB),"Incorrect Error Code")</f>
        <v>WTG shut down</v>
      </c>
      <c r="M1515" s="35" t="s">
        <v>266</v>
      </c>
      <c r="N1515" s="264"/>
      <c r="O1515" s="265">
        <v>0</v>
      </c>
      <c r="P1515" s="265">
        <v>0</v>
      </c>
      <c r="Q1515" s="266">
        <v>6.25E-2</v>
      </c>
      <c r="R1515" s="261">
        <f>IF(Table6[[#This Row],[Work Start TimeStamp]]="","",(Table6[[#This Row],[Work Start TimeStamp]]-Table6[[#This Row],[Fault Start TimeStamp]])*24)</f>
        <v>0</v>
      </c>
      <c r="S1515" s="261">
        <f>(Table6[[#This Row],[Fault Clearance time]]-Table6[[#This Row],[Work Start TimeStamp]])*24</f>
        <v>1.5</v>
      </c>
      <c r="T1515" s="261">
        <f>(Table6[[#This Row],[Fault Clearance time]]-Table6[[#This Row],[Fault Start TimeStamp]])*24</f>
        <v>1.5</v>
      </c>
      <c r="U1515" s="35" t="s">
        <v>595</v>
      </c>
      <c r="V1515" s="102" t="s">
        <v>268</v>
      </c>
      <c r="W1515" s="290">
        <f>IFERROR(Table6[[#This Row],[Breakdown Time]]*Table6[[#This Row],[Plant Equivalent Weightage]],"")</f>
        <v>5.7692307692307675E-2</v>
      </c>
      <c r="X1515" s="262" t="s">
        <v>296</v>
      </c>
      <c r="Y1515" s="263" t="s">
        <v>126</v>
      </c>
      <c r="Z1515" s="102">
        <v>16323</v>
      </c>
      <c r="AA1515" s="257">
        <f>(Table6[[#This Row],[Paired WTG Generation for loss calculation]]/24)*Table6[[#This Row],[Breakdown Time]]</f>
        <v>1020.1875</v>
      </c>
      <c r="AB1515" s="102"/>
      <c r="AC1515" s="35"/>
      <c r="AD1515" s="35"/>
    </row>
    <row r="1516" spans="1:30">
      <c r="A1516" s="102">
        <f t="shared" si="24"/>
        <v>1515</v>
      </c>
      <c r="B1516" s="257">
        <f>YEAR(Table6[[#This Row],[Date]])+IF(MONTH(Table6[[#This Row],[Date]])&gt;=4,1,0)</f>
        <v>2026</v>
      </c>
      <c r="C1516" s="102">
        <f>YEAR(Table6[[#This Row],[Date]])</f>
        <v>2025</v>
      </c>
      <c r="D1516" s="102" t="s">
        <v>265</v>
      </c>
      <c r="E1516" s="258">
        <f>Table6[[#This Row],[Date]]-DAY(Table6[[#This Row],[Date]])+1</f>
        <v>45839</v>
      </c>
      <c r="F1516" s="259">
        <v>45848</v>
      </c>
      <c r="G1516" s="35" t="s">
        <v>126</v>
      </c>
      <c r="H1516" s="35" t="str">
        <f>IFERROR(_xlfn.XLOOKUP(Table6[[#This Row],[Affected WTG]],'Basic Data'!$A:$A,'Basic Data'!$B:$B),"")</f>
        <v>TQGXIIPL</v>
      </c>
      <c r="I1516" s="35" t="str">
        <f>IFERROR(_xlfn.XLOOKUP(Table6[[#This Row],[Affected WTG]],'Basic Data'!$A:$A,'Basic Data'!$C:$C),"")</f>
        <v>GEDA</v>
      </c>
      <c r="J1516" s="260">
        <f>IFERROR(_xlfn.XLOOKUP(Table6[[#This Row],[Affected WTG]],'Basic Data'!$A:$A,'Basic Data'!$E:$E),"")</f>
        <v>3.846153846153845E-2</v>
      </c>
      <c r="K1516" s="102">
        <v>6605</v>
      </c>
      <c r="L1516" s="35" t="str">
        <f>IFERROR(_xlfn.XLOOKUP(Table6[[#This Row],[Error Code]],'Basic Data'!$AA:$AA,'Basic Data'!$AB:$AB),"Incorrect Error Code")</f>
        <v>Wind.dir. diff. level 2</v>
      </c>
      <c r="M1516" s="35" t="s">
        <v>266</v>
      </c>
      <c r="N1516" s="264"/>
      <c r="O1516" s="265">
        <v>0.22083333333333333</v>
      </c>
      <c r="P1516" s="265">
        <v>0.22083333333333333</v>
      </c>
      <c r="Q1516" s="266">
        <v>0.2298611111111111</v>
      </c>
      <c r="R1516" s="261">
        <f>IF(Table6[[#This Row],[Work Start TimeStamp]]="","",(Table6[[#This Row],[Work Start TimeStamp]]-Table6[[#This Row],[Fault Start TimeStamp]])*24)</f>
        <v>0</v>
      </c>
      <c r="S1516" s="261">
        <f>(Table6[[#This Row],[Fault Clearance time]]-Table6[[#This Row],[Work Start TimeStamp]])*24</f>
        <v>0.21666666666666656</v>
      </c>
      <c r="T1516" s="261">
        <f>(Table6[[#This Row],[Fault Clearance time]]-Table6[[#This Row],[Fault Start TimeStamp]])*24</f>
        <v>0.21666666666666656</v>
      </c>
      <c r="U1516" s="35" t="s">
        <v>575</v>
      </c>
      <c r="V1516" s="102" t="s">
        <v>268</v>
      </c>
      <c r="W1516" s="290">
        <f>IFERROR(Table6[[#This Row],[Breakdown Time]]*Table6[[#This Row],[Plant Equivalent Weightage]],"")</f>
        <v>8.3333333333333263E-3</v>
      </c>
      <c r="X1516" s="262" t="s">
        <v>269</v>
      </c>
      <c r="Y1516" s="263" t="s">
        <v>126</v>
      </c>
      <c r="Z1516" s="102">
        <v>16323</v>
      </c>
      <c r="AA1516" s="257">
        <f>(Table6[[#This Row],[Paired WTG Generation for loss calculation]]/24)*Table6[[#This Row],[Breakdown Time]]</f>
        <v>147.36041666666659</v>
      </c>
      <c r="AB1516" s="102"/>
      <c r="AC1516" s="35"/>
      <c r="AD1516" s="35"/>
    </row>
    <row r="1517" spans="1:30">
      <c r="A1517" s="102">
        <f t="shared" si="24"/>
        <v>1516</v>
      </c>
      <c r="B1517" s="257">
        <f>YEAR(Table6[[#This Row],[Date]])+IF(MONTH(Table6[[#This Row],[Date]])&gt;=4,1,0)</f>
        <v>2026</v>
      </c>
      <c r="C1517" s="102">
        <f>YEAR(Table6[[#This Row],[Date]])</f>
        <v>2025</v>
      </c>
      <c r="D1517" s="102" t="s">
        <v>265</v>
      </c>
      <c r="E1517" s="258">
        <f>Table6[[#This Row],[Date]]-DAY(Table6[[#This Row],[Date]])+1</f>
        <v>45839</v>
      </c>
      <c r="F1517" s="259">
        <v>45848</v>
      </c>
      <c r="G1517" s="35" t="s">
        <v>126</v>
      </c>
      <c r="H1517" s="35" t="str">
        <f>IFERROR(_xlfn.XLOOKUP(Table6[[#This Row],[Affected WTG]],'Basic Data'!$A:$A,'Basic Data'!$B:$B),"")</f>
        <v>TQGXIIPL</v>
      </c>
      <c r="I1517" s="35" t="str">
        <f>IFERROR(_xlfn.XLOOKUP(Table6[[#This Row],[Affected WTG]],'Basic Data'!$A:$A,'Basic Data'!$C:$C),"")</f>
        <v>GEDA</v>
      </c>
      <c r="J1517" s="260">
        <f>IFERROR(_xlfn.XLOOKUP(Table6[[#This Row],[Affected WTG]],'Basic Data'!$A:$A,'Basic Data'!$E:$E),"")</f>
        <v>3.846153846153845E-2</v>
      </c>
      <c r="K1517" s="102">
        <v>6605</v>
      </c>
      <c r="L1517" s="35" t="str">
        <f>IFERROR(_xlfn.XLOOKUP(Table6[[#This Row],[Error Code]],'Basic Data'!$AA:$AA,'Basic Data'!$AB:$AB),"Incorrect Error Code")</f>
        <v>Wind.dir. diff. level 2</v>
      </c>
      <c r="M1517" s="35" t="s">
        <v>266</v>
      </c>
      <c r="N1517" s="264"/>
      <c r="O1517" s="265">
        <v>0.38124999999999998</v>
      </c>
      <c r="P1517" s="265">
        <v>0.38124999999999998</v>
      </c>
      <c r="Q1517" s="266">
        <v>0.38680555555555557</v>
      </c>
      <c r="R1517" s="261">
        <f>IF(Table6[[#This Row],[Work Start TimeStamp]]="","",(Table6[[#This Row],[Work Start TimeStamp]]-Table6[[#This Row],[Fault Start TimeStamp]])*24)</f>
        <v>0</v>
      </c>
      <c r="S1517" s="261">
        <f>(Table6[[#This Row],[Fault Clearance time]]-Table6[[#This Row],[Work Start TimeStamp]])*24</f>
        <v>0.13333333333333419</v>
      </c>
      <c r="T1517" s="261">
        <f>(Table6[[#This Row],[Fault Clearance time]]-Table6[[#This Row],[Fault Start TimeStamp]])*24</f>
        <v>0.13333333333333419</v>
      </c>
      <c r="U1517" s="35" t="s">
        <v>483</v>
      </c>
      <c r="V1517" s="102" t="s">
        <v>268</v>
      </c>
      <c r="W1517" s="290">
        <f>IFERROR(Table6[[#This Row],[Breakdown Time]]*Table6[[#This Row],[Plant Equivalent Weightage]],"")</f>
        <v>5.1282051282051594E-3</v>
      </c>
      <c r="X1517" s="262" t="s">
        <v>269</v>
      </c>
      <c r="Y1517" s="263" t="s">
        <v>126</v>
      </c>
      <c r="Z1517" s="102">
        <v>16323</v>
      </c>
      <c r="AA1517" s="257">
        <f>(Table6[[#This Row],[Paired WTG Generation for loss calculation]]/24)*Table6[[#This Row],[Breakdown Time]]</f>
        <v>90.68333333333392</v>
      </c>
      <c r="AB1517" s="102"/>
      <c r="AC1517" s="35"/>
      <c r="AD1517" s="35"/>
    </row>
    <row r="1518" spans="1:30">
      <c r="A1518" s="102">
        <f t="shared" si="24"/>
        <v>1517</v>
      </c>
      <c r="B1518" s="257">
        <f>YEAR(Table6[[#This Row],[Date]])+IF(MONTH(Table6[[#This Row],[Date]])&gt;=4,1,0)</f>
        <v>2026</v>
      </c>
      <c r="C1518" s="102">
        <f>YEAR(Table6[[#This Row],[Date]])</f>
        <v>2025</v>
      </c>
      <c r="D1518" s="102" t="s">
        <v>265</v>
      </c>
      <c r="E1518" s="258">
        <f>Table6[[#This Row],[Date]]-DAY(Table6[[#This Row],[Date]])+1</f>
        <v>45839</v>
      </c>
      <c r="F1518" s="259">
        <v>45848</v>
      </c>
      <c r="G1518" s="35" t="s">
        <v>126</v>
      </c>
      <c r="H1518" s="35" t="str">
        <f>IFERROR(_xlfn.XLOOKUP(Table6[[#This Row],[Affected WTG]],'Basic Data'!$A:$A,'Basic Data'!$B:$B),"")</f>
        <v>TQGXIIPL</v>
      </c>
      <c r="I1518" s="35" t="str">
        <f>IFERROR(_xlfn.XLOOKUP(Table6[[#This Row],[Affected WTG]],'Basic Data'!$A:$A,'Basic Data'!$C:$C),"")</f>
        <v>GEDA</v>
      </c>
      <c r="J1518" s="260">
        <f>IFERROR(_xlfn.XLOOKUP(Table6[[#This Row],[Affected WTG]],'Basic Data'!$A:$A,'Basic Data'!$E:$E),"")</f>
        <v>3.846153846153845E-2</v>
      </c>
      <c r="K1518" s="102">
        <v>6605</v>
      </c>
      <c r="L1518" s="35" t="str">
        <f>IFERROR(_xlfn.XLOOKUP(Table6[[#This Row],[Error Code]],'Basic Data'!$AA:$AA,'Basic Data'!$AB:$AB),"Incorrect Error Code")</f>
        <v>Wind.dir. diff. level 2</v>
      </c>
      <c r="M1518" s="35" t="s">
        <v>266</v>
      </c>
      <c r="N1518" s="264"/>
      <c r="O1518" s="265">
        <v>0.71805555555555556</v>
      </c>
      <c r="P1518" s="265">
        <v>0.71805555555555556</v>
      </c>
      <c r="Q1518" s="266">
        <v>0.72152777777777777</v>
      </c>
      <c r="R1518" s="261">
        <f>IF(Table6[[#This Row],[Work Start TimeStamp]]="","",(Table6[[#This Row],[Work Start TimeStamp]]-Table6[[#This Row],[Fault Start TimeStamp]])*24)</f>
        <v>0</v>
      </c>
      <c r="S1518" s="261">
        <f>(Table6[[#This Row],[Fault Clearance time]]-Table6[[#This Row],[Work Start TimeStamp]])*24</f>
        <v>8.3333333333333037E-2</v>
      </c>
      <c r="T1518" s="261">
        <f>(Table6[[#This Row],[Fault Clearance time]]-Table6[[#This Row],[Fault Start TimeStamp]])*24</f>
        <v>8.3333333333333037E-2</v>
      </c>
      <c r="U1518" s="35" t="s">
        <v>483</v>
      </c>
      <c r="V1518" s="102" t="s">
        <v>268</v>
      </c>
      <c r="W1518" s="290">
        <f>IFERROR(Table6[[#This Row],[Breakdown Time]]*Table6[[#This Row],[Plant Equivalent Weightage]],"")</f>
        <v>3.2051282051281929E-3</v>
      </c>
      <c r="X1518" s="262" t="s">
        <v>269</v>
      </c>
      <c r="Y1518" s="263" t="s">
        <v>126</v>
      </c>
      <c r="Z1518" s="102">
        <v>16323</v>
      </c>
      <c r="AA1518" s="257">
        <f>(Table6[[#This Row],[Paired WTG Generation for loss calculation]]/24)*Table6[[#This Row],[Breakdown Time]]</f>
        <v>56.67708333333313</v>
      </c>
      <c r="AB1518" s="102"/>
      <c r="AC1518" s="35"/>
      <c r="AD1518" s="35"/>
    </row>
    <row r="1519" spans="1:30">
      <c r="A1519" s="102">
        <f t="shared" si="24"/>
        <v>1518</v>
      </c>
      <c r="B1519" s="257">
        <f>YEAR(Table6[[#This Row],[Date]])+IF(MONTH(Table6[[#This Row],[Date]])&gt;=4,1,0)</f>
        <v>2026</v>
      </c>
      <c r="C1519" s="102">
        <f>YEAR(Table6[[#This Row],[Date]])</f>
        <v>2025</v>
      </c>
      <c r="D1519" s="102" t="s">
        <v>265</v>
      </c>
      <c r="E1519" s="258">
        <f>Table6[[#This Row],[Date]]-DAY(Table6[[#This Row],[Date]])+1</f>
        <v>45839</v>
      </c>
      <c r="F1519" s="259">
        <v>45848</v>
      </c>
      <c r="G1519" s="35" t="s">
        <v>126</v>
      </c>
      <c r="H1519" s="35" t="str">
        <f>IFERROR(_xlfn.XLOOKUP(Table6[[#This Row],[Affected WTG]],'Basic Data'!$A:$A,'Basic Data'!$B:$B),"")</f>
        <v>TQGXIIPL</v>
      </c>
      <c r="I1519" s="35" t="str">
        <f>IFERROR(_xlfn.XLOOKUP(Table6[[#This Row],[Affected WTG]],'Basic Data'!$A:$A,'Basic Data'!$C:$C),"")</f>
        <v>GEDA</v>
      </c>
      <c r="J1519" s="260">
        <f>IFERROR(_xlfn.XLOOKUP(Table6[[#This Row],[Affected WTG]],'Basic Data'!$A:$A,'Basic Data'!$E:$E),"")</f>
        <v>3.846153846153845E-2</v>
      </c>
      <c r="K1519" s="102">
        <v>6605</v>
      </c>
      <c r="L1519" s="35" t="str">
        <f>IFERROR(_xlfn.XLOOKUP(Table6[[#This Row],[Error Code]],'Basic Data'!$AA:$AA,'Basic Data'!$AB:$AB),"Incorrect Error Code")</f>
        <v>Wind.dir. diff. level 2</v>
      </c>
      <c r="M1519" s="35" t="s">
        <v>266</v>
      </c>
      <c r="N1519" s="264"/>
      <c r="O1519" s="265">
        <v>0.96944444444444444</v>
      </c>
      <c r="P1519" s="265">
        <v>0.96944444444444444</v>
      </c>
      <c r="Q1519" s="266">
        <v>0.97638888888888886</v>
      </c>
      <c r="R1519" s="261">
        <f>IF(Table6[[#This Row],[Work Start TimeStamp]]="","",(Table6[[#This Row],[Work Start TimeStamp]]-Table6[[#This Row],[Fault Start TimeStamp]])*24)</f>
        <v>0</v>
      </c>
      <c r="S1519" s="261">
        <f>(Table6[[#This Row],[Fault Clearance time]]-Table6[[#This Row],[Work Start TimeStamp]])*24</f>
        <v>0.16666666666666607</v>
      </c>
      <c r="T1519" s="261">
        <f>(Table6[[#This Row],[Fault Clearance time]]-Table6[[#This Row],[Fault Start TimeStamp]])*24</f>
        <v>0.16666666666666607</v>
      </c>
      <c r="U1519" s="35" t="s">
        <v>575</v>
      </c>
      <c r="V1519" s="102" t="s">
        <v>268</v>
      </c>
      <c r="W1519" s="290">
        <f>IFERROR(Table6[[#This Row],[Breakdown Time]]*Table6[[#This Row],[Plant Equivalent Weightage]],"")</f>
        <v>6.4102564102563857E-3</v>
      </c>
      <c r="X1519" s="262" t="s">
        <v>269</v>
      </c>
      <c r="Y1519" s="263" t="s">
        <v>126</v>
      </c>
      <c r="Z1519" s="102">
        <v>16323</v>
      </c>
      <c r="AA1519" s="257">
        <f>(Table6[[#This Row],[Paired WTG Generation for loss calculation]]/24)*Table6[[#This Row],[Breakdown Time]]</f>
        <v>113.35416666666626</v>
      </c>
      <c r="AB1519" s="102"/>
      <c r="AC1519" s="35"/>
      <c r="AD1519" s="35"/>
    </row>
    <row r="1520" spans="1:30">
      <c r="A1520" s="102">
        <f t="shared" si="24"/>
        <v>1519</v>
      </c>
      <c r="B1520" s="257">
        <f>YEAR(Table6[[#This Row],[Date]])+IF(MONTH(Table6[[#This Row],[Date]])&gt;=4,1,0)</f>
        <v>2026</v>
      </c>
      <c r="C1520" s="102">
        <f>YEAR(Table6[[#This Row],[Date]])</f>
        <v>2025</v>
      </c>
      <c r="D1520" s="102" t="s">
        <v>265</v>
      </c>
      <c r="E1520" s="258">
        <f>Table6[[#This Row],[Date]]-DAY(Table6[[#This Row],[Date]])+1</f>
        <v>45839</v>
      </c>
      <c r="F1520" s="259">
        <v>45849</v>
      </c>
      <c r="G1520" s="35" t="s">
        <v>116</v>
      </c>
      <c r="H1520" s="35" t="str">
        <f>IFERROR(_xlfn.XLOOKUP(Table6[[#This Row],[Affected WTG]],'Basic Data'!$A:$A,'Basic Data'!$B:$B),"")</f>
        <v>TQGXIIPL</v>
      </c>
      <c r="I1520" s="35" t="str">
        <f>IFERROR(_xlfn.XLOOKUP(Table6[[#This Row],[Affected WTG]],'Basic Data'!$A:$A,'Basic Data'!$C:$C),"")</f>
        <v>GEDA</v>
      </c>
      <c r="J1520" s="260">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266</v>
      </c>
      <c r="N1520" s="264"/>
      <c r="O1520" s="265">
        <v>0.37708333333333333</v>
      </c>
      <c r="P1520" s="265">
        <v>0.37708333333333333</v>
      </c>
      <c r="Q1520" s="266">
        <v>0.38680555555555557</v>
      </c>
      <c r="R1520" s="261">
        <f>IF(Table6[[#This Row],[Work Start TimeStamp]]="","",(Table6[[#This Row],[Work Start TimeStamp]]-Table6[[#This Row],[Fault Start TimeStamp]])*24)</f>
        <v>0</v>
      </c>
      <c r="S1520" s="261">
        <f>(Table6[[#This Row],[Fault Clearance time]]-Table6[[#This Row],[Work Start TimeStamp]])*24</f>
        <v>0.23333333333333384</v>
      </c>
      <c r="T1520" s="261">
        <f>(Table6[[#This Row],[Fault Clearance time]]-Table6[[#This Row],[Fault Start TimeStamp]])*24</f>
        <v>0.23333333333333384</v>
      </c>
      <c r="U1520" s="35" t="s">
        <v>575</v>
      </c>
      <c r="V1520" s="102" t="s">
        <v>268</v>
      </c>
      <c r="W1520" s="290">
        <f>IFERROR(Table6[[#This Row],[Breakdown Time]]*Table6[[#This Row],[Plant Equivalent Weightage]],"")</f>
        <v>8.974358974358991E-3</v>
      </c>
      <c r="X1520" s="262" t="s">
        <v>269</v>
      </c>
      <c r="Y1520" s="263" t="s">
        <v>119</v>
      </c>
      <c r="Z1520" s="102">
        <v>21381</v>
      </c>
      <c r="AA1520" s="257">
        <f>(Table6[[#This Row],[Paired WTG Generation for loss calculation]]/24)*Table6[[#This Row],[Breakdown Time]]</f>
        <v>207.87083333333379</v>
      </c>
      <c r="AB1520" s="102"/>
      <c r="AC1520" s="35"/>
      <c r="AD1520" s="35"/>
    </row>
    <row r="1521" spans="1:30">
      <c r="A1521" s="102">
        <f t="shared" si="24"/>
        <v>1520</v>
      </c>
      <c r="B1521" s="257">
        <f>YEAR(Table6[[#This Row],[Date]])+IF(MONTH(Table6[[#This Row],[Date]])&gt;=4,1,0)</f>
        <v>2026</v>
      </c>
      <c r="C1521" s="102">
        <f>YEAR(Table6[[#This Row],[Date]])</f>
        <v>2025</v>
      </c>
      <c r="D1521" s="102" t="s">
        <v>265</v>
      </c>
      <c r="E1521" s="258">
        <f>Table6[[#This Row],[Date]]-DAY(Table6[[#This Row],[Date]])+1</f>
        <v>45839</v>
      </c>
      <c r="F1521" s="259">
        <v>45849</v>
      </c>
      <c r="G1521" s="35" t="s">
        <v>121</v>
      </c>
      <c r="H1521" s="35" t="str">
        <f>IFERROR(_xlfn.XLOOKUP(Table6[[#This Row],[Affected WTG]],'Basic Data'!$A:$A,'Basic Data'!$B:$B),"")</f>
        <v>TQGXIIPL</v>
      </c>
      <c r="I1521" s="35" t="str">
        <f>IFERROR(_xlfn.XLOOKUP(Table6[[#This Row],[Affected WTG]],'Basic Data'!$A:$A,'Basic Data'!$C:$C),"")</f>
        <v>GEDA</v>
      </c>
      <c r="J1521" s="260">
        <f>IFERROR(_xlfn.XLOOKUP(Table6[[#This Row],[Affected WTG]],'Basic Data'!$A:$A,'Basic Data'!$E:$E),"")</f>
        <v>3.846153846153845E-2</v>
      </c>
      <c r="K1521" s="102">
        <v>55</v>
      </c>
      <c r="L1521" s="35" t="str">
        <f>IFERROR(_xlfn.XLOOKUP(Table6[[#This Row],[Error Code]],'Basic Data'!$AA:$AA,'Basic Data'!$AB:$AB),"Incorrect Error Code")</f>
        <v>WTG shut down</v>
      </c>
      <c r="M1521" s="35" t="s">
        <v>266</v>
      </c>
      <c r="N1521" s="264"/>
      <c r="O1521" s="265">
        <v>0.50277777777777777</v>
      </c>
      <c r="P1521" s="265">
        <v>0.50277777777777777</v>
      </c>
      <c r="Q1521" s="266">
        <v>0.67638888888888893</v>
      </c>
      <c r="R1521" s="261">
        <f>IF(Table6[[#This Row],[Work Start TimeStamp]]="","",(Table6[[#This Row],[Work Start TimeStamp]]-Table6[[#This Row],[Fault Start TimeStamp]])*24)</f>
        <v>0</v>
      </c>
      <c r="S1521" s="261">
        <f>(Table6[[#This Row],[Fault Clearance time]]-Table6[[#This Row],[Work Start TimeStamp]])*24</f>
        <v>4.1666666666666679</v>
      </c>
      <c r="T1521" s="261">
        <f>(Table6[[#This Row],[Fault Clearance time]]-Table6[[#This Row],[Fault Start TimeStamp]])*24</f>
        <v>4.1666666666666679</v>
      </c>
      <c r="U1521" s="35" t="s">
        <v>596</v>
      </c>
      <c r="V1521" s="102" t="s">
        <v>268</v>
      </c>
      <c r="W1521" s="290">
        <f>IFERROR(Table6[[#This Row],[Breakdown Time]]*Table6[[#This Row],[Plant Equivalent Weightage]],"")</f>
        <v>0.16025641025641024</v>
      </c>
      <c r="X1521" s="262" t="s">
        <v>296</v>
      </c>
      <c r="Y1521" s="263" t="s">
        <v>118</v>
      </c>
      <c r="Z1521" s="102">
        <v>21640</v>
      </c>
      <c r="AA1521" s="257">
        <f>(Table6[[#This Row],[Paired WTG Generation for loss calculation]]/24)*Table6[[#This Row],[Breakdown Time]]</f>
        <v>3756.9444444444453</v>
      </c>
      <c r="AB1521" s="102"/>
      <c r="AC1521" s="35"/>
      <c r="AD1521" s="35"/>
    </row>
    <row r="1522" spans="1:30">
      <c r="A1522" s="102">
        <f t="shared" si="24"/>
        <v>1521</v>
      </c>
      <c r="B1522" s="257">
        <f>YEAR(Table6[[#This Row],[Date]])+IF(MONTH(Table6[[#This Row],[Date]])&gt;=4,1,0)</f>
        <v>2026</v>
      </c>
      <c r="C1522" s="102">
        <f>YEAR(Table6[[#This Row],[Date]])</f>
        <v>2025</v>
      </c>
      <c r="D1522" s="102" t="s">
        <v>265</v>
      </c>
      <c r="E1522" s="258">
        <f>Table6[[#This Row],[Date]]-DAY(Table6[[#This Row],[Date]])+1</f>
        <v>45839</v>
      </c>
      <c r="F1522" s="259">
        <v>45849</v>
      </c>
      <c r="G1522" s="35" t="s">
        <v>122</v>
      </c>
      <c r="H1522" s="35" t="str">
        <f>IFERROR(_xlfn.XLOOKUP(Table6[[#This Row],[Affected WTG]],'Basic Data'!$A:$A,'Basic Data'!$B:$B),"")</f>
        <v>TQGXIIPL</v>
      </c>
      <c r="I1522" s="35" t="str">
        <f>IFERROR(_xlfn.XLOOKUP(Table6[[#This Row],[Affected WTG]],'Basic Data'!$A:$A,'Basic Data'!$C:$C),"")</f>
        <v>GEDA</v>
      </c>
      <c r="J1522" s="260">
        <f>IFERROR(_xlfn.XLOOKUP(Table6[[#This Row],[Affected WTG]],'Basic Data'!$A:$A,'Basic Data'!$E:$E),"")</f>
        <v>3.846153846153845E-2</v>
      </c>
      <c r="K1522" s="102">
        <v>55</v>
      </c>
      <c r="L1522" s="35" t="str">
        <f>IFERROR(_xlfn.XLOOKUP(Table6[[#This Row],[Error Code]],'Basic Data'!$AA:$AA,'Basic Data'!$AB:$AB),"Incorrect Error Code")</f>
        <v>WTG shut down</v>
      </c>
      <c r="M1522" s="35" t="s">
        <v>266</v>
      </c>
      <c r="N1522" s="264"/>
      <c r="O1522" s="265">
        <v>0.4861111111111111</v>
      </c>
      <c r="P1522" s="265">
        <v>0.4861111111111111</v>
      </c>
      <c r="Q1522" s="266">
        <v>0.61597222222222225</v>
      </c>
      <c r="R1522" s="261">
        <f>IF(Table6[[#This Row],[Work Start TimeStamp]]="","",(Table6[[#This Row],[Work Start TimeStamp]]-Table6[[#This Row],[Fault Start TimeStamp]])*24)</f>
        <v>0</v>
      </c>
      <c r="S1522" s="261">
        <f>(Table6[[#This Row],[Fault Clearance time]]-Table6[[#This Row],[Work Start TimeStamp]])*24</f>
        <v>3.1166666666666676</v>
      </c>
      <c r="T1522" s="261">
        <f>(Table6[[#This Row],[Fault Clearance time]]-Table6[[#This Row],[Fault Start TimeStamp]])*24</f>
        <v>3.1166666666666676</v>
      </c>
      <c r="U1522" s="35" t="s">
        <v>596</v>
      </c>
      <c r="V1522" s="102" t="s">
        <v>268</v>
      </c>
      <c r="W1522" s="290">
        <f>IFERROR(Table6[[#This Row],[Breakdown Time]]*Table6[[#This Row],[Plant Equivalent Weightage]],"")</f>
        <v>0.11987179487179488</v>
      </c>
      <c r="X1522" s="262" t="s">
        <v>296</v>
      </c>
      <c r="Y1522" s="263" t="s">
        <v>140</v>
      </c>
      <c r="Z1522" s="102">
        <v>20720</v>
      </c>
      <c r="AA1522" s="257">
        <f>(Table6[[#This Row],[Paired WTG Generation for loss calculation]]/24)*Table6[[#This Row],[Breakdown Time]]</f>
        <v>2690.7222222222231</v>
      </c>
      <c r="AB1522" s="102"/>
      <c r="AC1522" s="35"/>
      <c r="AD1522" s="35"/>
    </row>
    <row r="1523" spans="1:30">
      <c r="A1523" s="102">
        <f t="shared" si="24"/>
        <v>1522</v>
      </c>
      <c r="B1523" s="257">
        <f>YEAR(Table6[[#This Row],[Date]])+IF(MONTH(Table6[[#This Row],[Date]])&gt;=4,1,0)</f>
        <v>2026</v>
      </c>
      <c r="C1523" s="102">
        <f>YEAR(Table6[[#This Row],[Date]])</f>
        <v>2025</v>
      </c>
      <c r="D1523" s="102" t="s">
        <v>265</v>
      </c>
      <c r="E1523" s="258">
        <f>Table6[[#This Row],[Date]]-DAY(Table6[[#This Row],[Date]])+1</f>
        <v>45839</v>
      </c>
      <c r="F1523" s="259">
        <v>45849</v>
      </c>
      <c r="G1523" s="35" t="s">
        <v>119</v>
      </c>
      <c r="H1523" s="35" t="str">
        <f>IFERROR(_xlfn.XLOOKUP(Table6[[#This Row],[Affected WTG]],'Basic Data'!$A:$A,'Basic Data'!$B:$B),"")</f>
        <v>TQGXIIPL</v>
      </c>
      <c r="I1523" s="35" t="str">
        <f>IFERROR(_xlfn.XLOOKUP(Table6[[#This Row],[Affected WTG]],'Basic Data'!$A:$A,'Basic Data'!$C:$C),"")</f>
        <v>GEDA</v>
      </c>
      <c r="J1523" s="260">
        <f>IFERROR(_xlfn.XLOOKUP(Table6[[#This Row],[Affected WTG]],'Basic Data'!$A:$A,'Basic Data'!$E:$E),"")</f>
        <v>3.846153846153845E-2</v>
      </c>
      <c r="K1523" s="102">
        <v>3110</v>
      </c>
      <c r="L1523" s="35" t="str">
        <f>IFERROR(_xlfn.XLOOKUP(Table6[[#This Row],[Error Code]],'Basic Data'!$AA:$AA,'Basic Data'!$AB:$AB),"Incorrect Error Code")</f>
        <v>Frequency converter error</v>
      </c>
      <c r="M1523" s="35" t="s">
        <v>278</v>
      </c>
      <c r="N1523" s="264"/>
      <c r="O1523" s="265">
        <v>0.92708333333333337</v>
      </c>
      <c r="P1523" s="265">
        <v>0.92708333333333337</v>
      </c>
      <c r="Q1523" s="266">
        <v>0.92847222222222225</v>
      </c>
      <c r="R1523" s="261">
        <f>IF(Table6[[#This Row],[Work Start TimeStamp]]="","",(Table6[[#This Row],[Work Start TimeStamp]]-Table6[[#This Row],[Fault Start TimeStamp]])*24)</f>
        <v>0</v>
      </c>
      <c r="S1523" s="261">
        <f>(Table6[[#This Row],[Fault Clearance time]]-Table6[[#This Row],[Work Start TimeStamp]])*24</f>
        <v>3.3333333333333215E-2</v>
      </c>
      <c r="T1523" s="261">
        <f>(Table6[[#This Row],[Fault Clearance time]]-Table6[[#This Row],[Fault Start TimeStamp]])*24</f>
        <v>3.3333333333333215E-2</v>
      </c>
      <c r="U1523" s="35" t="s">
        <v>277</v>
      </c>
      <c r="V1523" s="102" t="s">
        <v>268</v>
      </c>
      <c r="W1523" s="290">
        <f>IFERROR(Table6[[#This Row],[Breakdown Time]]*Table6[[#This Row],[Plant Equivalent Weightage]],"")</f>
        <v>1.2820512820512771E-3</v>
      </c>
      <c r="X1523" s="262" t="s">
        <v>269</v>
      </c>
      <c r="Y1523" s="263" t="s">
        <v>116</v>
      </c>
      <c r="Z1523" s="102">
        <v>20440</v>
      </c>
      <c r="AA1523" s="257">
        <f>(Table6[[#This Row],[Paired WTG Generation for loss calculation]]/24)*Table6[[#This Row],[Breakdown Time]]</f>
        <v>28.388888888888786</v>
      </c>
      <c r="AB1523" s="102"/>
      <c r="AC1523" s="35"/>
      <c r="AD1523" s="35"/>
    </row>
    <row r="1524" spans="1:30">
      <c r="A1524" s="102">
        <f t="shared" si="24"/>
        <v>1523</v>
      </c>
      <c r="B1524" s="257">
        <f>YEAR(Table6[[#This Row],[Date]])+IF(MONTH(Table6[[#This Row],[Date]])&gt;=4,1,0)</f>
        <v>2026</v>
      </c>
      <c r="C1524" s="102">
        <f>YEAR(Table6[[#This Row],[Date]])</f>
        <v>2025</v>
      </c>
      <c r="D1524" s="102" t="s">
        <v>265</v>
      </c>
      <c r="E1524" s="258">
        <f>Table6[[#This Row],[Date]]-DAY(Table6[[#This Row],[Date]])+1</f>
        <v>45839</v>
      </c>
      <c r="F1524" s="259">
        <v>45849</v>
      </c>
      <c r="G1524" s="35" t="s">
        <v>124</v>
      </c>
      <c r="H1524" s="35" t="str">
        <f>IFERROR(_xlfn.XLOOKUP(Table6[[#This Row],[Affected WTG]],'Basic Data'!$A:$A,'Basic Data'!$B:$B),"")</f>
        <v>TQGXIIPL</v>
      </c>
      <c r="I1524" s="35" t="str">
        <f>IFERROR(_xlfn.XLOOKUP(Table6[[#This Row],[Affected WTG]],'Basic Data'!$A:$A,'Basic Data'!$C:$C),"")</f>
        <v>GEDA</v>
      </c>
      <c r="J1524" s="260">
        <f>IFERROR(_xlfn.XLOOKUP(Table6[[#This Row],[Affected WTG]],'Basic Data'!$A:$A,'Basic Data'!$E:$E),"")</f>
        <v>3.846153846153845E-2</v>
      </c>
      <c r="K1524" s="102">
        <v>55</v>
      </c>
      <c r="L1524" s="35" t="str">
        <f>IFERROR(_xlfn.XLOOKUP(Table6[[#This Row],[Error Code]],'Basic Data'!$AA:$AA,'Basic Data'!$AB:$AB),"Incorrect Error Code")</f>
        <v>WTG shut down</v>
      </c>
      <c r="M1524" s="35" t="s">
        <v>266</v>
      </c>
      <c r="N1524" s="264"/>
      <c r="O1524" s="265">
        <v>0.5541666666666667</v>
      </c>
      <c r="P1524" s="265">
        <v>0.5541666666666667</v>
      </c>
      <c r="Q1524" s="266">
        <v>0.57777777777777772</v>
      </c>
      <c r="R1524" s="261">
        <f>IF(Table6[[#This Row],[Work Start TimeStamp]]="","",(Table6[[#This Row],[Work Start TimeStamp]]-Table6[[#This Row],[Fault Start TimeStamp]])*24)</f>
        <v>0</v>
      </c>
      <c r="S1524" s="261">
        <f>(Table6[[#This Row],[Fault Clearance time]]-Table6[[#This Row],[Work Start TimeStamp]])*24</f>
        <v>0.56666666666666465</v>
      </c>
      <c r="T1524" s="261">
        <f>(Table6[[#This Row],[Fault Clearance time]]-Table6[[#This Row],[Fault Start TimeStamp]])*24</f>
        <v>0.56666666666666465</v>
      </c>
      <c r="U1524" s="35" t="s">
        <v>597</v>
      </c>
      <c r="V1524" s="102" t="s">
        <v>268</v>
      </c>
      <c r="W1524" s="290">
        <f>IFERROR(Table6[[#This Row],[Breakdown Time]]*Table6[[#This Row],[Plant Equivalent Weightage]],"")</f>
        <v>2.1794871794871711E-2</v>
      </c>
      <c r="X1524" s="262" t="s">
        <v>269</v>
      </c>
      <c r="Y1524" s="263" t="s">
        <v>129</v>
      </c>
      <c r="Z1524" s="102">
        <v>18652</v>
      </c>
      <c r="AA1524" s="257">
        <f>(Table6[[#This Row],[Paired WTG Generation for loss calculation]]/24)*Table6[[#This Row],[Breakdown Time]]</f>
        <v>440.39444444444285</v>
      </c>
      <c r="AB1524" s="102"/>
      <c r="AC1524" s="35"/>
      <c r="AD1524" s="35"/>
    </row>
    <row r="1525" spans="1:30">
      <c r="A1525" s="102">
        <f t="shared" si="24"/>
        <v>1524</v>
      </c>
      <c r="B1525" s="257">
        <f>YEAR(Table6[[#This Row],[Date]])+IF(MONTH(Table6[[#This Row],[Date]])&gt;=4,1,0)</f>
        <v>2026</v>
      </c>
      <c r="C1525" s="102">
        <f>YEAR(Table6[[#This Row],[Date]])</f>
        <v>2025</v>
      </c>
      <c r="D1525" s="102" t="s">
        <v>265</v>
      </c>
      <c r="E1525" s="258">
        <f>Table6[[#This Row],[Date]]-DAY(Table6[[#This Row],[Date]])+1</f>
        <v>45839</v>
      </c>
      <c r="F1525" s="259">
        <v>45849</v>
      </c>
      <c r="G1525" s="35" t="s">
        <v>126</v>
      </c>
      <c r="H1525" s="35" t="str">
        <f>IFERROR(_xlfn.XLOOKUP(Table6[[#This Row],[Affected WTG]],'Basic Data'!$A:$A,'Basic Data'!$B:$B),"")</f>
        <v>TQGXIIPL</v>
      </c>
      <c r="I1525" s="35" t="str">
        <f>IFERROR(_xlfn.XLOOKUP(Table6[[#This Row],[Affected WTG]],'Basic Data'!$A:$A,'Basic Data'!$C:$C),"")</f>
        <v>GEDA</v>
      </c>
      <c r="J1525" s="260">
        <f>IFERROR(_xlfn.XLOOKUP(Table6[[#This Row],[Affected WTG]],'Basic Data'!$A:$A,'Basic Data'!$E:$E),"")</f>
        <v>3.846153846153845E-2</v>
      </c>
      <c r="K1525" s="102">
        <v>6605</v>
      </c>
      <c r="L1525" s="35" t="str">
        <f>IFERROR(_xlfn.XLOOKUP(Table6[[#This Row],[Error Code]],'Basic Data'!$AA:$AA,'Basic Data'!$AB:$AB),"Incorrect Error Code")</f>
        <v>Wind.dir. diff. level 2</v>
      </c>
      <c r="M1525" s="35" t="s">
        <v>266</v>
      </c>
      <c r="N1525" s="264"/>
      <c r="O1525" s="265">
        <v>0.29444444444444445</v>
      </c>
      <c r="P1525" s="265">
        <v>0.29444444444444445</v>
      </c>
      <c r="Q1525" s="266">
        <v>0.29583333333333334</v>
      </c>
      <c r="R1525" s="261">
        <f>IF(Table6[[#This Row],[Work Start TimeStamp]]="","",(Table6[[#This Row],[Work Start TimeStamp]]-Table6[[#This Row],[Fault Start TimeStamp]])*24)</f>
        <v>0</v>
      </c>
      <c r="S1525" s="261">
        <f>(Table6[[#This Row],[Fault Clearance time]]-Table6[[#This Row],[Work Start TimeStamp]])*24</f>
        <v>3.3333333333333215E-2</v>
      </c>
      <c r="T1525" s="261">
        <f>(Table6[[#This Row],[Fault Clearance time]]-Table6[[#This Row],[Fault Start TimeStamp]])*24</f>
        <v>3.3333333333333215E-2</v>
      </c>
      <c r="U1525" s="35" t="s">
        <v>483</v>
      </c>
      <c r="V1525" s="102" t="s">
        <v>268</v>
      </c>
      <c r="W1525" s="290">
        <f>IFERROR(Table6[[#This Row],[Breakdown Time]]*Table6[[#This Row],[Plant Equivalent Weightage]],"")</f>
        <v>1.2820512820512771E-3</v>
      </c>
      <c r="X1525" s="262" t="s">
        <v>269</v>
      </c>
      <c r="Y1525" s="263" t="s">
        <v>128</v>
      </c>
      <c r="Z1525" s="102">
        <v>20451</v>
      </c>
      <c r="AA1525" s="257">
        <f>(Table6[[#This Row],[Paired WTG Generation for loss calculation]]/24)*Table6[[#This Row],[Breakdown Time]]</f>
        <v>28.404166666666566</v>
      </c>
      <c r="AB1525" s="102"/>
      <c r="AC1525" s="35"/>
      <c r="AD1525" s="35"/>
    </row>
    <row r="1526" spans="1:30">
      <c r="A1526" s="102">
        <f t="shared" si="24"/>
        <v>1525</v>
      </c>
      <c r="B1526" s="257">
        <f>YEAR(Table6[[#This Row],[Date]])+IF(MONTH(Table6[[#This Row],[Date]])&gt;=4,1,0)</f>
        <v>2026</v>
      </c>
      <c r="C1526" s="102">
        <f>YEAR(Table6[[#This Row],[Date]])</f>
        <v>2025</v>
      </c>
      <c r="D1526" s="102" t="s">
        <v>265</v>
      </c>
      <c r="E1526" s="258">
        <f>Table6[[#This Row],[Date]]-DAY(Table6[[#This Row],[Date]])+1</f>
        <v>45839</v>
      </c>
      <c r="F1526" s="259">
        <v>45849</v>
      </c>
      <c r="G1526" s="35" t="s">
        <v>126</v>
      </c>
      <c r="H1526" s="35" t="str">
        <f>IFERROR(_xlfn.XLOOKUP(Table6[[#This Row],[Affected WTG]],'Basic Data'!$A:$A,'Basic Data'!$B:$B),"")</f>
        <v>TQGXIIPL</v>
      </c>
      <c r="I1526" s="35" t="str">
        <f>IFERROR(_xlfn.XLOOKUP(Table6[[#This Row],[Affected WTG]],'Basic Data'!$A:$A,'Basic Data'!$C:$C),"")</f>
        <v>GEDA</v>
      </c>
      <c r="J1526" s="260">
        <f>IFERROR(_xlfn.XLOOKUP(Table6[[#This Row],[Affected WTG]],'Basic Data'!$A:$A,'Basic Data'!$E:$E),"")</f>
        <v>3.846153846153845E-2</v>
      </c>
      <c r="K1526" s="102">
        <v>6605</v>
      </c>
      <c r="L1526" s="35" t="str">
        <f>IFERROR(_xlfn.XLOOKUP(Table6[[#This Row],[Error Code]],'Basic Data'!$AA:$AA,'Basic Data'!$AB:$AB),"Incorrect Error Code")</f>
        <v>Wind.dir. diff. level 2</v>
      </c>
      <c r="M1526" s="35" t="s">
        <v>266</v>
      </c>
      <c r="N1526" s="264"/>
      <c r="O1526" s="265">
        <v>0.38611111111111113</v>
      </c>
      <c r="P1526" s="265">
        <v>0.38611111111111113</v>
      </c>
      <c r="Q1526" s="266">
        <v>0.38750000000000001</v>
      </c>
      <c r="R1526" s="261">
        <f>IF(Table6[[#This Row],[Work Start TimeStamp]]="","",(Table6[[#This Row],[Work Start TimeStamp]]-Table6[[#This Row],[Fault Start TimeStamp]])*24)</f>
        <v>0</v>
      </c>
      <c r="S1526" s="261">
        <f>(Table6[[#This Row],[Fault Clearance time]]-Table6[[#This Row],[Work Start TimeStamp]])*24</f>
        <v>3.3333333333333215E-2</v>
      </c>
      <c r="T1526" s="261">
        <f>(Table6[[#This Row],[Fault Clearance time]]-Table6[[#This Row],[Fault Start TimeStamp]])*24</f>
        <v>3.3333333333333215E-2</v>
      </c>
      <c r="U1526" s="35" t="s">
        <v>483</v>
      </c>
      <c r="V1526" s="102" t="s">
        <v>268</v>
      </c>
      <c r="W1526" s="290">
        <f>IFERROR(Table6[[#This Row],[Breakdown Time]]*Table6[[#This Row],[Plant Equivalent Weightage]],"")</f>
        <v>1.2820512820512771E-3</v>
      </c>
      <c r="X1526" s="262" t="s">
        <v>269</v>
      </c>
      <c r="Y1526" s="263" t="s">
        <v>128</v>
      </c>
      <c r="Z1526" s="102">
        <v>20451</v>
      </c>
      <c r="AA1526" s="257">
        <f>(Table6[[#This Row],[Paired WTG Generation for loss calculation]]/24)*Table6[[#This Row],[Breakdown Time]]</f>
        <v>28.404166666666566</v>
      </c>
      <c r="AB1526" s="102"/>
      <c r="AC1526" s="35"/>
      <c r="AD1526" s="35"/>
    </row>
    <row r="1527" spans="1:30">
      <c r="A1527" s="102">
        <f t="shared" si="24"/>
        <v>1526</v>
      </c>
      <c r="B1527" s="257">
        <f>YEAR(Table6[[#This Row],[Date]])+IF(MONTH(Table6[[#This Row],[Date]])&gt;=4,1,0)</f>
        <v>2026</v>
      </c>
      <c r="C1527" s="102">
        <f>YEAR(Table6[[#This Row],[Date]])</f>
        <v>2025</v>
      </c>
      <c r="D1527" s="102" t="s">
        <v>265</v>
      </c>
      <c r="E1527" s="258">
        <f>Table6[[#This Row],[Date]]-DAY(Table6[[#This Row],[Date]])+1</f>
        <v>45839</v>
      </c>
      <c r="F1527" s="259">
        <v>45849</v>
      </c>
      <c r="G1527" s="35" t="s">
        <v>126</v>
      </c>
      <c r="H1527" s="35" t="str">
        <f>IFERROR(_xlfn.XLOOKUP(Table6[[#This Row],[Affected WTG]],'Basic Data'!$A:$A,'Basic Data'!$B:$B),"")</f>
        <v>TQGXIIPL</v>
      </c>
      <c r="I1527" s="35" t="str">
        <f>IFERROR(_xlfn.XLOOKUP(Table6[[#This Row],[Affected WTG]],'Basic Data'!$A:$A,'Basic Data'!$C:$C),"")</f>
        <v>GEDA</v>
      </c>
      <c r="J1527" s="260">
        <f>IFERROR(_xlfn.XLOOKUP(Table6[[#This Row],[Affected WTG]],'Basic Data'!$A:$A,'Basic Data'!$E:$E),"")</f>
        <v>3.846153846153845E-2</v>
      </c>
      <c r="K1527" s="102">
        <v>6605</v>
      </c>
      <c r="L1527" s="35" t="str">
        <f>IFERROR(_xlfn.XLOOKUP(Table6[[#This Row],[Error Code]],'Basic Data'!$AA:$AA,'Basic Data'!$AB:$AB),"Incorrect Error Code")</f>
        <v>Wind.dir. diff. level 2</v>
      </c>
      <c r="M1527" s="35" t="s">
        <v>266</v>
      </c>
      <c r="N1527" s="264"/>
      <c r="O1527" s="265">
        <v>0.62361111111111112</v>
      </c>
      <c r="P1527" s="265">
        <v>0.62361111111111112</v>
      </c>
      <c r="Q1527" s="266">
        <v>0.625</v>
      </c>
      <c r="R1527" s="261">
        <f>IF(Table6[[#This Row],[Work Start TimeStamp]]="","",(Table6[[#This Row],[Work Start TimeStamp]]-Table6[[#This Row],[Fault Start TimeStamp]])*24)</f>
        <v>0</v>
      </c>
      <c r="S1527" s="261">
        <f>(Table6[[#This Row],[Fault Clearance time]]-Table6[[#This Row],[Work Start TimeStamp]])*24</f>
        <v>3.3333333333333215E-2</v>
      </c>
      <c r="T1527" s="261">
        <f>(Table6[[#This Row],[Fault Clearance time]]-Table6[[#This Row],[Fault Start TimeStamp]])*24</f>
        <v>3.3333333333333215E-2</v>
      </c>
      <c r="U1527" s="35" t="s">
        <v>483</v>
      </c>
      <c r="V1527" s="102" t="s">
        <v>268</v>
      </c>
      <c r="W1527" s="290">
        <f>IFERROR(Table6[[#This Row],[Breakdown Time]]*Table6[[#This Row],[Plant Equivalent Weightage]],"")</f>
        <v>1.2820512820512771E-3</v>
      </c>
      <c r="X1527" s="262" t="s">
        <v>269</v>
      </c>
      <c r="Y1527" s="263" t="s">
        <v>128</v>
      </c>
      <c r="Z1527" s="102">
        <v>20451</v>
      </c>
      <c r="AA1527" s="257">
        <f>(Table6[[#This Row],[Paired WTG Generation for loss calculation]]/24)*Table6[[#This Row],[Breakdown Time]]</f>
        <v>28.404166666666566</v>
      </c>
      <c r="AB1527" s="102"/>
      <c r="AC1527" s="35"/>
      <c r="AD1527" s="35"/>
    </row>
    <row r="1528" spans="1:30">
      <c r="A1528" s="102">
        <f t="shared" si="24"/>
        <v>1527</v>
      </c>
      <c r="B1528" s="257">
        <f>YEAR(Table6[[#This Row],[Date]])+IF(MONTH(Table6[[#This Row],[Date]])&gt;=4,1,0)</f>
        <v>2026</v>
      </c>
      <c r="C1528" s="102">
        <f>YEAR(Table6[[#This Row],[Date]])</f>
        <v>2025</v>
      </c>
      <c r="D1528" s="102" t="s">
        <v>265</v>
      </c>
      <c r="E1528" s="258">
        <f>Table6[[#This Row],[Date]]-DAY(Table6[[#This Row],[Date]])+1</f>
        <v>45839</v>
      </c>
      <c r="F1528" s="259">
        <v>45849</v>
      </c>
      <c r="G1528" s="35" t="s">
        <v>126</v>
      </c>
      <c r="H1528" s="35" t="str">
        <f>IFERROR(_xlfn.XLOOKUP(Table6[[#This Row],[Affected WTG]],'Basic Data'!$A:$A,'Basic Data'!$B:$B),"")</f>
        <v>TQGXIIPL</v>
      </c>
      <c r="I1528" s="35" t="str">
        <f>IFERROR(_xlfn.XLOOKUP(Table6[[#This Row],[Affected WTG]],'Basic Data'!$A:$A,'Basic Data'!$C:$C),"")</f>
        <v>GEDA</v>
      </c>
      <c r="J1528" s="260">
        <f>IFERROR(_xlfn.XLOOKUP(Table6[[#This Row],[Affected WTG]],'Basic Data'!$A:$A,'Basic Data'!$E:$E),"")</f>
        <v>3.846153846153845E-2</v>
      </c>
      <c r="K1528" s="102">
        <v>6605</v>
      </c>
      <c r="L1528" s="35" t="str">
        <f>IFERROR(_xlfn.XLOOKUP(Table6[[#This Row],[Error Code]],'Basic Data'!$AA:$AA,'Basic Data'!$AB:$AB),"Incorrect Error Code")</f>
        <v>Wind.dir. diff. level 2</v>
      </c>
      <c r="M1528" s="35" t="s">
        <v>266</v>
      </c>
      <c r="N1528" s="264"/>
      <c r="O1528" s="265">
        <v>0.87916666666666665</v>
      </c>
      <c r="P1528" s="265">
        <v>0.87916666666666665</v>
      </c>
      <c r="Q1528" s="266">
        <v>0.88055555555555554</v>
      </c>
      <c r="R1528" s="261">
        <f>IF(Table6[[#This Row],[Work Start TimeStamp]]="","",(Table6[[#This Row],[Work Start TimeStamp]]-Table6[[#This Row],[Fault Start TimeStamp]])*24)</f>
        <v>0</v>
      </c>
      <c r="S1528" s="261">
        <f>(Table6[[#This Row],[Fault Clearance time]]-Table6[[#This Row],[Work Start TimeStamp]])*24</f>
        <v>3.3333333333333215E-2</v>
      </c>
      <c r="T1528" s="261">
        <f>(Table6[[#This Row],[Fault Clearance time]]-Table6[[#This Row],[Fault Start TimeStamp]])*24</f>
        <v>3.3333333333333215E-2</v>
      </c>
      <c r="U1528" s="35" t="s">
        <v>483</v>
      </c>
      <c r="V1528" s="102" t="s">
        <v>268</v>
      </c>
      <c r="W1528" s="290">
        <f>IFERROR(Table6[[#This Row],[Breakdown Time]]*Table6[[#This Row],[Plant Equivalent Weightage]],"")</f>
        <v>1.2820512820512771E-3</v>
      </c>
      <c r="X1528" s="262" t="s">
        <v>269</v>
      </c>
      <c r="Y1528" s="263" t="s">
        <v>128</v>
      </c>
      <c r="Z1528" s="102">
        <v>20451</v>
      </c>
      <c r="AA1528" s="257">
        <f>(Table6[[#This Row],[Paired WTG Generation for loss calculation]]/24)*Table6[[#This Row],[Breakdown Time]]</f>
        <v>28.404166666666566</v>
      </c>
      <c r="AB1528" s="102"/>
      <c r="AC1528" s="35"/>
      <c r="AD1528" s="35"/>
    </row>
    <row r="1529" spans="1:30">
      <c r="A1529" s="102">
        <f t="shared" si="24"/>
        <v>1528</v>
      </c>
      <c r="B1529" s="257">
        <f>YEAR(Table6[[#This Row],[Date]])+IF(MONTH(Table6[[#This Row],[Date]])&gt;=4,1,0)</f>
        <v>2026</v>
      </c>
      <c r="C1529" s="102">
        <f>YEAR(Table6[[#This Row],[Date]])</f>
        <v>2025</v>
      </c>
      <c r="D1529" s="102" t="s">
        <v>265</v>
      </c>
      <c r="E1529" s="258">
        <f>Table6[[#This Row],[Date]]-DAY(Table6[[#This Row],[Date]])+1</f>
        <v>45839</v>
      </c>
      <c r="F1529" s="259">
        <v>45850</v>
      </c>
      <c r="G1529" s="35" t="s">
        <v>115</v>
      </c>
      <c r="H1529" s="35" t="str">
        <f>IFERROR(_xlfn.XLOOKUP(Table6[[#This Row],[Affected WTG]],'Basic Data'!$A:$A,'Basic Data'!$B:$B),"")</f>
        <v>TQGXIIPL</v>
      </c>
      <c r="I1529" s="35" t="str">
        <f>IFERROR(_xlfn.XLOOKUP(Table6[[#This Row],[Affected WTG]],'Basic Data'!$A:$A,'Basic Data'!$C:$C),"")</f>
        <v>GEDA</v>
      </c>
      <c r="J1529" s="260">
        <f>IFERROR(_xlfn.XLOOKUP(Table6[[#This Row],[Affected WTG]],'Basic Data'!$A:$A,'Basic Data'!$E:$E),"")</f>
        <v>3.846153846153845E-2</v>
      </c>
      <c r="K1529" s="102">
        <v>6130</v>
      </c>
      <c r="L1529" s="35" t="str">
        <f>IFERROR(_xlfn.XLOOKUP(Table6[[#This Row],[Error Code]],'Basic Data'!$AA:$AA,'Basic Data'!$AB:$AB),"Incorrect Error Code")</f>
        <v>Yaw speed high</v>
      </c>
      <c r="M1529" s="35" t="s">
        <v>266</v>
      </c>
      <c r="N1529" s="264"/>
      <c r="O1529" s="265">
        <v>0.79722222222222228</v>
      </c>
      <c r="P1529" s="265">
        <v>0.79722222222222228</v>
      </c>
      <c r="Q1529" s="266">
        <v>0.79861111111111116</v>
      </c>
      <c r="R1529" s="261">
        <f>IF(Table6[[#This Row],[Work Start TimeStamp]]="","",(Table6[[#This Row],[Work Start TimeStamp]]-Table6[[#This Row],[Fault Start TimeStamp]])*24)</f>
        <v>0</v>
      </c>
      <c r="S1529" s="261">
        <f>(Table6[[#This Row],[Fault Clearance time]]-Table6[[#This Row],[Work Start TimeStamp]])*24</f>
        <v>3.3333333333333215E-2</v>
      </c>
      <c r="T1529" s="261">
        <f>(Table6[[#This Row],[Fault Clearance time]]-Table6[[#This Row],[Fault Start TimeStamp]])*24</f>
        <v>3.3333333333333215E-2</v>
      </c>
      <c r="U1529" s="35" t="s">
        <v>483</v>
      </c>
      <c r="V1529" s="102" t="s">
        <v>268</v>
      </c>
      <c r="W1529" s="290">
        <f>IFERROR(Table6[[#This Row],[Breakdown Time]]*Table6[[#This Row],[Plant Equivalent Weightage]],"")</f>
        <v>1.2820512820512771E-3</v>
      </c>
      <c r="X1529" s="262" t="s">
        <v>269</v>
      </c>
      <c r="Y1529" s="263" t="s">
        <v>140</v>
      </c>
      <c r="Z1529" s="102">
        <v>16351</v>
      </c>
      <c r="AA1529" s="257">
        <f>(Table6[[#This Row],[Paired WTG Generation for loss calculation]]/24)*Table6[[#This Row],[Breakdown Time]]</f>
        <v>22.70972222222214</v>
      </c>
      <c r="AB1529" s="102"/>
      <c r="AC1529" s="35"/>
      <c r="AD1529" s="35"/>
    </row>
    <row r="1530" spans="1:30">
      <c r="A1530" s="102">
        <f t="shared" si="24"/>
        <v>1529</v>
      </c>
      <c r="B1530" s="257">
        <f>YEAR(Table6[[#This Row],[Date]])+IF(MONTH(Table6[[#This Row],[Date]])&gt;=4,1,0)</f>
        <v>2026</v>
      </c>
      <c r="C1530" s="102">
        <f>YEAR(Table6[[#This Row],[Date]])</f>
        <v>2025</v>
      </c>
      <c r="D1530" s="102" t="s">
        <v>265</v>
      </c>
      <c r="E1530" s="258">
        <f>Table6[[#This Row],[Date]]-DAY(Table6[[#This Row],[Date]])+1</f>
        <v>45839</v>
      </c>
      <c r="F1530" s="259">
        <v>45850</v>
      </c>
      <c r="G1530" s="35" t="s">
        <v>118</v>
      </c>
      <c r="H1530" s="35" t="str">
        <f>IFERROR(_xlfn.XLOOKUP(Table6[[#This Row],[Affected WTG]],'Basic Data'!$A:$A,'Basic Data'!$B:$B),"")</f>
        <v>TQGXIIPL</v>
      </c>
      <c r="I1530" s="35" t="str">
        <f>IFERROR(_xlfn.XLOOKUP(Table6[[#This Row],[Affected WTG]],'Basic Data'!$A:$A,'Basic Data'!$C:$C),"")</f>
        <v>GEDA</v>
      </c>
      <c r="J1530" s="260">
        <f>IFERROR(_xlfn.XLOOKUP(Table6[[#This Row],[Affected WTG]],'Basic Data'!$A:$A,'Basic Data'!$E:$E),"")</f>
        <v>3.846153846153845E-2</v>
      </c>
      <c r="K1530" s="102">
        <v>6130</v>
      </c>
      <c r="L1530" s="35" t="str">
        <f>IFERROR(_xlfn.XLOOKUP(Table6[[#This Row],[Error Code]],'Basic Data'!$AA:$AA,'Basic Data'!$AB:$AB),"Incorrect Error Code")</f>
        <v>Yaw speed high</v>
      </c>
      <c r="M1530" s="35" t="s">
        <v>266</v>
      </c>
      <c r="N1530" s="264"/>
      <c r="O1530" s="265">
        <v>0.3972222222222222</v>
      </c>
      <c r="P1530" s="265">
        <v>0.3972222222222222</v>
      </c>
      <c r="Q1530" s="266">
        <v>0.39861111111111114</v>
      </c>
      <c r="R1530" s="261">
        <f>IF(Table6[[#This Row],[Work Start TimeStamp]]="","",(Table6[[#This Row],[Work Start TimeStamp]]-Table6[[#This Row],[Fault Start TimeStamp]])*24)</f>
        <v>0</v>
      </c>
      <c r="S1530" s="261">
        <f>(Table6[[#This Row],[Fault Clearance time]]-Table6[[#This Row],[Work Start TimeStamp]])*24</f>
        <v>3.3333333333334547E-2</v>
      </c>
      <c r="T1530" s="261">
        <f>(Table6[[#This Row],[Fault Clearance time]]-Table6[[#This Row],[Fault Start TimeStamp]])*24</f>
        <v>3.3333333333334547E-2</v>
      </c>
      <c r="U1530" s="35" t="s">
        <v>483</v>
      </c>
      <c r="V1530" s="102" t="s">
        <v>268</v>
      </c>
      <c r="W1530" s="290">
        <f>IFERROR(Table6[[#This Row],[Breakdown Time]]*Table6[[#This Row],[Plant Equivalent Weightage]],"")</f>
        <v>1.2820512820513285E-3</v>
      </c>
      <c r="X1530" s="262" t="s">
        <v>269</v>
      </c>
      <c r="Y1530" s="263" t="s">
        <v>116</v>
      </c>
      <c r="Z1530" s="102">
        <v>19382</v>
      </c>
      <c r="AA1530" s="257">
        <f>(Table6[[#This Row],[Paired WTG Generation for loss calculation]]/24)*Table6[[#This Row],[Breakdown Time]]</f>
        <v>26.919444444445425</v>
      </c>
      <c r="AB1530" s="102"/>
      <c r="AC1530" s="35"/>
      <c r="AD1530" s="35"/>
    </row>
    <row r="1531" spans="1:30">
      <c r="A1531" s="102">
        <f t="shared" si="24"/>
        <v>1530</v>
      </c>
      <c r="B1531" s="257">
        <f>YEAR(Table6[[#This Row],[Date]])+IF(MONTH(Table6[[#This Row],[Date]])&gt;=4,1,0)</f>
        <v>2026</v>
      </c>
      <c r="C1531" s="102">
        <f>YEAR(Table6[[#This Row],[Date]])</f>
        <v>2025</v>
      </c>
      <c r="D1531" s="102" t="s">
        <v>265</v>
      </c>
      <c r="E1531" s="258">
        <f>Table6[[#This Row],[Date]]-DAY(Table6[[#This Row],[Date]])+1</f>
        <v>45839</v>
      </c>
      <c r="F1531" s="259">
        <v>45850</v>
      </c>
      <c r="G1531" s="35" t="s">
        <v>119</v>
      </c>
      <c r="H1531" s="35" t="str">
        <f>IFERROR(_xlfn.XLOOKUP(Table6[[#This Row],[Affected WTG]],'Basic Data'!$A:$A,'Basic Data'!$B:$B),"")</f>
        <v>TQGXIIPL</v>
      </c>
      <c r="I1531" s="35" t="str">
        <f>IFERROR(_xlfn.XLOOKUP(Table6[[#This Row],[Affected WTG]],'Basic Data'!$A:$A,'Basic Data'!$C:$C),"")</f>
        <v>GEDA</v>
      </c>
      <c r="J1531" s="260">
        <f>IFERROR(_xlfn.XLOOKUP(Table6[[#This Row],[Affected WTG]],'Basic Data'!$A:$A,'Basic Data'!$E:$E),"")</f>
        <v>3.846153846153845E-2</v>
      </c>
      <c r="K1531" s="102">
        <v>6130</v>
      </c>
      <c r="L1531" s="35" t="str">
        <f>IFERROR(_xlfn.XLOOKUP(Table6[[#This Row],[Error Code]],'Basic Data'!$AA:$AA,'Basic Data'!$AB:$AB),"Incorrect Error Code")</f>
        <v>Yaw speed high</v>
      </c>
      <c r="M1531" s="35" t="s">
        <v>266</v>
      </c>
      <c r="N1531" s="264"/>
      <c r="O1531" s="265">
        <v>0.55277777777777781</v>
      </c>
      <c r="P1531" s="265">
        <v>0.55277777777777781</v>
      </c>
      <c r="Q1531" s="266">
        <v>0.55694444444444446</v>
      </c>
      <c r="R1531" s="261">
        <f>IF(Table6[[#This Row],[Work Start TimeStamp]]="","",(Table6[[#This Row],[Work Start TimeStamp]]-Table6[[#This Row],[Fault Start TimeStamp]])*24)</f>
        <v>0</v>
      </c>
      <c r="S1531" s="261">
        <f>(Table6[[#This Row],[Fault Clearance time]]-Table6[[#This Row],[Work Start TimeStamp]])*24</f>
        <v>9.9999999999999645E-2</v>
      </c>
      <c r="T1531" s="261">
        <f>(Table6[[#This Row],[Fault Clearance time]]-Table6[[#This Row],[Fault Start TimeStamp]])*24</f>
        <v>9.9999999999999645E-2</v>
      </c>
      <c r="U1531" s="35" t="s">
        <v>483</v>
      </c>
      <c r="V1531" s="102" t="s">
        <v>268</v>
      </c>
      <c r="W1531" s="290">
        <f>IFERROR(Table6[[#This Row],[Breakdown Time]]*Table6[[#This Row],[Plant Equivalent Weightage]],"")</f>
        <v>3.8461538461538312E-3</v>
      </c>
      <c r="X1531" s="262" t="s">
        <v>269</v>
      </c>
      <c r="Y1531" s="263" t="s">
        <v>116</v>
      </c>
      <c r="Z1531" s="102">
        <v>19382</v>
      </c>
      <c r="AA1531" s="257">
        <f>(Table6[[#This Row],[Paired WTG Generation for loss calculation]]/24)*Table6[[#This Row],[Breakdown Time]]</f>
        <v>80.758333333333056</v>
      </c>
      <c r="AB1531" s="102"/>
      <c r="AC1531" s="35"/>
      <c r="AD1531" s="35"/>
    </row>
    <row r="1532" spans="1:30">
      <c r="A1532" s="102">
        <f t="shared" si="24"/>
        <v>1531</v>
      </c>
      <c r="B1532" s="257">
        <f>YEAR(Table6[[#This Row],[Date]])+IF(MONTH(Table6[[#This Row],[Date]])&gt;=4,1,0)</f>
        <v>2026</v>
      </c>
      <c r="C1532" s="102">
        <f>YEAR(Table6[[#This Row],[Date]])</f>
        <v>2025</v>
      </c>
      <c r="D1532" s="102" t="s">
        <v>265</v>
      </c>
      <c r="E1532" s="258">
        <f>Table6[[#This Row],[Date]]-DAY(Table6[[#This Row],[Date]])+1</f>
        <v>45839</v>
      </c>
      <c r="F1532" s="259">
        <v>45850</v>
      </c>
      <c r="G1532" s="35" t="s">
        <v>123</v>
      </c>
      <c r="H1532" s="35" t="str">
        <f>IFERROR(_xlfn.XLOOKUP(Table6[[#This Row],[Affected WTG]],'Basic Data'!$A:$A,'Basic Data'!$B:$B),"")</f>
        <v>TQGXIIPL</v>
      </c>
      <c r="I1532" s="35" t="str">
        <f>IFERROR(_xlfn.XLOOKUP(Table6[[#This Row],[Affected WTG]],'Basic Data'!$A:$A,'Basic Data'!$C:$C),"")</f>
        <v>GEDA</v>
      </c>
      <c r="J1532" s="260">
        <f>IFERROR(_xlfn.XLOOKUP(Table6[[#This Row],[Affected WTG]],'Basic Data'!$A:$A,'Basic Data'!$E:$E),"")</f>
        <v>3.846153846153845E-2</v>
      </c>
      <c r="K1532" s="102">
        <v>4960</v>
      </c>
      <c r="L1532" s="35" t="str">
        <f>IFERROR(_xlfn.XLOOKUP(Table6[[#This Row],[Error Code]],'Basic Data'!$AA:$AA,'Basic Data'!$AB:$AB),"Incorrect Error Code")</f>
        <v>Tower oscillation YF</v>
      </c>
      <c r="M1532" s="35" t="s">
        <v>266</v>
      </c>
      <c r="N1532" s="264"/>
      <c r="O1532" s="265">
        <v>0.83958333333333335</v>
      </c>
      <c r="P1532" s="265">
        <v>0.83958333333333335</v>
      </c>
      <c r="Q1532" s="266">
        <v>0.84652777777777777</v>
      </c>
      <c r="R1532" s="261">
        <f>IF(Table6[[#This Row],[Work Start TimeStamp]]="","",(Table6[[#This Row],[Work Start TimeStamp]]-Table6[[#This Row],[Fault Start TimeStamp]])*24)</f>
        <v>0</v>
      </c>
      <c r="S1532" s="261">
        <f>(Table6[[#This Row],[Fault Clearance time]]-Table6[[#This Row],[Work Start TimeStamp]])*24</f>
        <v>0.16666666666666607</v>
      </c>
      <c r="T1532" s="261">
        <f>(Table6[[#This Row],[Fault Clearance time]]-Table6[[#This Row],[Fault Start TimeStamp]])*24</f>
        <v>0.16666666666666607</v>
      </c>
      <c r="U1532" s="35" t="s">
        <v>483</v>
      </c>
      <c r="V1532" s="102" t="s">
        <v>268</v>
      </c>
      <c r="W1532" s="290">
        <f>IFERROR(Table6[[#This Row],[Breakdown Time]]*Table6[[#This Row],[Plant Equivalent Weightage]],"")</f>
        <v>6.4102564102563857E-3</v>
      </c>
      <c r="X1532" s="262" t="s">
        <v>269</v>
      </c>
      <c r="Y1532" s="263" t="s">
        <v>117</v>
      </c>
      <c r="Z1532" s="102">
        <v>19725</v>
      </c>
      <c r="AA1532" s="257">
        <f>(Table6[[#This Row],[Paired WTG Generation for loss calculation]]/24)*Table6[[#This Row],[Breakdown Time]]</f>
        <v>136.97916666666617</v>
      </c>
      <c r="AB1532" s="102"/>
      <c r="AC1532" s="35"/>
      <c r="AD1532" s="35"/>
    </row>
    <row r="1533" spans="1:30">
      <c r="A1533" s="102">
        <f t="shared" si="24"/>
        <v>1532</v>
      </c>
      <c r="B1533" s="257">
        <f>YEAR(Table6[[#This Row],[Date]])+IF(MONTH(Table6[[#This Row],[Date]])&gt;=4,1,0)</f>
        <v>2026</v>
      </c>
      <c r="C1533" s="102">
        <f>YEAR(Table6[[#This Row],[Date]])</f>
        <v>2025</v>
      </c>
      <c r="D1533" s="102" t="s">
        <v>265</v>
      </c>
      <c r="E1533" s="258">
        <f>Table6[[#This Row],[Date]]-DAY(Table6[[#This Row],[Date]])+1</f>
        <v>45839</v>
      </c>
      <c r="F1533" s="259">
        <v>45850</v>
      </c>
      <c r="G1533" s="35" t="s">
        <v>126</v>
      </c>
      <c r="H1533" s="35" t="str">
        <f>IFERROR(_xlfn.XLOOKUP(Table6[[#This Row],[Affected WTG]],'Basic Data'!$A:$A,'Basic Data'!$B:$B),"")</f>
        <v>TQGXIIPL</v>
      </c>
      <c r="I1533" s="35" t="str">
        <f>IFERROR(_xlfn.XLOOKUP(Table6[[#This Row],[Affected WTG]],'Basic Data'!$A:$A,'Basic Data'!$C:$C),"")</f>
        <v>GEDA</v>
      </c>
      <c r="J1533" s="260">
        <f>IFERROR(_xlfn.XLOOKUP(Table6[[#This Row],[Affected WTG]],'Basic Data'!$A:$A,'Basic Data'!$E:$E),"")</f>
        <v>3.846153846153845E-2</v>
      </c>
      <c r="K1533" s="102">
        <v>6605</v>
      </c>
      <c r="L1533" s="35" t="str">
        <f>IFERROR(_xlfn.XLOOKUP(Table6[[#This Row],[Error Code]],'Basic Data'!$AA:$AA,'Basic Data'!$AB:$AB),"Incorrect Error Code")</f>
        <v>Wind.dir. diff. level 2</v>
      </c>
      <c r="M1533" s="35" t="s">
        <v>266</v>
      </c>
      <c r="N1533" s="264"/>
      <c r="O1533" s="265">
        <v>6.1111111111111109E-2</v>
      </c>
      <c r="P1533" s="265">
        <v>6.1111111111111109E-2</v>
      </c>
      <c r="Q1533" s="266">
        <v>6.805555555555555E-2</v>
      </c>
      <c r="R1533" s="261">
        <f>IF(Table6[[#This Row],[Work Start TimeStamp]]="","",(Table6[[#This Row],[Work Start TimeStamp]]-Table6[[#This Row],[Fault Start TimeStamp]])*24)</f>
        <v>0</v>
      </c>
      <c r="S1533" s="261">
        <f>(Table6[[#This Row],[Fault Clearance time]]-Table6[[#This Row],[Work Start TimeStamp]])*24</f>
        <v>0.16666666666666657</v>
      </c>
      <c r="T1533" s="261">
        <f>(Table6[[#This Row],[Fault Clearance time]]-Table6[[#This Row],[Fault Start TimeStamp]])*24</f>
        <v>0.16666666666666657</v>
      </c>
      <c r="U1533" s="35" t="s">
        <v>483</v>
      </c>
      <c r="V1533" s="102" t="s">
        <v>268</v>
      </c>
      <c r="W1533" s="290">
        <f>IFERROR(Table6[[#This Row],[Breakdown Time]]*Table6[[#This Row],[Plant Equivalent Weightage]],"")</f>
        <v>6.4102564102564048E-3</v>
      </c>
      <c r="X1533" s="262" t="s">
        <v>269</v>
      </c>
      <c r="Y1533" s="263" t="s">
        <v>128</v>
      </c>
      <c r="Z1533" s="102">
        <v>20643</v>
      </c>
      <c r="AA1533" s="257">
        <f>(Table6[[#This Row],[Paired WTG Generation for loss calculation]]/24)*Table6[[#This Row],[Breakdown Time]]</f>
        <v>143.3541666666666</v>
      </c>
      <c r="AB1533" s="102"/>
      <c r="AC1533" s="35"/>
      <c r="AD1533" s="35"/>
    </row>
    <row r="1534" spans="1:30">
      <c r="A1534" s="102">
        <f t="shared" si="24"/>
        <v>1533</v>
      </c>
      <c r="B1534" s="257">
        <f>YEAR(Table6[[#This Row],[Date]])+IF(MONTH(Table6[[#This Row],[Date]])&gt;=4,1,0)</f>
        <v>2026</v>
      </c>
      <c r="C1534" s="102">
        <f>YEAR(Table6[[#This Row],[Date]])</f>
        <v>2025</v>
      </c>
      <c r="D1534" s="102" t="s">
        <v>265</v>
      </c>
      <c r="E1534" s="258">
        <f>Table6[[#This Row],[Date]]-DAY(Table6[[#This Row],[Date]])+1</f>
        <v>45839</v>
      </c>
      <c r="F1534" s="259">
        <v>45850</v>
      </c>
      <c r="G1534" s="35" t="s">
        <v>126</v>
      </c>
      <c r="H1534" s="35" t="str">
        <f>IFERROR(_xlfn.XLOOKUP(Table6[[#This Row],[Affected WTG]],'Basic Data'!$A:$A,'Basic Data'!$B:$B),"")</f>
        <v>TQGXIIPL</v>
      </c>
      <c r="I1534" s="35" t="str">
        <f>IFERROR(_xlfn.XLOOKUP(Table6[[#This Row],[Affected WTG]],'Basic Data'!$A:$A,'Basic Data'!$C:$C),"")</f>
        <v>GEDA</v>
      </c>
      <c r="J1534" s="260">
        <f>IFERROR(_xlfn.XLOOKUP(Table6[[#This Row],[Affected WTG]],'Basic Data'!$A:$A,'Basic Data'!$E:$E),"")</f>
        <v>3.846153846153845E-2</v>
      </c>
      <c r="K1534" s="102">
        <v>6605</v>
      </c>
      <c r="L1534" s="35" t="str">
        <f>IFERROR(_xlfn.XLOOKUP(Table6[[#This Row],[Error Code]],'Basic Data'!$AA:$AA,'Basic Data'!$AB:$AB),"Incorrect Error Code")</f>
        <v>Wind.dir. diff. level 2</v>
      </c>
      <c r="M1534" s="35" t="s">
        <v>266</v>
      </c>
      <c r="N1534" s="264"/>
      <c r="O1534" s="265">
        <v>0.23819444444444443</v>
      </c>
      <c r="P1534" s="265">
        <v>0.23819444444444443</v>
      </c>
      <c r="Q1534" s="266">
        <v>0.24027777777777778</v>
      </c>
      <c r="R1534" s="261">
        <f>IF(Table6[[#This Row],[Work Start TimeStamp]]="","",(Table6[[#This Row],[Work Start TimeStamp]]-Table6[[#This Row],[Fault Start TimeStamp]])*24)</f>
        <v>0</v>
      </c>
      <c r="S1534" s="261">
        <f>(Table6[[#This Row],[Fault Clearance time]]-Table6[[#This Row],[Work Start TimeStamp]])*24</f>
        <v>5.0000000000000488E-2</v>
      </c>
      <c r="T1534" s="261">
        <f>(Table6[[#This Row],[Fault Clearance time]]-Table6[[#This Row],[Fault Start TimeStamp]])*24</f>
        <v>5.0000000000000488E-2</v>
      </c>
      <c r="U1534" s="35" t="s">
        <v>483</v>
      </c>
      <c r="V1534" s="102" t="s">
        <v>268</v>
      </c>
      <c r="W1534" s="290">
        <f>IFERROR(Table6[[#This Row],[Breakdown Time]]*Table6[[#This Row],[Plant Equivalent Weightage]],"")</f>
        <v>1.9230769230769412E-3</v>
      </c>
      <c r="X1534" s="262" t="s">
        <v>269</v>
      </c>
      <c r="Y1534" s="263" t="s">
        <v>128</v>
      </c>
      <c r="Z1534" s="102">
        <v>20643</v>
      </c>
      <c r="AA1534" s="257">
        <f>(Table6[[#This Row],[Paired WTG Generation for loss calculation]]/24)*Table6[[#This Row],[Breakdown Time]]</f>
        <v>43.006250000000421</v>
      </c>
      <c r="AB1534" s="102"/>
      <c r="AC1534" s="35"/>
      <c r="AD1534" s="35"/>
    </row>
    <row r="1535" spans="1:30">
      <c r="A1535" s="102">
        <f t="shared" si="24"/>
        <v>1534</v>
      </c>
      <c r="B1535" s="257">
        <f>YEAR(Table6[[#This Row],[Date]])+IF(MONTH(Table6[[#This Row],[Date]])&gt;=4,1,0)</f>
        <v>2026</v>
      </c>
      <c r="C1535" s="102">
        <f>YEAR(Table6[[#This Row],[Date]])</f>
        <v>2025</v>
      </c>
      <c r="D1535" s="102" t="s">
        <v>265</v>
      </c>
      <c r="E1535" s="258">
        <f>Table6[[#This Row],[Date]]-DAY(Table6[[#This Row],[Date]])+1</f>
        <v>45839</v>
      </c>
      <c r="F1535" s="259">
        <v>45850</v>
      </c>
      <c r="G1535" s="35" t="s">
        <v>126</v>
      </c>
      <c r="H1535" s="35" t="str">
        <f>IFERROR(_xlfn.XLOOKUP(Table6[[#This Row],[Affected WTG]],'Basic Data'!$A:$A,'Basic Data'!$B:$B),"")</f>
        <v>TQGXIIPL</v>
      </c>
      <c r="I1535" s="35" t="str">
        <f>IFERROR(_xlfn.XLOOKUP(Table6[[#This Row],[Affected WTG]],'Basic Data'!$A:$A,'Basic Data'!$C:$C),"")</f>
        <v>GEDA</v>
      </c>
      <c r="J1535" s="260">
        <f>IFERROR(_xlfn.XLOOKUP(Table6[[#This Row],[Affected WTG]],'Basic Data'!$A:$A,'Basic Data'!$E:$E),"")</f>
        <v>3.846153846153845E-2</v>
      </c>
      <c r="K1535" s="102">
        <v>6605</v>
      </c>
      <c r="L1535" s="35" t="str">
        <f>IFERROR(_xlfn.XLOOKUP(Table6[[#This Row],[Error Code]],'Basic Data'!$AA:$AA,'Basic Data'!$AB:$AB),"Incorrect Error Code")</f>
        <v>Wind.dir. diff. level 2</v>
      </c>
      <c r="M1535" s="35" t="s">
        <v>266</v>
      </c>
      <c r="N1535" s="264"/>
      <c r="O1535" s="265">
        <v>0.31180555555555556</v>
      </c>
      <c r="P1535" s="265">
        <v>0.31180555555555556</v>
      </c>
      <c r="Q1535" s="266">
        <v>0.31319444444444444</v>
      </c>
      <c r="R1535" s="261">
        <f>IF(Table6[[#This Row],[Work Start TimeStamp]]="","",(Table6[[#This Row],[Work Start TimeStamp]]-Table6[[#This Row],[Fault Start TimeStamp]])*24)</f>
        <v>0</v>
      </c>
      <c r="S1535" s="261">
        <f>(Table6[[#This Row],[Fault Clearance time]]-Table6[[#This Row],[Work Start TimeStamp]])*24</f>
        <v>3.3333333333333215E-2</v>
      </c>
      <c r="T1535" s="261">
        <f>(Table6[[#This Row],[Fault Clearance time]]-Table6[[#This Row],[Fault Start TimeStamp]])*24</f>
        <v>3.3333333333333215E-2</v>
      </c>
      <c r="U1535" s="35" t="s">
        <v>483</v>
      </c>
      <c r="V1535" s="102" t="s">
        <v>268</v>
      </c>
      <c r="W1535" s="290">
        <f>IFERROR(Table6[[#This Row],[Breakdown Time]]*Table6[[#This Row],[Plant Equivalent Weightage]],"")</f>
        <v>1.2820512820512771E-3</v>
      </c>
      <c r="X1535" s="262" t="s">
        <v>269</v>
      </c>
      <c r="Y1535" s="263" t="s">
        <v>128</v>
      </c>
      <c r="Z1535" s="102">
        <v>20643</v>
      </c>
      <c r="AA1535" s="257">
        <f>(Table6[[#This Row],[Paired WTG Generation for loss calculation]]/24)*Table6[[#This Row],[Breakdown Time]]</f>
        <v>28.670833333333231</v>
      </c>
      <c r="AB1535" s="102"/>
      <c r="AC1535" s="35"/>
      <c r="AD1535" s="35"/>
    </row>
    <row r="1536" spans="1:30">
      <c r="A1536" s="102">
        <f t="shared" si="24"/>
        <v>1535</v>
      </c>
      <c r="B1536" s="257">
        <f>YEAR(Table6[[#This Row],[Date]])+IF(MONTH(Table6[[#This Row],[Date]])&gt;=4,1,0)</f>
        <v>2026</v>
      </c>
      <c r="C1536" s="102">
        <f>YEAR(Table6[[#This Row],[Date]])</f>
        <v>2025</v>
      </c>
      <c r="D1536" s="102" t="s">
        <v>265</v>
      </c>
      <c r="E1536" s="258">
        <f>Table6[[#This Row],[Date]]-DAY(Table6[[#This Row],[Date]])+1</f>
        <v>45839</v>
      </c>
      <c r="F1536" s="259">
        <v>45850</v>
      </c>
      <c r="G1536" s="35" t="s">
        <v>126</v>
      </c>
      <c r="H1536" s="35" t="str">
        <f>IFERROR(_xlfn.XLOOKUP(Table6[[#This Row],[Affected WTG]],'Basic Data'!$A:$A,'Basic Data'!$B:$B),"")</f>
        <v>TQGXIIPL</v>
      </c>
      <c r="I1536" s="35" t="str">
        <f>IFERROR(_xlfn.XLOOKUP(Table6[[#This Row],[Affected WTG]],'Basic Data'!$A:$A,'Basic Data'!$C:$C),"")</f>
        <v>GEDA</v>
      </c>
      <c r="J1536" s="260">
        <f>IFERROR(_xlfn.XLOOKUP(Table6[[#This Row],[Affected WTG]],'Basic Data'!$A:$A,'Basic Data'!$E:$E),"")</f>
        <v>3.846153846153845E-2</v>
      </c>
      <c r="K1536" s="102">
        <v>6605</v>
      </c>
      <c r="L1536" s="35" t="str">
        <f>IFERROR(_xlfn.XLOOKUP(Table6[[#This Row],[Error Code]],'Basic Data'!$AA:$AA,'Basic Data'!$AB:$AB),"Incorrect Error Code")</f>
        <v>Wind.dir. diff. level 2</v>
      </c>
      <c r="M1536" s="35" t="s">
        <v>266</v>
      </c>
      <c r="N1536" s="264"/>
      <c r="O1536" s="265">
        <v>0.35625000000000001</v>
      </c>
      <c r="P1536" s="265">
        <v>0.35625000000000001</v>
      </c>
      <c r="Q1536" s="266">
        <v>0.36041666666666666</v>
      </c>
      <c r="R1536" s="261">
        <f>IF(Table6[[#This Row],[Work Start TimeStamp]]="","",(Table6[[#This Row],[Work Start TimeStamp]]-Table6[[#This Row],[Fault Start TimeStamp]])*24)</f>
        <v>0</v>
      </c>
      <c r="S1536" s="261">
        <f>(Table6[[#This Row],[Fault Clearance time]]-Table6[[#This Row],[Work Start TimeStamp]])*24</f>
        <v>9.9999999999999645E-2</v>
      </c>
      <c r="T1536" s="261">
        <f>(Table6[[#This Row],[Fault Clearance time]]-Table6[[#This Row],[Fault Start TimeStamp]])*24</f>
        <v>9.9999999999999645E-2</v>
      </c>
      <c r="U1536" s="35" t="s">
        <v>483</v>
      </c>
      <c r="V1536" s="102" t="s">
        <v>268</v>
      </c>
      <c r="W1536" s="290">
        <f>IFERROR(Table6[[#This Row],[Breakdown Time]]*Table6[[#This Row],[Plant Equivalent Weightage]],"")</f>
        <v>3.8461538461538312E-3</v>
      </c>
      <c r="X1536" s="262" t="s">
        <v>269</v>
      </c>
      <c r="Y1536" s="263" t="s">
        <v>128</v>
      </c>
      <c r="Z1536" s="102">
        <v>20643</v>
      </c>
      <c r="AA1536" s="257">
        <f>(Table6[[#This Row],[Paired WTG Generation for loss calculation]]/24)*Table6[[#This Row],[Breakdown Time]]</f>
        <v>86.01249999999969</v>
      </c>
      <c r="AB1536" s="102"/>
      <c r="AC1536" s="35"/>
      <c r="AD1536" s="35"/>
    </row>
    <row r="1537" spans="1:30">
      <c r="A1537" s="102">
        <f t="shared" si="24"/>
        <v>1536</v>
      </c>
      <c r="B1537" s="257">
        <f>YEAR(Table6[[#This Row],[Date]])+IF(MONTH(Table6[[#This Row],[Date]])&gt;=4,1,0)</f>
        <v>2026</v>
      </c>
      <c r="C1537" s="102">
        <f>YEAR(Table6[[#This Row],[Date]])</f>
        <v>2025</v>
      </c>
      <c r="D1537" s="102" t="s">
        <v>265</v>
      </c>
      <c r="E1537" s="258">
        <f>Table6[[#This Row],[Date]]-DAY(Table6[[#This Row],[Date]])+1</f>
        <v>45839</v>
      </c>
      <c r="F1537" s="259">
        <v>45850</v>
      </c>
      <c r="G1537" s="35" t="s">
        <v>126</v>
      </c>
      <c r="H1537" s="35" t="str">
        <f>IFERROR(_xlfn.XLOOKUP(Table6[[#This Row],[Affected WTG]],'Basic Data'!$A:$A,'Basic Data'!$B:$B),"")</f>
        <v>TQGXIIPL</v>
      </c>
      <c r="I1537" s="35" t="str">
        <f>IFERROR(_xlfn.XLOOKUP(Table6[[#This Row],[Affected WTG]],'Basic Data'!$A:$A,'Basic Data'!$C:$C),"")</f>
        <v>GEDA</v>
      </c>
      <c r="J1537" s="260">
        <f>IFERROR(_xlfn.XLOOKUP(Table6[[#This Row],[Affected WTG]],'Basic Data'!$A:$A,'Basic Data'!$E:$E),"")</f>
        <v>3.846153846153845E-2</v>
      </c>
      <c r="K1537" s="102">
        <v>6605</v>
      </c>
      <c r="L1537" s="35" t="str">
        <f>IFERROR(_xlfn.XLOOKUP(Table6[[#This Row],[Error Code]],'Basic Data'!$AA:$AA,'Basic Data'!$AB:$AB),"Incorrect Error Code")</f>
        <v>Wind.dir. diff. level 2</v>
      </c>
      <c r="M1537" s="35" t="s">
        <v>266</v>
      </c>
      <c r="N1537" s="264"/>
      <c r="O1537" s="265">
        <v>0.39305555555555555</v>
      </c>
      <c r="P1537" s="265">
        <v>0.39305555555555555</v>
      </c>
      <c r="Q1537" s="266">
        <v>0.39444444444444443</v>
      </c>
      <c r="R1537" s="261">
        <f>IF(Table6[[#This Row],[Work Start TimeStamp]]="","",(Table6[[#This Row],[Work Start TimeStamp]]-Table6[[#This Row],[Fault Start TimeStamp]])*24)</f>
        <v>0</v>
      </c>
      <c r="S1537" s="261">
        <f>(Table6[[#This Row],[Fault Clearance time]]-Table6[[#This Row],[Work Start TimeStamp]])*24</f>
        <v>3.3333333333333215E-2</v>
      </c>
      <c r="T1537" s="261">
        <f>(Table6[[#This Row],[Fault Clearance time]]-Table6[[#This Row],[Fault Start TimeStamp]])*24</f>
        <v>3.3333333333333215E-2</v>
      </c>
      <c r="U1537" s="35" t="s">
        <v>483</v>
      </c>
      <c r="V1537" s="102" t="s">
        <v>268</v>
      </c>
      <c r="W1537" s="290">
        <f>IFERROR(Table6[[#This Row],[Breakdown Time]]*Table6[[#This Row],[Plant Equivalent Weightage]],"")</f>
        <v>1.2820512820512771E-3</v>
      </c>
      <c r="X1537" s="262" t="s">
        <v>269</v>
      </c>
      <c r="Y1537" s="263" t="s">
        <v>128</v>
      </c>
      <c r="Z1537" s="102">
        <v>20643</v>
      </c>
      <c r="AA1537" s="257">
        <f>(Table6[[#This Row],[Paired WTG Generation for loss calculation]]/24)*Table6[[#This Row],[Breakdown Time]]</f>
        <v>28.670833333333231</v>
      </c>
      <c r="AB1537" s="102"/>
      <c r="AC1537" s="35"/>
      <c r="AD1537" s="35"/>
    </row>
    <row r="1538" spans="1:30">
      <c r="A1538" s="102">
        <f t="shared" si="24"/>
        <v>1537</v>
      </c>
      <c r="B1538" s="257">
        <f>YEAR(Table6[[#This Row],[Date]])+IF(MONTH(Table6[[#This Row],[Date]])&gt;=4,1,0)</f>
        <v>2026</v>
      </c>
      <c r="C1538" s="102">
        <f>YEAR(Table6[[#This Row],[Date]])</f>
        <v>2025</v>
      </c>
      <c r="D1538" s="102" t="s">
        <v>265</v>
      </c>
      <c r="E1538" s="258">
        <f>Table6[[#This Row],[Date]]-DAY(Table6[[#This Row],[Date]])+1</f>
        <v>45839</v>
      </c>
      <c r="F1538" s="259">
        <v>45850</v>
      </c>
      <c r="G1538" s="35" t="s">
        <v>126</v>
      </c>
      <c r="H1538" s="35" t="str">
        <f>IFERROR(_xlfn.XLOOKUP(Table6[[#This Row],[Affected WTG]],'Basic Data'!$A:$A,'Basic Data'!$B:$B),"")</f>
        <v>TQGXIIPL</v>
      </c>
      <c r="I1538" s="35" t="str">
        <f>IFERROR(_xlfn.XLOOKUP(Table6[[#This Row],[Affected WTG]],'Basic Data'!$A:$A,'Basic Data'!$C:$C),"")</f>
        <v>GEDA</v>
      </c>
      <c r="J1538" s="260">
        <f>IFERROR(_xlfn.XLOOKUP(Table6[[#This Row],[Affected WTG]],'Basic Data'!$A:$A,'Basic Data'!$E:$E),"")</f>
        <v>3.846153846153845E-2</v>
      </c>
      <c r="K1538" s="102">
        <v>6605</v>
      </c>
      <c r="L1538" s="35" t="str">
        <f>IFERROR(_xlfn.XLOOKUP(Table6[[#This Row],[Error Code]],'Basic Data'!$AA:$AA,'Basic Data'!$AB:$AB),"Incorrect Error Code")</f>
        <v>Wind.dir. diff. level 2</v>
      </c>
      <c r="M1538" s="35" t="s">
        <v>266</v>
      </c>
      <c r="N1538" s="264"/>
      <c r="O1538" s="265">
        <v>0.46041666666666664</v>
      </c>
      <c r="P1538" s="265">
        <v>0.46041666666666664</v>
      </c>
      <c r="Q1538" s="266">
        <v>0.46180555555555558</v>
      </c>
      <c r="R1538" s="261">
        <f>IF(Table6[[#This Row],[Work Start TimeStamp]]="","",(Table6[[#This Row],[Work Start TimeStamp]]-Table6[[#This Row],[Fault Start TimeStamp]])*24)</f>
        <v>0</v>
      </c>
      <c r="S1538" s="261">
        <f>(Table6[[#This Row],[Fault Clearance time]]-Table6[[#This Row],[Work Start TimeStamp]])*24</f>
        <v>3.3333333333334547E-2</v>
      </c>
      <c r="T1538" s="261">
        <f>(Table6[[#This Row],[Fault Clearance time]]-Table6[[#This Row],[Fault Start TimeStamp]])*24</f>
        <v>3.3333333333334547E-2</v>
      </c>
      <c r="U1538" s="35" t="s">
        <v>483</v>
      </c>
      <c r="V1538" s="102" t="s">
        <v>268</v>
      </c>
      <c r="W1538" s="290">
        <f>IFERROR(Table6[[#This Row],[Breakdown Time]]*Table6[[#This Row],[Plant Equivalent Weightage]],"")</f>
        <v>1.2820512820513285E-3</v>
      </c>
      <c r="X1538" s="262" t="s">
        <v>269</v>
      </c>
      <c r="Y1538" s="263" t="s">
        <v>128</v>
      </c>
      <c r="Z1538" s="102">
        <v>20643</v>
      </c>
      <c r="AA1538" s="257">
        <f>(Table6[[#This Row],[Paired WTG Generation for loss calculation]]/24)*Table6[[#This Row],[Breakdown Time]]</f>
        <v>28.670833333334379</v>
      </c>
      <c r="AB1538" s="102"/>
      <c r="AC1538" s="35"/>
      <c r="AD1538" s="35"/>
    </row>
    <row r="1539" spans="1:30">
      <c r="A1539" s="102">
        <f t="shared" si="24"/>
        <v>1538</v>
      </c>
      <c r="B1539" s="257">
        <f>YEAR(Table6[[#This Row],[Date]])+IF(MONTH(Table6[[#This Row],[Date]])&gt;=4,1,0)</f>
        <v>2026</v>
      </c>
      <c r="C1539" s="102">
        <f>YEAR(Table6[[#This Row],[Date]])</f>
        <v>2025</v>
      </c>
      <c r="D1539" s="102" t="s">
        <v>265</v>
      </c>
      <c r="E1539" s="258">
        <f>Table6[[#This Row],[Date]]-DAY(Table6[[#This Row],[Date]])+1</f>
        <v>45839</v>
      </c>
      <c r="F1539" s="259">
        <v>45850</v>
      </c>
      <c r="G1539" s="35" t="s">
        <v>126</v>
      </c>
      <c r="H1539" s="35" t="str">
        <f>IFERROR(_xlfn.XLOOKUP(Table6[[#This Row],[Affected WTG]],'Basic Data'!$A:$A,'Basic Data'!$B:$B),"")</f>
        <v>TQGXIIPL</v>
      </c>
      <c r="I1539" s="35" t="str">
        <f>IFERROR(_xlfn.XLOOKUP(Table6[[#This Row],[Affected WTG]],'Basic Data'!$A:$A,'Basic Data'!$C:$C),"")</f>
        <v>GEDA</v>
      </c>
      <c r="J1539" s="260">
        <f>IFERROR(_xlfn.XLOOKUP(Table6[[#This Row],[Affected WTG]],'Basic Data'!$A:$A,'Basic Data'!$E:$E),"")</f>
        <v>3.846153846153845E-2</v>
      </c>
      <c r="K1539" s="102">
        <v>6605</v>
      </c>
      <c r="L1539" s="35" t="str">
        <f>IFERROR(_xlfn.XLOOKUP(Table6[[#This Row],[Error Code]],'Basic Data'!$AA:$AA,'Basic Data'!$AB:$AB),"Incorrect Error Code")</f>
        <v>Wind.dir. diff. level 2</v>
      </c>
      <c r="M1539" s="35" t="s">
        <v>266</v>
      </c>
      <c r="N1539" s="264"/>
      <c r="O1539" s="265">
        <v>0.51527777777777772</v>
      </c>
      <c r="P1539" s="265">
        <v>0.51527777777777772</v>
      </c>
      <c r="Q1539" s="266">
        <v>0.51736111111111116</v>
      </c>
      <c r="R1539" s="261">
        <f>IF(Table6[[#This Row],[Work Start TimeStamp]]="","",(Table6[[#This Row],[Work Start TimeStamp]]-Table6[[#This Row],[Fault Start TimeStamp]])*24)</f>
        <v>0</v>
      </c>
      <c r="S1539" s="261">
        <f>(Table6[[#This Row],[Fault Clearance time]]-Table6[[#This Row],[Work Start TimeStamp]])*24</f>
        <v>5.0000000000002487E-2</v>
      </c>
      <c r="T1539" s="261">
        <f>(Table6[[#This Row],[Fault Clearance time]]-Table6[[#This Row],[Fault Start TimeStamp]])*24</f>
        <v>5.0000000000002487E-2</v>
      </c>
      <c r="U1539" s="35" t="s">
        <v>483</v>
      </c>
      <c r="V1539" s="102" t="s">
        <v>268</v>
      </c>
      <c r="W1539" s="290">
        <f>IFERROR(Table6[[#This Row],[Breakdown Time]]*Table6[[#This Row],[Plant Equivalent Weightage]],"")</f>
        <v>1.9230769230770182E-3</v>
      </c>
      <c r="X1539" s="262" t="s">
        <v>269</v>
      </c>
      <c r="Y1539" s="263" t="s">
        <v>128</v>
      </c>
      <c r="Z1539" s="102">
        <v>20643</v>
      </c>
      <c r="AA1539" s="257">
        <f>(Table6[[#This Row],[Paired WTG Generation for loss calculation]]/24)*Table6[[#This Row],[Breakdown Time]]</f>
        <v>43.00625000000214</v>
      </c>
      <c r="AB1539" s="102"/>
      <c r="AC1539" s="35"/>
      <c r="AD1539" s="35"/>
    </row>
    <row r="1540" spans="1:30">
      <c r="A1540" s="102">
        <f t="shared" si="24"/>
        <v>1539</v>
      </c>
      <c r="B1540" s="257">
        <f>YEAR(Table6[[#This Row],[Date]])+IF(MONTH(Table6[[#This Row],[Date]])&gt;=4,1,0)</f>
        <v>2026</v>
      </c>
      <c r="C1540" s="102">
        <f>YEAR(Table6[[#This Row],[Date]])</f>
        <v>2025</v>
      </c>
      <c r="D1540" s="102" t="s">
        <v>265</v>
      </c>
      <c r="E1540" s="258">
        <f>Table6[[#This Row],[Date]]-DAY(Table6[[#This Row],[Date]])+1</f>
        <v>45839</v>
      </c>
      <c r="F1540" s="259">
        <v>45850</v>
      </c>
      <c r="G1540" s="35" t="s">
        <v>126</v>
      </c>
      <c r="H1540" s="35" t="str">
        <f>IFERROR(_xlfn.XLOOKUP(Table6[[#This Row],[Affected WTG]],'Basic Data'!$A:$A,'Basic Data'!$B:$B),"")</f>
        <v>TQGXIIPL</v>
      </c>
      <c r="I1540" s="35" t="str">
        <f>IFERROR(_xlfn.XLOOKUP(Table6[[#This Row],[Affected WTG]],'Basic Data'!$A:$A,'Basic Data'!$C:$C),"")</f>
        <v>GEDA</v>
      </c>
      <c r="J1540" s="260">
        <f>IFERROR(_xlfn.XLOOKUP(Table6[[#This Row],[Affected WTG]],'Basic Data'!$A:$A,'Basic Data'!$E:$E),"")</f>
        <v>3.846153846153845E-2</v>
      </c>
      <c r="K1540" s="102">
        <v>6605</v>
      </c>
      <c r="L1540" s="35" t="str">
        <f>IFERROR(_xlfn.XLOOKUP(Table6[[#This Row],[Error Code]],'Basic Data'!$AA:$AA,'Basic Data'!$AB:$AB),"Incorrect Error Code")</f>
        <v>Wind.dir. diff. level 2</v>
      </c>
      <c r="M1540" s="35" t="s">
        <v>266</v>
      </c>
      <c r="N1540" s="264"/>
      <c r="O1540" s="265">
        <v>0.57986111111111116</v>
      </c>
      <c r="P1540" s="265">
        <v>0.57986111111111116</v>
      </c>
      <c r="Q1540" s="266">
        <v>0.58333333333333337</v>
      </c>
      <c r="R1540" s="261">
        <f>IF(Table6[[#This Row],[Work Start TimeStamp]]="","",(Table6[[#This Row],[Work Start TimeStamp]]-Table6[[#This Row],[Fault Start TimeStamp]])*24)</f>
        <v>0</v>
      </c>
      <c r="S1540" s="261">
        <f>(Table6[[#This Row],[Fault Clearance time]]-Table6[[#This Row],[Work Start TimeStamp]])*24</f>
        <v>8.3333333333333037E-2</v>
      </c>
      <c r="T1540" s="261">
        <f>(Table6[[#This Row],[Fault Clearance time]]-Table6[[#This Row],[Fault Start TimeStamp]])*24</f>
        <v>8.3333333333333037E-2</v>
      </c>
      <c r="U1540" s="35" t="s">
        <v>483</v>
      </c>
      <c r="V1540" s="102" t="s">
        <v>268</v>
      </c>
      <c r="W1540" s="290">
        <f>IFERROR(Table6[[#This Row],[Breakdown Time]]*Table6[[#This Row],[Plant Equivalent Weightage]],"")</f>
        <v>3.2051282051281929E-3</v>
      </c>
      <c r="X1540" s="262" t="s">
        <v>269</v>
      </c>
      <c r="Y1540" s="263" t="s">
        <v>128</v>
      </c>
      <c r="Z1540" s="102">
        <v>20643</v>
      </c>
      <c r="AA1540" s="257">
        <f>(Table6[[#This Row],[Paired WTG Generation for loss calculation]]/24)*Table6[[#This Row],[Breakdown Time]]</f>
        <v>71.677083333333073</v>
      </c>
      <c r="AB1540" s="102"/>
      <c r="AC1540" s="35"/>
      <c r="AD1540" s="35"/>
    </row>
    <row r="1541" spans="1:30">
      <c r="A1541" s="102">
        <f t="shared" si="24"/>
        <v>1540</v>
      </c>
      <c r="B1541" s="257">
        <f>YEAR(Table6[[#This Row],[Date]])+IF(MONTH(Table6[[#This Row],[Date]])&gt;=4,1,0)</f>
        <v>2026</v>
      </c>
      <c r="C1541" s="102">
        <f>YEAR(Table6[[#This Row],[Date]])</f>
        <v>2025</v>
      </c>
      <c r="D1541" s="102" t="s">
        <v>265</v>
      </c>
      <c r="E1541" s="258">
        <f>Table6[[#This Row],[Date]]-DAY(Table6[[#This Row],[Date]])+1</f>
        <v>45839</v>
      </c>
      <c r="F1541" s="259">
        <v>45850</v>
      </c>
      <c r="G1541" s="35" t="s">
        <v>129</v>
      </c>
      <c r="H1541" s="35" t="str">
        <f>IFERROR(_xlfn.XLOOKUP(Table6[[#This Row],[Affected WTG]],'Basic Data'!$A:$A,'Basic Data'!$B:$B),"")</f>
        <v>TQGXIIPL</v>
      </c>
      <c r="I1541" s="35" t="str">
        <f>IFERROR(_xlfn.XLOOKUP(Table6[[#This Row],[Affected WTG]],'Basic Data'!$A:$A,'Basic Data'!$C:$C),"")</f>
        <v>GEDA</v>
      </c>
      <c r="J1541" s="260">
        <f>IFERROR(_xlfn.XLOOKUP(Table6[[#This Row],[Affected WTG]],'Basic Data'!$A:$A,'Basic Data'!$E:$E),"")</f>
        <v>3.846153846153845E-2</v>
      </c>
      <c r="K1541" s="102">
        <v>88</v>
      </c>
      <c r="L1541" s="35" t="str">
        <f>IFERROR(_xlfn.XLOOKUP(Table6[[#This Row],[Error Code]],'Basic Data'!$AA:$AA,'Basic Data'!$AB:$AB),"Incorrect Error Code")</f>
        <v>Outs.temp. nacelle implaus.</v>
      </c>
      <c r="M1541" s="35" t="s">
        <v>266</v>
      </c>
      <c r="N1541" s="264"/>
      <c r="O1541" s="265">
        <v>0.62430555555555556</v>
      </c>
      <c r="P1541" s="265">
        <v>0.62430555555555556</v>
      </c>
      <c r="Q1541" s="266">
        <v>0.63263888888888886</v>
      </c>
      <c r="R1541" s="261">
        <f>IF(Table6[[#This Row],[Work Start TimeStamp]]="","",(Table6[[#This Row],[Work Start TimeStamp]]-Table6[[#This Row],[Fault Start TimeStamp]])*24)</f>
        <v>0</v>
      </c>
      <c r="S1541" s="261">
        <f>(Table6[[#This Row],[Fault Clearance time]]-Table6[[#This Row],[Work Start TimeStamp]])*24</f>
        <v>0.19999999999999929</v>
      </c>
      <c r="T1541" s="261">
        <f>(Table6[[#This Row],[Fault Clearance time]]-Table6[[#This Row],[Fault Start TimeStamp]])*24</f>
        <v>0.19999999999999929</v>
      </c>
      <c r="U1541" s="35" t="s">
        <v>483</v>
      </c>
      <c r="V1541" s="102" t="s">
        <v>268</v>
      </c>
      <c r="W1541" s="290">
        <f>IFERROR(Table6[[#This Row],[Breakdown Time]]*Table6[[#This Row],[Plant Equivalent Weightage]],"")</f>
        <v>7.6923076923076624E-3</v>
      </c>
      <c r="X1541" s="262" t="s">
        <v>269</v>
      </c>
      <c r="Y1541" s="263" t="s">
        <v>124</v>
      </c>
      <c r="Z1541" s="102">
        <v>21459</v>
      </c>
      <c r="AA1541" s="257">
        <f>(Table6[[#This Row],[Paired WTG Generation for loss calculation]]/24)*Table6[[#This Row],[Breakdown Time]]</f>
        <v>178.82499999999936</v>
      </c>
      <c r="AB1541" s="102"/>
      <c r="AC1541" s="35"/>
      <c r="AD1541" s="35"/>
    </row>
    <row r="1542" spans="1:30">
      <c r="A1542" s="102">
        <f t="shared" si="24"/>
        <v>1541</v>
      </c>
      <c r="B1542" s="257">
        <f>YEAR(Table6[[#This Row],[Date]])+IF(MONTH(Table6[[#This Row],[Date]])&gt;=4,1,0)</f>
        <v>2026</v>
      </c>
      <c r="C1542" s="102">
        <f>YEAR(Table6[[#This Row],[Date]])</f>
        <v>2025</v>
      </c>
      <c r="D1542" s="102" t="s">
        <v>265</v>
      </c>
      <c r="E1542" s="258">
        <f>Table6[[#This Row],[Date]]-DAY(Table6[[#This Row],[Date]])+1</f>
        <v>45839</v>
      </c>
      <c r="F1542" s="259">
        <v>45850</v>
      </c>
      <c r="G1542" s="35" t="s">
        <v>130</v>
      </c>
      <c r="H1542" s="35" t="str">
        <f>IFERROR(_xlfn.XLOOKUP(Table6[[#This Row],[Affected WTG]],'Basic Data'!$A:$A,'Basic Data'!$B:$B),"")</f>
        <v>TQGXIIPL</v>
      </c>
      <c r="I1542" s="35" t="str">
        <f>IFERROR(_xlfn.XLOOKUP(Table6[[#This Row],[Affected WTG]],'Basic Data'!$A:$A,'Basic Data'!$C:$C),"")</f>
        <v>GEDA</v>
      </c>
      <c r="J1542" s="260">
        <f>IFERROR(_xlfn.XLOOKUP(Table6[[#This Row],[Affected WTG]],'Basic Data'!$A:$A,'Basic Data'!$E:$E),"")</f>
        <v>3.846153846153845E-2</v>
      </c>
      <c r="K1542" s="102">
        <v>55</v>
      </c>
      <c r="L1542" s="35" t="str">
        <f>IFERROR(_xlfn.XLOOKUP(Table6[[#This Row],[Error Code]],'Basic Data'!$AA:$AA,'Basic Data'!$AB:$AB),"Incorrect Error Code")</f>
        <v>WTG shut down</v>
      </c>
      <c r="M1542" s="35" t="s">
        <v>266</v>
      </c>
      <c r="N1542" s="264"/>
      <c r="O1542" s="265">
        <v>0.45624999999999999</v>
      </c>
      <c r="P1542" s="265">
        <v>0.45624999999999999</v>
      </c>
      <c r="Q1542" s="266">
        <v>0.55972222222222223</v>
      </c>
      <c r="R1542" s="261">
        <f>IF(Table6[[#This Row],[Work Start TimeStamp]]="","",(Table6[[#This Row],[Work Start TimeStamp]]-Table6[[#This Row],[Fault Start TimeStamp]])*24)</f>
        <v>0</v>
      </c>
      <c r="S1542" s="261">
        <f>(Table6[[#This Row],[Fault Clearance time]]-Table6[[#This Row],[Work Start TimeStamp]])*24</f>
        <v>2.4833333333333338</v>
      </c>
      <c r="T1542" s="261">
        <f>(Table6[[#This Row],[Fault Clearance time]]-Table6[[#This Row],[Fault Start TimeStamp]])*24</f>
        <v>2.4833333333333338</v>
      </c>
      <c r="U1542" s="35" t="s">
        <v>598</v>
      </c>
      <c r="V1542" s="102" t="s">
        <v>268</v>
      </c>
      <c r="W1542" s="290">
        <f>IFERROR(Table6[[#This Row],[Breakdown Time]]*Table6[[#This Row],[Plant Equivalent Weightage]],"")</f>
        <v>9.5512820512820507E-2</v>
      </c>
      <c r="X1542" s="262" t="s">
        <v>296</v>
      </c>
      <c r="Y1542" s="263" t="s">
        <v>135</v>
      </c>
      <c r="Z1542" s="102">
        <v>20519</v>
      </c>
      <c r="AA1542" s="257">
        <f>(Table6[[#This Row],[Paired WTG Generation for loss calculation]]/24)*Table6[[#This Row],[Breakdown Time]]</f>
        <v>2123.1465277777784</v>
      </c>
      <c r="AB1542" s="102"/>
      <c r="AC1542" s="35"/>
      <c r="AD1542" s="35"/>
    </row>
    <row r="1543" spans="1:30">
      <c r="A1543" s="102">
        <f t="shared" si="24"/>
        <v>1542</v>
      </c>
      <c r="B1543" s="257">
        <f>YEAR(Table6[[#This Row],[Date]])+IF(MONTH(Table6[[#This Row],[Date]])&gt;=4,1,0)</f>
        <v>2026</v>
      </c>
      <c r="C1543" s="102">
        <f>YEAR(Table6[[#This Row],[Date]])</f>
        <v>2025</v>
      </c>
      <c r="D1543" s="102" t="s">
        <v>265</v>
      </c>
      <c r="E1543" s="258">
        <f>Table6[[#This Row],[Date]]-DAY(Table6[[#This Row],[Date]])+1</f>
        <v>45839</v>
      </c>
      <c r="F1543" s="259">
        <v>45850</v>
      </c>
      <c r="G1543" s="35" t="s">
        <v>132</v>
      </c>
      <c r="H1543" s="35" t="str">
        <f>IFERROR(_xlfn.XLOOKUP(Table6[[#This Row],[Affected WTG]],'Basic Data'!$A:$A,'Basic Data'!$B:$B),"")</f>
        <v>TQGXIIPL</v>
      </c>
      <c r="I1543" s="35" t="str">
        <f>IFERROR(_xlfn.XLOOKUP(Table6[[#This Row],[Affected WTG]],'Basic Data'!$A:$A,'Basic Data'!$C:$C),"")</f>
        <v>GEDA</v>
      </c>
      <c r="J1543" s="260">
        <f>IFERROR(_xlfn.XLOOKUP(Table6[[#This Row],[Affected WTG]],'Basic Data'!$A:$A,'Basic Data'!$E:$E),"")</f>
        <v>3.846153846153845E-2</v>
      </c>
      <c r="K1543" s="102">
        <v>55</v>
      </c>
      <c r="L1543" s="35" t="str">
        <f>IFERROR(_xlfn.XLOOKUP(Table6[[#This Row],[Error Code]],'Basic Data'!$AA:$AA,'Basic Data'!$AB:$AB),"Incorrect Error Code")</f>
        <v>WTG shut down</v>
      </c>
      <c r="M1543" s="35" t="s">
        <v>291</v>
      </c>
      <c r="N1543" s="264"/>
      <c r="O1543" s="265">
        <v>0.48194444444444445</v>
      </c>
      <c r="P1543" s="265">
        <v>0.48194444444444445</v>
      </c>
      <c r="Q1543" s="266">
        <v>0.84444444444444444</v>
      </c>
      <c r="R1543" s="261">
        <f>IF(Table6[[#This Row],[Work Start TimeStamp]]="","",(Table6[[#This Row],[Work Start TimeStamp]]-Table6[[#This Row],[Fault Start TimeStamp]])*24)</f>
        <v>0</v>
      </c>
      <c r="S1543" s="261">
        <f>(Table6[[#This Row],[Fault Clearance time]]-Table6[[#This Row],[Work Start TimeStamp]])*24</f>
        <v>8.6999999999999993</v>
      </c>
      <c r="T1543" s="261">
        <f>(Table6[[#This Row],[Fault Clearance time]]-Table6[[#This Row],[Fault Start TimeStamp]])*24</f>
        <v>8.6999999999999993</v>
      </c>
      <c r="U1543" s="35" t="s">
        <v>599</v>
      </c>
      <c r="V1543" s="102" t="s">
        <v>268</v>
      </c>
      <c r="W1543" s="290">
        <f>IFERROR(Table6[[#This Row],[Breakdown Time]]*Table6[[#This Row],[Plant Equivalent Weightage]],"")</f>
        <v>0.33461538461538448</v>
      </c>
      <c r="X1543" s="262" t="s">
        <v>296</v>
      </c>
      <c r="Y1543" s="263" t="s">
        <v>120</v>
      </c>
      <c r="Z1543" s="102">
        <v>21452</v>
      </c>
      <c r="AA1543" s="257">
        <f>(Table6[[#This Row],[Paired WTG Generation for loss calculation]]/24)*Table6[[#This Row],[Breakdown Time]]</f>
        <v>7776.3499999999995</v>
      </c>
      <c r="AB1543" s="102"/>
      <c r="AC1543" s="35"/>
      <c r="AD1543" s="35"/>
    </row>
    <row r="1544" spans="1:30">
      <c r="A1544" s="102">
        <f t="shared" si="24"/>
        <v>1543</v>
      </c>
      <c r="B1544" s="257">
        <f>YEAR(Table6[[#This Row],[Date]])+IF(MONTH(Table6[[#This Row],[Date]])&gt;=4,1,0)</f>
        <v>2026</v>
      </c>
      <c r="C1544" s="102">
        <f>YEAR(Table6[[#This Row],[Date]])</f>
        <v>2025</v>
      </c>
      <c r="D1544" s="102" t="s">
        <v>265</v>
      </c>
      <c r="E1544" s="258">
        <f>Table6[[#This Row],[Date]]-DAY(Table6[[#This Row],[Date]])+1</f>
        <v>45839</v>
      </c>
      <c r="F1544" s="259">
        <v>45851</v>
      </c>
      <c r="G1544" s="35" t="s">
        <v>116</v>
      </c>
      <c r="H1544" s="35" t="str">
        <f>IFERROR(_xlfn.XLOOKUP(Table6[[#This Row],[Affected WTG]],'Basic Data'!$A:$A,'Basic Data'!$B:$B),"")</f>
        <v>TQGXIIPL</v>
      </c>
      <c r="I1544" s="35" t="str">
        <f>IFERROR(_xlfn.XLOOKUP(Table6[[#This Row],[Affected WTG]],'Basic Data'!$A:$A,'Basic Data'!$C:$C),"")</f>
        <v>GEDA</v>
      </c>
      <c r="J1544" s="260">
        <f>IFERROR(_xlfn.XLOOKUP(Table6[[#This Row],[Affected WTG]],'Basic Data'!$A:$A,'Basic Data'!$E:$E),"")</f>
        <v>3.846153846153845E-2</v>
      </c>
      <c r="K1544" s="102">
        <v>3380</v>
      </c>
      <c r="L1544" s="35" t="str">
        <f>IFERROR(_xlfn.XLOOKUP(Table6[[#This Row],[Error Code]],'Basic Data'!$AA:$AA,'Basic Data'!$AB:$AB),"Incorrect Error Code")</f>
        <v>Coolant temp. high</v>
      </c>
      <c r="M1544" s="35" t="s">
        <v>266</v>
      </c>
      <c r="N1544" s="264"/>
      <c r="O1544" s="265">
        <v>0.26319444444444445</v>
      </c>
      <c r="P1544" s="265">
        <v>0.27638888888888891</v>
      </c>
      <c r="Q1544" s="266">
        <v>0.29305555555555557</v>
      </c>
      <c r="R1544" s="261">
        <f>IF(Table6[[#This Row],[Work Start TimeStamp]]="","",(Table6[[#This Row],[Work Start TimeStamp]]-Table6[[#This Row],[Fault Start TimeStamp]])*24)</f>
        <v>0.31666666666666687</v>
      </c>
      <c r="S1544" s="261">
        <f>(Table6[[#This Row],[Fault Clearance time]]-Table6[[#This Row],[Work Start TimeStamp]])*24</f>
        <v>0.39999999999999991</v>
      </c>
      <c r="T1544" s="261">
        <f>(Table6[[#This Row],[Fault Clearance time]]-Table6[[#This Row],[Fault Start TimeStamp]])*24</f>
        <v>0.71666666666666679</v>
      </c>
      <c r="U1544" s="35" t="s">
        <v>600</v>
      </c>
      <c r="V1544" s="102" t="s">
        <v>268</v>
      </c>
      <c r="W1544" s="290">
        <f>IFERROR(Table6[[#This Row],[Breakdown Time]]*Table6[[#This Row],[Plant Equivalent Weightage]],"")</f>
        <v>2.756410256410256E-2</v>
      </c>
      <c r="X1544" s="262" t="s">
        <v>296</v>
      </c>
      <c r="Y1544" s="263" t="s">
        <v>119</v>
      </c>
      <c r="Z1544" s="102">
        <v>19845</v>
      </c>
      <c r="AA1544" s="257">
        <f>(Table6[[#This Row],[Paired WTG Generation for loss calculation]]/24)*Table6[[#This Row],[Breakdown Time]]</f>
        <v>592.59375000000011</v>
      </c>
      <c r="AB1544" s="102"/>
      <c r="AC1544" s="35"/>
      <c r="AD1544" s="35"/>
    </row>
    <row r="1545" spans="1:30">
      <c r="A1545" s="102">
        <f t="shared" si="24"/>
        <v>1544</v>
      </c>
      <c r="B1545" s="257">
        <f>YEAR(Table6[[#This Row],[Date]])+IF(MONTH(Table6[[#This Row],[Date]])&gt;=4,1,0)</f>
        <v>2026</v>
      </c>
      <c r="C1545" s="102">
        <f>YEAR(Table6[[#This Row],[Date]])</f>
        <v>2025</v>
      </c>
      <c r="D1545" s="102" t="s">
        <v>265</v>
      </c>
      <c r="E1545" s="258">
        <f>Table6[[#This Row],[Date]]-DAY(Table6[[#This Row],[Date]])+1</f>
        <v>45839</v>
      </c>
      <c r="F1545" s="259">
        <v>45851</v>
      </c>
      <c r="G1545" s="35" t="s">
        <v>118</v>
      </c>
      <c r="H1545" s="35" t="str">
        <f>IFERROR(_xlfn.XLOOKUP(Table6[[#This Row],[Affected WTG]],'Basic Data'!$A:$A,'Basic Data'!$B:$B),"")</f>
        <v>TQGXIIPL</v>
      </c>
      <c r="I1545" s="35" t="str">
        <f>IFERROR(_xlfn.XLOOKUP(Table6[[#This Row],[Affected WTG]],'Basic Data'!$A:$A,'Basic Data'!$C:$C),"")</f>
        <v>GEDA</v>
      </c>
      <c r="J1545" s="260">
        <f>IFERROR(_xlfn.XLOOKUP(Table6[[#This Row],[Affected WTG]],'Basic Data'!$A:$A,'Basic Data'!$E:$E),"")</f>
        <v>3.846153846153845E-2</v>
      </c>
      <c r="K1545" s="102">
        <v>6130</v>
      </c>
      <c r="L1545" s="35" t="str">
        <f>IFERROR(_xlfn.XLOOKUP(Table6[[#This Row],[Error Code]],'Basic Data'!$AA:$AA,'Basic Data'!$AB:$AB),"Incorrect Error Code")</f>
        <v>Yaw speed high</v>
      </c>
      <c r="M1545" s="35" t="s">
        <v>266</v>
      </c>
      <c r="N1545" s="264"/>
      <c r="O1545" s="265">
        <v>0.83958333333333335</v>
      </c>
      <c r="P1545" s="265">
        <v>0.83958333333333335</v>
      </c>
      <c r="Q1545" s="266">
        <v>0.84166666666666667</v>
      </c>
      <c r="R1545" s="261">
        <f>IF(Table6[[#This Row],[Work Start TimeStamp]]="","",(Table6[[#This Row],[Work Start TimeStamp]]-Table6[[#This Row],[Fault Start TimeStamp]])*24)</f>
        <v>0</v>
      </c>
      <c r="S1545" s="261">
        <f>(Table6[[#This Row],[Fault Clearance time]]-Table6[[#This Row],[Work Start TimeStamp]])*24</f>
        <v>4.9999999999999822E-2</v>
      </c>
      <c r="T1545" s="261">
        <f>(Table6[[#This Row],[Fault Clearance time]]-Table6[[#This Row],[Fault Start TimeStamp]])*24</f>
        <v>4.9999999999999822E-2</v>
      </c>
      <c r="U1545" s="35" t="s">
        <v>483</v>
      </c>
      <c r="V1545" s="102" t="s">
        <v>268</v>
      </c>
      <c r="W1545" s="290">
        <f>IFERROR(Table6[[#This Row],[Breakdown Time]]*Table6[[#This Row],[Plant Equivalent Weightage]],"")</f>
        <v>1.9230769230769156E-3</v>
      </c>
      <c r="X1545" s="262" t="s">
        <v>269</v>
      </c>
      <c r="Y1545" s="263" t="s">
        <v>121</v>
      </c>
      <c r="Z1545" s="102">
        <v>26035</v>
      </c>
      <c r="AA1545" s="257">
        <f>(Table6[[#This Row],[Paired WTG Generation for loss calculation]]/24)*Table6[[#This Row],[Breakdown Time]]</f>
        <v>54.239583333333144</v>
      </c>
      <c r="AB1545" s="102"/>
      <c r="AC1545" s="35"/>
      <c r="AD1545" s="35"/>
    </row>
    <row r="1546" spans="1:30">
      <c r="A1546" s="102">
        <f t="shared" si="24"/>
        <v>1545</v>
      </c>
      <c r="B1546" s="257">
        <f>YEAR(Table6[[#This Row],[Date]])+IF(MONTH(Table6[[#This Row],[Date]])&gt;=4,1,0)</f>
        <v>2026</v>
      </c>
      <c r="C1546" s="102">
        <f>YEAR(Table6[[#This Row],[Date]])</f>
        <v>2025</v>
      </c>
      <c r="D1546" s="102" t="s">
        <v>265</v>
      </c>
      <c r="E1546" s="258">
        <f>Table6[[#This Row],[Date]]-DAY(Table6[[#This Row],[Date]])+1</f>
        <v>45839</v>
      </c>
      <c r="F1546" s="259">
        <v>45851</v>
      </c>
      <c r="G1546" s="35" t="s">
        <v>126</v>
      </c>
      <c r="H1546" s="35" t="str">
        <f>IFERROR(_xlfn.XLOOKUP(Table6[[#This Row],[Affected WTG]],'Basic Data'!$A:$A,'Basic Data'!$B:$B),"")</f>
        <v>TQGXIIPL</v>
      </c>
      <c r="I1546" s="35" t="str">
        <f>IFERROR(_xlfn.XLOOKUP(Table6[[#This Row],[Affected WTG]],'Basic Data'!$A:$A,'Basic Data'!$C:$C),"")</f>
        <v>GEDA</v>
      </c>
      <c r="J1546" s="260">
        <f>IFERROR(_xlfn.XLOOKUP(Table6[[#This Row],[Affected WTG]],'Basic Data'!$A:$A,'Basic Data'!$E:$E),"")</f>
        <v>3.846153846153845E-2</v>
      </c>
      <c r="K1546" s="102">
        <v>6605</v>
      </c>
      <c r="L1546" s="35" t="str">
        <f>IFERROR(_xlfn.XLOOKUP(Table6[[#This Row],[Error Code]],'Basic Data'!$AA:$AA,'Basic Data'!$AB:$AB),"Incorrect Error Code")</f>
        <v>Wind.dir. diff. level 2</v>
      </c>
      <c r="M1546" s="35" t="s">
        <v>266</v>
      </c>
      <c r="N1546" s="264"/>
      <c r="O1546" s="265">
        <v>0.25972222222222224</v>
      </c>
      <c r="P1546" s="265">
        <v>0.25972222222222224</v>
      </c>
      <c r="Q1546" s="266">
        <v>0.26250000000000001</v>
      </c>
      <c r="R1546" s="261">
        <f>IF(Table6[[#This Row],[Work Start TimeStamp]]="","",(Table6[[#This Row],[Work Start TimeStamp]]-Table6[[#This Row],[Fault Start TimeStamp]])*24)</f>
        <v>0</v>
      </c>
      <c r="S1546" s="261">
        <f>(Table6[[#This Row],[Fault Clearance time]]-Table6[[#This Row],[Work Start TimeStamp]])*24</f>
        <v>6.666666666666643E-2</v>
      </c>
      <c r="T1546" s="261">
        <f>(Table6[[#This Row],[Fault Clearance time]]-Table6[[#This Row],[Fault Start TimeStamp]])*24</f>
        <v>6.666666666666643E-2</v>
      </c>
      <c r="U1546" s="35" t="s">
        <v>483</v>
      </c>
      <c r="V1546" s="102" t="s">
        <v>268</v>
      </c>
      <c r="W1546" s="290">
        <f>IFERROR(Table6[[#This Row],[Breakdown Time]]*Table6[[#This Row],[Plant Equivalent Weightage]],"")</f>
        <v>2.5641025641025541E-3</v>
      </c>
      <c r="X1546" s="262" t="s">
        <v>269</v>
      </c>
      <c r="Y1546" s="263" t="s">
        <v>128</v>
      </c>
      <c r="Z1546" s="102">
        <v>24027</v>
      </c>
      <c r="AA1546" s="257">
        <f>(Table6[[#This Row],[Paired WTG Generation for loss calculation]]/24)*Table6[[#This Row],[Breakdown Time]]</f>
        <v>66.741666666666433</v>
      </c>
      <c r="AB1546" s="102"/>
      <c r="AC1546" s="35"/>
      <c r="AD1546" s="35"/>
    </row>
    <row r="1547" spans="1:30">
      <c r="A1547" s="102">
        <f t="shared" si="24"/>
        <v>1546</v>
      </c>
      <c r="B1547" s="257">
        <f>YEAR(Table6[[#This Row],[Date]])+IF(MONTH(Table6[[#This Row],[Date]])&gt;=4,1,0)</f>
        <v>2026</v>
      </c>
      <c r="C1547" s="102">
        <f>YEAR(Table6[[#This Row],[Date]])</f>
        <v>2025</v>
      </c>
      <c r="D1547" s="102" t="s">
        <v>265</v>
      </c>
      <c r="E1547" s="258">
        <f>Table6[[#This Row],[Date]]-DAY(Table6[[#This Row],[Date]])+1</f>
        <v>45839</v>
      </c>
      <c r="F1547" s="259">
        <v>45851</v>
      </c>
      <c r="G1547" s="35" t="s">
        <v>126</v>
      </c>
      <c r="H1547" s="35" t="str">
        <f>IFERROR(_xlfn.XLOOKUP(Table6[[#This Row],[Affected WTG]],'Basic Data'!$A:$A,'Basic Data'!$B:$B),"")</f>
        <v>TQGXIIPL</v>
      </c>
      <c r="I1547" s="35" t="str">
        <f>IFERROR(_xlfn.XLOOKUP(Table6[[#This Row],[Affected WTG]],'Basic Data'!$A:$A,'Basic Data'!$C:$C),"")</f>
        <v>GEDA</v>
      </c>
      <c r="J1547" s="260">
        <f>IFERROR(_xlfn.XLOOKUP(Table6[[#This Row],[Affected WTG]],'Basic Data'!$A:$A,'Basic Data'!$E:$E),"")</f>
        <v>3.846153846153845E-2</v>
      </c>
      <c r="K1547" s="102">
        <v>6605</v>
      </c>
      <c r="L1547" s="35" t="str">
        <f>IFERROR(_xlfn.XLOOKUP(Table6[[#This Row],[Error Code]],'Basic Data'!$AA:$AA,'Basic Data'!$AB:$AB),"Incorrect Error Code")</f>
        <v>Wind.dir. diff. level 2</v>
      </c>
      <c r="M1547" s="35" t="s">
        <v>266</v>
      </c>
      <c r="N1547" s="264"/>
      <c r="O1547" s="265">
        <v>0.29652777777777778</v>
      </c>
      <c r="P1547" s="265">
        <v>0.29652777777777778</v>
      </c>
      <c r="Q1547" s="266">
        <v>0.30625000000000002</v>
      </c>
      <c r="R1547" s="261">
        <f>IF(Table6[[#This Row],[Work Start TimeStamp]]="","",(Table6[[#This Row],[Work Start TimeStamp]]-Table6[[#This Row],[Fault Start TimeStamp]])*24)</f>
        <v>0</v>
      </c>
      <c r="S1547" s="261">
        <f>(Table6[[#This Row],[Fault Clearance time]]-Table6[[#This Row],[Work Start TimeStamp]])*24</f>
        <v>0.23333333333333384</v>
      </c>
      <c r="T1547" s="261">
        <f>(Table6[[#This Row],[Fault Clearance time]]-Table6[[#This Row],[Fault Start TimeStamp]])*24</f>
        <v>0.23333333333333384</v>
      </c>
      <c r="U1547" s="35" t="s">
        <v>483</v>
      </c>
      <c r="V1547" s="102" t="s">
        <v>268</v>
      </c>
      <c r="W1547" s="290">
        <f>IFERROR(Table6[[#This Row],[Breakdown Time]]*Table6[[#This Row],[Plant Equivalent Weightage]],"")</f>
        <v>8.974358974358991E-3</v>
      </c>
      <c r="X1547" s="262" t="s">
        <v>269</v>
      </c>
      <c r="Y1547" s="263" t="s">
        <v>128</v>
      </c>
      <c r="Z1547" s="102">
        <v>24027</v>
      </c>
      <c r="AA1547" s="257">
        <f>(Table6[[#This Row],[Paired WTG Generation for loss calculation]]/24)*Table6[[#This Row],[Breakdown Time]]</f>
        <v>233.59583333333384</v>
      </c>
      <c r="AB1547" s="102"/>
      <c r="AC1547" s="35"/>
      <c r="AD1547" s="35"/>
    </row>
    <row r="1548" spans="1:30">
      <c r="A1548" s="102">
        <f t="shared" si="24"/>
        <v>1547</v>
      </c>
      <c r="B1548" s="257">
        <f>YEAR(Table6[[#This Row],[Date]])+IF(MONTH(Table6[[#This Row],[Date]])&gt;=4,1,0)</f>
        <v>2026</v>
      </c>
      <c r="C1548" s="102">
        <f>YEAR(Table6[[#This Row],[Date]])</f>
        <v>2025</v>
      </c>
      <c r="D1548" s="102" t="s">
        <v>265</v>
      </c>
      <c r="E1548" s="258">
        <f>Table6[[#This Row],[Date]]-DAY(Table6[[#This Row],[Date]])+1</f>
        <v>45839</v>
      </c>
      <c r="F1548" s="259">
        <v>45851</v>
      </c>
      <c r="G1548" s="35" t="s">
        <v>126</v>
      </c>
      <c r="H1548" s="35" t="str">
        <f>IFERROR(_xlfn.XLOOKUP(Table6[[#This Row],[Affected WTG]],'Basic Data'!$A:$A,'Basic Data'!$B:$B),"")</f>
        <v>TQGXIIPL</v>
      </c>
      <c r="I1548" s="35" t="str">
        <f>IFERROR(_xlfn.XLOOKUP(Table6[[#This Row],[Affected WTG]],'Basic Data'!$A:$A,'Basic Data'!$C:$C),"")</f>
        <v>GEDA</v>
      </c>
      <c r="J1548" s="260">
        <f>IFERROR(_xlfn.XLOOKUP(Table6[[#This Row],[Affected WTG]],'Basic Data'!$A:$A,'Basic Data'!$E:$E),"")</f>
        <v>3.846153846153845E-2</v>
      </c>
      <c r="K1548" s="102">
        <v>6605</v>
      </c>
      <c r="L1548" s="35" t="str">
        <f>IFERROR(_xlfn.XLOOKUP(Table6[[#This Row],[Error Code]],'Basic Data'!$AA:$AA,'Basic Data'!$AB:$AB),"Incorrect Error Code")</f>
        <v>Wind.dir. diff. level 2</v>
      </c>
      <c r="M1548" s="35" t="s">
        <v>266</v>
      </c>
      <c r="N1548" s="264"/>
      <c r="O1548" s="265">
        <v>0.35416666666666669</v>
      </c>
      <c r="P1548" s="265">
        <v>0.35416666666666669</v>
      </c>
      <c r="Q1548" s="266">
        <v>0.3576388888888889</v>
      </c>
      <c r="R1548" s="261">
        <f>IF(Table6[[#This Row],[Work Start TimeStamp]]="","",(Table6[[#This Row],[Work Start TimeStamp]]-Table6[[#This Row],[Fault Start TimeStamp]])*24)</f>
        <v>0</v>
      </c>
      <c r="S1548" s="261">
        <f>(Table6[[#This Row],[Fault Clearance time]]-Table6[[#This Row],[Work Start TimeStamp]])*24</f>
        <v>8.3333333333333037E-2</v>
      </c>
      <c r="T1548" s="261">
        <f>(Table6[[#This Row],[Fault Clearance time]]-Table6[[#This Row],[Fault Start TimeStamp]])*24</f>
        <v>8.3333333333333037E-2</v>
      </c>
      <c r="U1548" s="35" t="s">
        <v>483</v>
      </c>
      <c r="V1548" s="102" t="s">
        <v>268</v>
      </c>
      <c r="W1548" s="290">
        <f>IFERROR(Table6[[#This Row],[Breakdown Time]]*Table6[[#This Row],[Plant Equivalent Weightage]],"")</f>
        <v>3.2051282051281929E-3</v>
      </c>
      <c r="X1548" s="262" t="s">
        <v>269</v>
      </c>
      <c r="Y1548" s="263" t="s">
        <v>128</v>
      </c>
      <c r="Z1548" s="102">
        <v>24027</v>
      </c>
      <c r="AA1548" s="257">
        <f>(Table6[[#This Row],[Paired WTG Generation for loss calculation]]/24)*Table6[[#This Row],[Breakdown Time]]</f>
        <v>83.42708333333303</v>
      </c>
      <c r="AB1548" s="102"/>
      <c r="AC1548" s="35"/>
      <c r="AD1548" s="35"/>
    </row>
    <row r="1549" spans="1:30">
      <c r="A1549" s="102">
        <f t="shared" si="24"/>
        <v>1548</v>
      </c>
      <c r="B1549" s="257">
        <f>YEAR(Table6[[#This Row],[Date]])+IF(MONTH(Table6[[#This Row],[Date]])&gt;=4,1,0)</f>
        <v>2026</v>
      </c>
      <c r="C1549" s="102">
        <f>YEAR(Table6[[#This Row],[Date]])</f>
        <v>2025</v>
      </c>
      <c r="D1549" s="102" t="s">
        <v>265</v>
      </c>
      <c r="E1549" s="258">
        <f>Table6[[#This Row],[Date]]-DAY(Table6[[#This Row],[Date]])+1</f>
        <v>45839</v>
      </c>
      <c r="F1549" s="259">
        <v>45851</v>
      </c>
      <c r="G1549" s="35" t="s">
        <v>126</v>
      </c>
      <c r="H1549" s="35" t="str">
        <f>IFERROR(_xlfn.XLOOKUP(Table6[[#This Row],[Affected WTG]],'Basic Data'!$A:$A,'Basic Data'!$B:$B),"")</f>
        <v>TQGXIIPL</v>
      </c>
      <c r="I1549" s="35" t="str">
        <f>IFERROR(_xlfn.XLOOKUP(Table6[[#This Row],[Affected WTG]],'Basic Data'!$A:$A,'Basic Data'!$C:$C),"")</f>
        <v>GEDA</v>
      </c>
      <c r="J1549" s="260">
        <f>IFERROR(_xlfn.XLOOKUP(Table6[[#This Row],[Affected WTG]],'Basic Data'!$A:$A,'Basic Data'!$E:$E),"")</f>
        <v>3.846153846153845E-2</v>
      </c>
      <c r="K1549" s="102">
        <v>6605</v>
      </c>
      <c r="L1549" s="35" t="str">
        <f>IFERROR(_xlfn.XLOOKUP(Table6[[#This Row],[Error Code]],'Basic Data'!$AA:$AA,'Basic Data'!$AB:$AB),"Incorrect Error Code")</f>
        <v>Wind.dir. diff. level 2</v>
      </c>
      <c r="M1549" s="35" t="s">
        <v>266</v>
      </c>
      <c r="N1549" s="264"/>
      <c r="O1549" s="265">
        <v>0.44097222222222221</v>
      </c>
      <c r="P1549" s="265">
        <v>0.44097222222222221</v>
      </c>
      <c r="Q1549" s="266">
        <v>0.44722222222222224</v>
      </c>
      <c r="R1549" s="261">
        <f>IF(Table6[[#This Row],[Work Start TimeStamp]]="","",(Table6[[#This Row],[Work Start TimeStamp]]-Table6[[#This Row],[Fault Start TimeStamp]])*24)</f>
        <v>0</v>
      </c>
      <c r="S1549" s="261">
        <f>(Table6[[#This Row],[Fault Clearance time]]-Table6[[#This Row],[Work Start TimeStamp]])*24</f>
        <v>0.1500000000000008</v>
      </c>
      <c r="T1549" s="261">
        <f>(Table6[[#This Row],[Fault Clearance time]]-Table6[[#This Row],[Fault Start TimeStamp]])*24</f>
        <v>0.1500000000000008</v>
      </c>
      <c r="U1549" s="35" t="s">
        <v>483</v>
      </c>
      <c r="V1549" s="102" t="s">
        <v>268</v>
      </c>
      <c r="W1549" s="290">
        <f>IFERROR(Table6[[#This Row],[Breakdown Time]]*Table6[[#This Row],[Plant Equivalent Weightage]],"")</f>
        <v>5.7692307692307982E-3</v>
      </c>
      <c r="X1549" s="262" t="s">
        <v>269</v>
      </c>
      <c r="Y1549" s="263" t="s">
        <v>128</v>
      </c>
      <c r="Z1549" s="102">
        <v>24027</v>
      </c>
      <c r="AA1549" s="257">
        <f>(Table6[[#This Row],[Paired WTG Generation for loss calculation]]/24)*Table6[[#This Row],[Breakdown Time]]</f>
        <v>150.16875000000081</v>
      </c>
      <c r="AB1549" s="102"/>
      <c r="AC1549" s="35"/>
      <c r="AD1549" s="35"/>
    </row>
    <row r="1550" spans="1:30">
      <c r="A1550" s="102">
        <f t="shared" si="24"/>
        <v>1549</v>
      </c>
      <c r="B1550" s="257">
        <f>YEAR(Table6[[#This Row],[Date]])+IF(MONTH(Table6[[#This Row],[Date]])&gt;=4,1,0)</f>
        <v>2026</v>
      </c>
      <c r="C1550" s="102">
        <f>YEAR(Table6[[#This Row],[Date]])</f>
        <v>2025</v>
      </c>
      <c r="D1550" s="102" t="s">
        <v>265</v>
      </c>
      <c r="E1550" s="258">
        <f>Table6[[#This Row],[Date]]-DAY(Table6[[#This Row],[Date]])+1</f>
        <v>45839</v>
      </c>
      <c r="F1550" s="259">
        <v>45851</v>
      </c>
      <c r="G1550" s="35" t="s">
        <v>126</v>
      </c>
      <c r="H1550" s="35" t="str">
        <f>IFERROR(_xlfn.XLOOKUP(Table6[[#This Row],[Affected WTG]],'Basic Data'!$A:$A,'Basic Data'!$B:$B),"")</f>
        <v>TQGXIIPL</v>
      </c>
      <c r="I1550" s="35" t="str">
        <f>IFERROR(_xlfn.XLOOKUP(Table6[[#This Row],[Affected WTG]],'Basic Data'!$A:$A,'Basic Data'!$C:$C),"")</f>
        <v>GEDA</v>
      </c>
      <c r="J1550" s="260">
        <f>IFERROR(_xlfn.XLOOKUP(Table6[[#This Row],[Affected WTG]],'Basic Data'!$A:$A,'Basic Data'!$E:$E),"")</f>
        <v>3.846153846153845E-2</v>
      </c>
      <c r="K1550" s="102">
        <v>6605</v>
      </c>
      <c r="L1550" s="35" t="str">
        <f>IFERROR(_xlfn.XLOOKUP(Table6[[#This Row],[Error Code]],'Basic Data'!$AA:$AA,'Basic Data'!$AB:$AB),"Incorrect Error Code")</f>
        <v>Wind.dir. diff. level 2</v>
      </c>
      <c r="M1550" s="35" t="s">
        <v>266</v>
      </c>
      <c r="N1550" s="264"/>
      <c r="O1550" s="265">
        <v>0.88680555555555551</v>
      </c>
      <c r="P1550" s="265">
        <v>0.88680555555555551</v>
      </c>
      <c r="Q1550" s="266">
        <v>0.88958333333333328</v>
      </c>
      <c r="R1550" s="261">
        <f>IF(Table6[[#This Row],[Work Start TimeStamp]]="","",(Table6[[#This Row],[Work Start TimeStamp]]-Table6[[#This Row],[Fault Start TimeStamp]])*24)</f>
        <v>0</v>
      </c>
      <c r="S1550" s="261">
        <f>(Table6[[#This Row],[Fault Clearance time]]-Table6[[#This Row],[Work Start TimeStamp]])*24</f>
        <v>6.666666666666643E-2</v>
      </c>
      <c r="T1550" s="261">
        <f>(Table6[[#This Row],[Fault Clearance time]]-Table6[[#This Row],[Fault Start TimeStamp]])*24</f>
        <v>6.666666666666643E-2</v>
      </c>
      <c r="U1550" s="35" t="s">
        <v>483</v>
      </c>
      <c r="V1550" s="102" t="s">
        <v>268</v>
      </c>
      <c r="W1550" s="290">
        <f>IFERROR(Table6[[#This Row],[Breakdown Time]]*Table6[[#This Row],[Plant Equivalent Weightage]],"")</f>
        <v>2.5641025641025541E-3</v>
      </c>
      <c r="X1550" s="262" t="s">
        <v>269</v>
      </c>
      <c r="Y1550" s="263" t="s">
        <v>128</v>
      </c>
      <c r="Z1550" s="102">
        <v>24027</v>
      </c>
      <c r="AA1550" s="257">
        <f>(Table6[[#This Row],[Paired WTG Generation for loss calculation]]/24)*Table6[[#This Row],[Breakdown Time]]</f>
        <v>66.741666666666433</v>
      </c>
      <c r="AB1550" s="102"/>
      <c r="AC1550" s="35"/>
      <c r="AD1550" s="35"/>
    </row>
    <row r="1551" spans="1:30">
      <c r="A1551" s="102">
        <f t="shared" ref="A1551:A1614" si="25">A1550+1</f>
        <v>1550</v>
      </c>
      <c r="B1551" s="257">
        <f>YEAR(Table6[[#This Row],[Date]])+IF(MONTH(Table6[[#This Row],[Date]])&gt;=4,1,0)</f>
        <v>2026</v>
      </c>
      <c r="C1551" s="102">
        <f>YEAR(Table6[[#This Row],[Date]])</f>
        <v>2025</v>
      </c>
      <c r="D1551" s="102" t="s">
        <v>265</v>
      </c>
      <c r="E1551" s="258">
        <f>Table6[[#This Row],[Date]]-DAY(Table6[[#This Row],[Date]])+1</f>
        <v>45839</v>
      </c>
      <c r="F1551" s="259">
        <v>45851</v>
      </c>
      <c r="G1551" s="35" t="s">
        <v>127</v>
      </c>
      <c r="H1551" s="35" t="str">
        <f>IFERROR(_xlfn.XLOOKUP(Table6[[#This Row],[Affected WTG]],'Basic Data'!$A:$A,'Basic Data'!$B:$B),"")</f>
        <v>TQGXIIPL</v>
      </c>
      <c r="I1551" s="35" t="str">
        <f>IFERROR(_xlfn.XLOOKUP(Table6[[#This Row],[Affected WTG]],'Basic Data'!$A:$A,'Basic Data'!$C:$C),"")</f>
        <v>GEDA</v>
      </c>
      <c r="J1551" s="260">
        <f>IFERROR(_xlfn.XLOOKUP(Table6[[#This Row],[Affected WTG]],'Basic Data'!$A:$A,'Basic Data'!$E:$E),"")</f>
        <v>3.846153846153845E-2</v>
      </c>
      <c r="K1551" s="102">
        <v>55</v>
      </c>
      <c r="L1551" s="35" t="str">
        <f>IFERROR(_xlfn.XLOOKUP(Table6[[#This Row],[Error Code]],'Basic Data'!$AA:$AA,'Basic Data'!$AB:$AB),"Incorrect Error Code")</f>
        <v>WTG shut down</v>
      </c>
      <c r="M1551" s="35" t="s">
        <v>266</v>
      </c>
      <c r="N1551" s="264"/>
      <c r="O1551" s="265">
        <v>0.4465277777777778</v>
      </c>
      <c r="P1551" s="265">
        <v>0.4465277777777778</v>
      </c>
      <c r="Q1551" s="266">
        <v>0.47708333333333336</v>
      </c>
      <c r="R1551" s="261">
        <f>IF(Table6[[#This Row],[Work Start TimeStamp]]="","",(Table6[[#This Row],[Work Start TimeStamp]]-Table6[[#This Row],[Fault Start TimeStamp]])*24)</f>
        <v>0</v>
      </c>
      <c r="S1551" s="261">
        <f>(Table6[[#This Row],[Fault Clearance time]]-Table6[[#This Row],[Work Start TimeStamp]])*24</f>
        <v>0.73333333333333339</v>
      </c>
      <c r="T1551" s="261">
        <f>(Table6[[#This Row],[Fault Clearance time]]-Table6[[#This Row],[Fault Start TimeStamp]])*24</f>
        <v>0.73333333333333339</v>
      </c>
      <c r="U1551" s="35" t="s">
        <v>601</v>
      </c>
      <c r="V1551" s="102" t="s">
        <v>268</v>
      </c>
      <c r="W1551" s="290">
        <f>IFERROR(Table6[[#This Row],[Breakdown Time]]*Table6[[#This Row],[Plant Equivalent Weightage]],"")</f>
        <v>2.8205128205128199E-2</v>
      </c>
      <c r="X1551" s="262" t="s">
        <v>296</v>
      </c>
      <c r="Y1551" s="263" t="s">
        <v>125</v>
      </c>
      <c r="Z1551" s="102">
        <v>23082</v>
      </c>
      <c r="AA1551" s="257">
        <f>(Table6[[#This Row],[Paired WTG Generation for loss calculation]]/24)*Table6[[#This Row],[Breakdown Time]]</f>
        <v>705.28333333333342</v>
      </c>
      <c r="AB1551" s="102"/>
      <c r="AC1551" s="35"/>
      <c r="AD1551" s="35"/>
    </row>
    <row r="1552" spans="1:30">
      <c r="A1552" s="102">
        <f t="shared" si="25"/>
        <v>1551</v>
      </c>
      <c r="B1552" s="257">
        <f>YEAR(Table6[[#This Row],[Date]])+IF(MONTH(Table6[[#This Row],[Date]])&gt;=4,1,0)</f>
        <v>2026</v>
      </c>
      <c r="C1552" s="102">
        <f>YEAR(Table6[[#This Row],[Date]])</f>
        <v>2025</v>
      </c>
      <c r="D1552" s="102" t="s">
        <v>265</v>
      </c>
      <c r="E1552" s="258">
        <f>Table6[[#This Row],[Date]]-DAY(Table6[[#This Row],[Date]])+1</f>
        <v>45839</v>
      </c>
      <c r="F1552" s="259">
        <v>45851</v>
      </c>
      <c r="G1552" s="35" t="s">
        <v>129</v>
      </c>
      <c r="H1552" s="35" t="str">
        <f>IFERROR(_xlfn.XLOOKUP(Table6[[#This Row],[Affected WTG]],'Basic Data'!$A:$A,'Basic Data'!$B:$B),"")</f>
        <v>TQGXIIPL</v>
      </c>
      <c r="I1552" s="35" t="str">
        <f>IFERROR(_xlfn.XLOOKUP(Table6[[#This Row],[Affected WTG]],'Basic Data'!$A:$A,'Basic Data'!$C:$C),"")</f>
        <v>GEDA</v>
      </c>
      <c r="J1552" s="260">
        <f>IFERROR(_xlfn.XLOOKUP(Table6[[#This Row],[Affected WTG]],'Basic Data'!$A:$A,'Basic Data'!$E:$E),"")</f>
        <v>3.846153846153845E-2</v>
      </c>
      <c r="K1552" s="102">
        <v>88</v>
      </c>
      <c r="L1552" s="35" t="str">
        <f>IFERROR(_xlfn.XLOOKUP(Table6[[#This Row],[Error Code]],'Basic Data'!$AA:$AA,'Basic Data'!$AB:$AB),"Incorrect Error Code")</f>
        <v>Outs.temp. nacelle implaus.</v>
      </c>
      <c r="M1552" s="35" t="s">
        <v>266</v>
      </c>
      <c r="N1552" s="264"/>
      <c r="O1552" s="265">
        <v>0.62777777777777777</v>
      </c>
      <c r="P1552" s="265">
        <v>0.62777777777777777</v>
      </c>
      <c r="Q1552" s="266">
        <v>0.63402777777777775</v>
      </c>
      <c r="R1552" s="261">
        <f>IF(Table6[[#This Row],[Work Start TimeStamp]]="","",(Table6[[#This Row],[Work Start TimeStamp]]-Table6[[#This Row],[Fault Start TimeStamp]])*24)</f>
        <v>0</v>
      </c>
      <c r="S1552" s="261">
        <f>(Table6[[#This Row],[Fault Clearance time]]-Table6[[#This Row],[Work Start TimeStamp]])*24</f>
        <v>0.14999999999999947</v>
      </c>
      <c r="T1552" s="261">
        <f>(Table6[[#This Row],[Fault Clearance time]]-Table6[[#This Row],[Fault Start TimeStamp]])*24</f>
        <v>0.14999999999999947</v>
      </c>
      <c r="U1552" s="35" t="s">
        <v>483</v>
      </c>
      <c r="V1552" s="102" t="s">
        <v>268</v>
      </c>
      <c r="W1552" s="290">
        <f>IFERROR(Table6[[#This Row],[Breakdown Time]]*Table6[[#This Row],[Plant Equivalent Weightage]],"")</f>
        <v>5.769230769230747E-3</v>
      </c>
      <c r="X1552" s="262" t="s">
        <v>269</v>
      </c>
      <c r="Y1552" s="263" t="s">
        <v>124</v>
      </c>
      <c r="Z1552" s="102">
        <v>23848</v>
      </c>
      <c r="AA1552" s="257">
        <f>(Table6[[#This Row],[Paired WTG Generation for loss calculation]]/24)*Table6[[#This Row],[Breakdown Time]]</f>
        <v>149.04999999999947</v>
      </c>
      <c r="AB1552" s="102"/>
      <c r="AC1552" s="35"/>
      <c r="AD1552" s="35"/>
    </row>
    <row r="1553" spans="1:30">
      <c r="A1553" s="102">
        <f t="shared" si="25"/>
        <v>1552</v>
      </c>
      <c r="B1553" s="257">
        <f>YEAR(Table6[[#This Row],[Date]])+IF(MONTH(Table6[[#This Row],[Date]])&gt;=4,1,0)</f>
        <v>2026</v>
      </c>
      <c r="C1553" s="102">
        <f>YEAR(Table6[[#This Row],[Date]])</f>
        <v>2025</v>
      </c>
      <c r="D1553" s="102" t="s">
        <v>265</v>
      </c>
      <c r="E1553" s="258">
        <f>Table6[[#This Row],[Date]]-DAY(Table6[[#This Row],[Date]])+1</f>
        <v>45839</v>
      </c>
      <c r="F1553" s="259">
        <v>45851</v>
      </c>
      <c r="G1553" s="35" t="s">
        <v>129</v>
      </c>
      <c r="H1553" s="35" t="str">
        <f>IFERROR(_xlfn.XLOOKUP(Table6[[#This Row],[Affected WTG]],'Basic Data'!$A:$A,'Basic Data'!$B:$B),"")</f>
        <v>TQGXIIPL</v>
      </c>
      <c r="I1553" s="35" t="str">
        <f>IFERROR(_xlfn.XLOOKUP(Table6[[#This Row],[Affected WTG]],'Basic Data'!$A:$A,'Basic Data'!$C:$C),"")</f>
        <v>GEDA</v>
      </c>
      <c r="J1553" s="260">
        <f>IFERROR(_xlfn.XLOOKUP(Table6[[#This Row],[Affected WTG]],'Basic Data'!$A:$A,'Basic Data'!$E:$E),"")</f>
        <v>3.846153846153845E-2</v>
      </c>
      <c r="K1553" s="102">
        <v>88</v>
      </c>
      <c r="L1553" s="35" t="str">
        <f>IFERROR(_xlfn.XLOOKUP(Table6[[#This Row],[Error Code]],'Basic Data'!$AA:$AA,'Basic Data'!$AB:$AB),"Incorrect Error Code")</f>
        <v>Outs.temp. nacelle implaus.</v>
      </c>
      <c r="M1553" s="35" t="s">
        <v>266</v>
      </c>
      <c r="N1553" s="264"/>
      <c r="O1553" s="265">
        <v>0.67708333333333337</v>
      </c>
      <c r="P1553" s="265">
        <v>0.67708333333333337</v>
      </c>
      <c r="Q1553" s="266">
        <v>0.73958333333333337</v>
      </c>
      <c r="R1553" s="261">
        <f>IF(Table6[[#This Row],[Work Start TimeStamp]]="","",(Table6[[#This Row],[Work Start TimeStamp]]-Table6[[#This Row],[Fault Start TimeStamp]])*24)</f>
        <v>0</v>
      </c>
      <c r="S1553" s="261">
        <f>(Table6[[#This Row],[Fault Clearance time]]-Table6[[#This Row],[Work Start TimeStamp]])*24</f>
        <v>1.5</v>
      </c>
      <c r="T1553" s="261">
        <f>(Table6[[#This Row],[Fault Clearance time]]-Table6[[#This Row],[Fault Start TimeStamp]])*24</f>
        <v>1.5</v>
      </c>
      <c r="U1553" s="35" t="s">
        <v>602</v>
      </c>
      <c r="V1553" s="102" t="s">
        <v>268</v>
      </c>
      <c r="W1553" s="290">
        <f>IFERROR(Table6[[#This Row],[Breakdown Time]]*Table6[[#This Row],[Plant Equivalent Weightage]],"")</f>
        <v>5.7692307692307675E-2</v>
      </c>
      <c r="X1553" s="262" t="s">
        <v>296</v>
      </c>
      <c r="Y1553" s="263" t="s">
        <v>124</v>
      </c>
      <c r="Z1553" s="102">
        <v>23848</v>
      </c>
      <c r="AA1553" s="257">
        <f>(Table6[[#This Row],[Paired WTG Generation for loss calculation]]/24)*Table6[[#This Row],[Breakdown Time]]</f>
        <v>1490.5</v>
      </c>
      <c r="AB1553" s="102"/>
      <c r="AC1553" s="35"/>
      <c r="AD1553" s="35"/>
    </row>
    <row r="1554" spans="1:30">
      <c r="A1554" s="102">
        <f t="shared" si="25"/>
        <v>1553</v>
      </c>
      <c r="B1554" s="257">
        <f>YEAR(Table6[[#This Row],[Date]])+IF(MONTH(Table6[[#This Row],[Date]])&gt;=4,1,0)</f>
        <v>2026</v>
      </c>
      <c r="C1554" s="102">
        <f>YEAR(Table6[[#This Row],[Date]])</f>
        <v>2025</v>
      </c>
      <c r="D1554" s="102" t="s">
        <v>265</v>
      </c>
      <c r="E1554" s="258">
        <f>Table6[[#This Row],[Date]]-DAY(Table6[[#This Row],[Date]])+1</f>
        <v>45839</v>
      </c>
      <c r="F1554" s="259">
        <v>45851</v>
      </c>
      <c r="G1554" s="35" t="s">
        <v>129</v>
      </c>
      <c r="H1554" s="35" t="str">
        <f>IFERROR(_xlfn.XLOOKUP(Table6[[#This Row],[Affected WTG]],'Basic Data'!$A:$A,'Basic Data'!$B:$B),"")</f>
        <v>TQGXIIPL</v>
      </c>
      <c r="I1554" s="35" t="str">
        <f>IFERROR(_xlfn.XLOOKUP(Table6[[#This Row],[Affected WTG]],'Basic Data'!$A:$A,'Basic Data'!$C:$C),"")</f>
        <v>GEDA</v>
      </c>
      <c r="J1554" s="260">
        <f>IFERROR(_xlfn.XLOOKUP(Table6[[#This Row],[Affected WTG]],'Basic Data'!$A:$A,'Basic Data'!$E:$E),"")</f>
        <v>3.846153846153845E-2</v>
      </c>
      <c r="K1554" s="102">
        <v>88</v>
      </c>
      <c r="L1554" s="35" t="str">
        <f>IFERROR(_xlfn.XLOOKUP(Table6[[#This Row],[Error Code]],'Basic Data'!$AA:$AA,'Basic Data'!$AB:$AB),"Incorrect Error Code")</f>
        <v>Outs.temp. nacelle implaus.</v>
      </c>
      <c r="M1554" s="35" t="s">
        <v>266</v>
      </c>
      <c r="N1554" s="264"/>
      <c r="O1554" s="265">
        <v>0.90833333333333333</v>
      </c>
      <c r="P1554" s="265">
        <v>0.9375</v>
      </c>
      <c r="Q1554" s="266">
        <v>0.99998842592592596</v>
      </c>
      <c r="R1554" s="261">
        <f>IF(Table6[[#This Row],[Work Start TimeStamp]]="","",(Table6[[#This Row],[Work Start TimeStamp]]-Table6[[#This Row],[Fault Start TimeStamp]])*24)</f>
        <v>0.70000000000000018</v>
      </c>
      <c r="S1554" s="261">
        <f>(Table6[[#This Row],[Fault Clearance time]]-Table6[[#This Row],[Work Start TimeStamp]])*24</f>
        <v>1.4997222222222231</v>
      </c>
      <c r="T1554" s="261">
        <f>(Table6[[#This Row],[Fault Clearance time]]-Table6[[#This Row],[Fault Start TimeStamp]])*24</f>
        <v>2.1997222222222232</v>
      </c>
      <c r="U1554" s="35" t="s">
        <v>603</v>
      </c>
      <c r="V1554" s="102" t="s">
        <v>549</v>
      </c>
      <c r="W1554" s="290">
        <f>IFERROR(Table6[[#This Row],[Breakdown Time]]*Table6[[#This Row],[Plant Equivalent Weightage]],"")</f>
        <v>8.4604700854700871E-2</v>
      </c>
      <c r="X1554" s="262" t="s">
        <v>296</v>
      </c>
      <c r="Y1554" s="263" t="s">
        <v>124</v>
      </c>
      <c r="Z1554" s="102">
        <v>23848</v>
      </c>
      <c r="AA1554" s="257">
        <f>(Table6[[#This Row],[Paired WTG Generation for loss calculation]]/24)*Table6[[#This Row],[Breakdown Time]]</f>
        <v>2185.7906481481491</v>
      </c>
      <c r="AB1554" s="102"/>
      <c r="AC1554" s="35"/>
      <c r="AD1554" s="35"/>
    </row>
    <row r="1555" spans="1:30">
      <c r="A1555" s="102">
        <f t="shared" si="25"/>
        <v>1554</v>
      </c>
      <c r="B1555" s="257">
        <f>YEAR(Table6[[#This Row],[Date]])+IF(MONTH(Table6[[#This Row],[Date]])&gt;=4,1,0)</f>
        <v>2026</v>
      </c>
      <c r="C1555" s="102">
        <f>YEAR(Table6[[#This Row],[Date]])</f>
        <v>2025</v>
      </c>
      <c r="D1555" s="102" t="s">
        <v>265</v>
      </c>
      <c r="E1555" s="258">
        <f>Table6[[#This Row],[Date]]-DAY(Table6[[#This Row],[Date]])+1</f>
        <v>45839</v>
      </c>
      <c r="F1555" s="259">
        <v>45852</v>
      </c>
      <c r="G1555" s="35" t="s">
        <v>120</v>
      </c>
      <c r="H1555" s="35" t="str">
        <f>IFERROR(_xlfn.XLOOKUP(Table6[[#This Row],[Affected WTG]],'Basic Data'!$A:$A,'Basic Data'!$B:$B),"")</f>
        <v>TQGXIIPL</v>
      </c>
      <c r="I1555" s="35" t="str">
        <f>IFERROR(_xlfn.XLOOKUP(Table6[[#This Row],[Affected WTG]],'Basic Data'!$A:$A,'Basic Data'!$C:$C),"")</f>
        <v>GEDA</v>
      </c>
      <c r="J1555" s="260">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266</v>
      </c>
      <c r="N1555" s="264"/>
      <c r="O1555" s="265">
        <v>0.44722222222222224</v>
      </c>
      <c r="P1555" s="265">
        <v>0.44722222222222224</v>
      </c>
      <c r="Q1555" s="266">
        <v>0.46041666666666664</v>
      </c>
      <c r="R1555" s="261">
        <f>IF(Table6[[#This Row],[Work Start TimeStamp]]="","",(Table6[[#This Row],[Work Start TimeStamp]]-Table6[[#This Row],[Fault Start TimeStamp]])*24)</f>
        <v>0</v>
      </c>
      <c r="S1555" s="261">
        <f>(Table6[[#This Row],[Fault Clearance time]]-Table6[[#This Row],[Work Start TimeStamp]])*24</f>
        <v>0.31666666666666554</v>
      </c>
      <c r="T1555" s="261">
        <f>(Table6[[#This Row],[Fault Clearance time]]-Table6[[#This Row],[Fault Start TimeStamp]])*24</f>
        <v>0.31666666666666554</v>
      </c>
      <c r="U1555" s="35" t="s">
        <v>483</v>
      </c>
      <c r="V1555" s="102" t="s">
        <v>268</v>
      </c>
      <c r="W1555" s="290">
        <f>IFERROR(Table6[[#This Row],[Breakdown Time]]*Table6[[#This Row],[Plant Equivalent Weightage]],"")</f>
        <v>1.2179487179487133E-2</v>
      </c>
      <c r="X1555" s="262" t="s">
        <v>296</v>
      </c>
      <c r="Y1555" s="263" t="s">
        <v>135</v>
      </c>
      <c r="Z1555" s="102">
        <v>29550</v>
      </c>
      <c r="AA1555" s="257">
        <f>(Table6[[#This Row],[Paired WTG Generation for loss calculation]]/24)*Table6[[#This Row],[Breakdown Time]]</f>
        <v>389.89583333333195</v>
      </c>
      <c r="AB1555" s="102"/>
      <c r="AC1555" s="35"/>
      <c r="AD1555" s="35"/>
    </row>
    <row r="1556" spans="1:30">
      <c r="A1556" s="102">
        <f t="shared" si="25"/>
        <v>1555</v>
      </c>
      <c r="B1556" s="257">
        <f>YEAR(Table6[[#This Row],[Date]])+IF(MONTH(Table6[[#This Row],[Date]])&gt;=4,1,0)</f>
        <v>2026</v>
      </c>
      <c r="C1556" s="102">
        <f>YEAR(Table6[[#This Row],[Date]])</f>
        <v>2025</v>
      </c>
      <c r="D1556" s="102" t="s">
        <v>265</v>
      </c>
      <c r="E1556" s="258">
        <f>Table6[[#This Row],[Date]]-DAY(Table6[[#This Row],[Date]])+1</f>
        <v>45839</v>
      </c>
      <c r="F1556" s="259">
        <v>45852</v>
      </c>
      <c r="G1556" s="35" t="s">
        <v>126</v>
      </c>
      <c r="H1556" s="35" t="str">
        <f>IFERROR(_xlfn.XLOOKUP(Table6[[#This Row],[Affected WTG]],'Basic Data'!$A:$A,'Basic Data'!$B:$B),"")</f>
        <v>TQGXIIPL</v>
      </c>
      <c r="I1556" s="35" t="str">
        <f>IFERROR(_xlfn.XLOOKUP(Table6[[#This Row],[Affected WTG]],'Basic Data'!$A:$A,'Basic Data'!$C:$C),"")</f>
        <v>GEDA</v>
      </c>
      <c r="J1556" s="260">
        <f>IFERROR(_xlfn.XLOOKUP(Table6[[#This Row],[Affected WTG]],'Basic Data'!$A:$A,'Basic Data'!$E:$E),"")</f>
        <v>3.846153846153845E-2</v>
      </c>
      <c r="K1556" s="102">
        <v>6605</v>
      </c>
      <c r="L1556" s="35" t="str">
        <f>IFERROR(_xlfn.XLOOKUP(Table6[[#This Row],[Error Code]],'Basic Data'!$AA:$AA,'Basic Data'!$AB:$AB),"Incorrect Error Code")</f>
        <v>Wind.dir. diff. level 2</v>
      </c>
      <c r="M1556" s="35" t="s">
        <v>266</v>
      </c>
      <c r="N1556" s="264"/>
      <c r="O1556" s="265">
        <v>0.32708333333333334</v>
      </c>
      <c r="P1556" s="265">
        <v>0.32708333333333334</v>
      </c>
      <c r="Q1556" s="266">
        <v>0.32916666666666666</v>
      </c>
      <c r="R1556" s="261">
        <f>IF(Table6[[#This Row],[Work Start TimeStamp]]="","",(Table6[[#This Row],[Work Start TimeStamp]]-Table6[[#This Row],[Fault Start TimeStamp]])*24)</f>
        <v>0</v>
      </c>
      <c r="S1556" s="261">
        <f>(Table6[[#This Row],[Fault Clearance time]]-Table6[[#This Row],[Work Start TimeStamp]])*24</f>
        <v>4.9999999999999822E-2</v>
      </c>
      <c r="T1556" s="261">
        <f>(Table6[[#This Row],[Fault Clearance time]]-Table6[[#This Row],[Fault Start TimeStamp]])*24</f>
        <v>4.9999999999999822E-2</v>
      </c>
      <c r="U1556" s="35" t="s">
        <v>483</v>
      </c>
      <c r="V1556" s="102" t="s">
        <v>268</v>
      </c>
      <c r="W1556" s="290">
        <f>IFERROR(Table6[[#This Row],[Breakdown Time]]*Table6[[#This Row],[Plant Equivalent Weightage]],"")</f>
        <v>1.9230769230769156E-3</v>
      </c>
      <c r="X1556" s="262" t="s">
        <v>296</v>
      </c>
      <c r="Y1556" s="263" t="s">
        <v>128</v>
      </c>
      <c r="Z1556" s="102">
        <v>27081</v>
      </c>
      <c r="AA1556" s="257">
        <f>(Table6[[#This Row],[Paired WTG Generation for loss calculation]]/24)*Table6[[#This Row],[Breakdown Time]]</f>
        <v>56.418749999999797</v>
      </c>
      <c r="AB1556" s="102"/>
      <c r="AC1556" s="35"/>
      <c r="AD1556" s="35"/>
    </row>
    <row r="1557" spans="1:30">
      <c r="A1557" s="102">
        <f t="shared" si="25"/>
        <v>1556</v>
      </c>
      <c r="B1557" s="257">
        <f>YEAR(Table6[[#This Row],[Date]])+IF(MONTH(Table6[[#This Row],[Date]])&gt;=4,1,0)</f>
        <v>2026</v>
      </c>
      <c r="C1557" s="102">
        <f>YEAR(Table6[[#This Row],[Date]])</f>
        <v>2025</v>
      </c>
      <c r="D1557" s="102" t="s">
        <v>265</v>
      </c>
      <c r="E1557" s="258">
        <f>Table6[[#This Row],[Date]]-DAY(Table6[[#This Row],[Date]])+1</f>
        <v>45839</v>
      </c>
      <c r="F1557" s="259">
        <v>45852</v>
      </c>
      <c r="G1557" s="35" t="s">
        <v>126</v>
      </c>
      <c r="H1557" s="35" t="str">
        <f>IFERROR(_xlfn.XLOOKUP(Table6[[#This Row],[Affected WTG]],'Basic Data'!$A:$A,'Basic Data'!$B:$B),"")</f>
        <v>TQGXIIPL</v>
      </c>
      <c r="I1557" s="35" t="str">
        <f>IFERROR(_xlfn.XLOOKUP(Table6[[#This Row],[Affected WTG]],'Basic Data'!$A:$A,'Basic Data'!$C:$C),"")</f>
        <v>GEDA</v>
      </c>
      <c r="J1557" s="260">
        <f>IFERROR(_xlfn.XLOOKUP(Table6[[#This Row],[Affected WTG]],'Basic Data'!$A:$A,'Basic Data'!$E:$E),"")</f>
        <v>3.846153846153845E-2</v>
      </c>
      <c r="K1557" s="102">
        <v>6605</v>
      </c>
      <c r="L1557" s="35" t="str">
        <f>IFERROR(_xlfn.XLOOKUP(Table6[[#This Row],[Error Code]],'Basic Data'!$AA:$AA,'Basic Data'!$AB:$AB),"Incorrect Error Code")</f>
        <v>Wind.dir. diff. level 2</v>
      </c>
      <c r="M1557" s="35" t="s">
        <v>266</v>
      </c>
      <c r="N1557" s="264"/>
      <c r="O1557" s="265">
        <v>0.38194444444444442</v>
      </c>
      <c r="P1557" s="265">
        <v>0.38194444444444442</v>
      </c>
      <c r="Q1557" s="266">
        <v>0.39027777777777778</v>
      </c>
      <c r="R1557" s="261">
        <f>IF(Table6[[#This Row],[Work Start TimeStamp]]="","",(Table6[[#This Row],[Work Start TimeStamp]]-Table6[[#This Row],[Fault Start TimeStamp]])*24)</f>
        <v>0</v>
      </c>
      <c r="S1557" s="261">
        <f>(Table6[[#This Row],[Fault Clearance time]]-Table6[[#This Row],[Work Start TimeStamp]])*24</f>
        <v>0.20000000000000062</v>
      </c>
      <c r="T1557" s="261">
        <f>(Table6[[#This Row],[Fault Clearance time]]-Table6[[#This Row],[Fault Start TimeStamp]])*24</f>
        <v>0.20000000000000062</v>
      </c>
      <c r="U1557" s="35" t="s">
        <v>483</v>
      </c>
      <c r="V1557" s="102" t="s">
        <v>268</v>
      </c>
      <c r="W1557" s="290">
        <f>IFERROR(Table6[[#This Row],[Breakdown Time]]*Table6[[#This Row],[Plant Equivalent Weightage]],"")</f>
        <v>7.6923076923077136E-3</v>
      </c>
      <c r="X1557" s="262" t="s">
        <v>296</v>
      </c>
      <c r="Y1557" s="263" t="s">
        <v>128</v>
      </c>
      <c r="Z1557" s="102">
        <v>27081</v>
      </c>
      <c r="AA1557" s="257">
        <f>(Table6[[#This Row],[Paired WTG Generation for loss calculation]]/24)*Table6[[#This Row],[Breakdown Time]]</f>
        <v>225.67500000000069</v>
      </c>
      <c r="AB1557" s="102"/>
      <c r="AC1557" s="35"/>
      <c r="AD1557" s="35"/>
    </row>
    <row r="1558" spans="1:30">
      <c r="A1558" s="102">
        <f t="shared" si="25"/>
        <v>1557</v>
      </c>
      <c r="B1558" s="257">
        <f>YEAR(Table6[[#This Row],[Date]])+IF(MONTH(Table6[[#This Row],[Date]])&gt;=4,1,0)</f>
        <v>2026</v>
      </c>
      <c r="C1558" s="102">
        <f>YEAR(Table6[[#This Row],[Date]])</f>
        <v>2025</v>
      </c>
      <c r="D1558" s="102" t="s">
        <v>265</v>
      </c>
      <c r="E1558" s="258">
        <f>Table6[[#This Row],[Date]]-DAY(Table6[[#This Row],[Date]])+1</f>
        <v>45839</v>
      </c>
      <c r="F1558" s="259">
        <v>45852</v>
      </c>
      <c r="G1558" s="35" t="s">
        <v>126</v>
      </c>
      <c r="H1558" s="35" t="str">
        <f>IFERROR(_xlfn.XLOOKUP(Table6[[#This Row],[Affected WTG]],'Basic Data'!$A:$A,'Basic Data'!$B:$B),"")</f>
        <v>TQGXIIPL</v>
      </c>
      <c r="I1558" s="35" t="str">
        <f>IFERROR(_xlfn.XLOOKUP(Table6[[#This Row],[Affected WTG]],'Basic Data'!$A:$A,'Basic Data'!$C:$C),"")</f>
        <v>GEDA</v>
      </c>
      <c r="J1558" s="260">
        <f>IFERROR(_xlfn.XLOOKUP(Table6[[#This Row],[Affected WTG]],'Basic Data'!$A:$A,'Basic Data'!$E:$E),"")</f>
        <v>3.846153846153845E-2</v>
      </c>
      <c r="K1558" s="102">
        <v>55</v>
      </c>
      <c r="L1558" s="35" t="str">
        <f>IFERROR(_xlfn.XLOOKUP(Table6[[#This Row],[Error Code]],'Basic Data'!$AA:$AA,'Basic Data'!$AB:$AB),"Incorrect Error Code")</f>
        <v>WTG shut down</v>
      </c>
      <c r="M1558" s="35" t="s">
        <v>266</v>
      </c>
      <c r="N1558" s="264"/>
      <c r="O1558" s="265">
        <v>0.4548611111111111</v>
      </c>
      <c r="P1558" s="265">
        <v>0.4548611111111111</v>
      </c>
      <c r="Q1558" s="266">
        <v>0.52986111111111112</v>
      </c>
      <c r="R1558" s="261">
        <f>IF(Table6[[#This Row],[Work Start TimeStamp]]="","",(Table6[[#This Row],[Work Start TimeStamp]]-Table6[[#This Row],[Fault Start TimeStamp]])*24)</f>
        <v>0</v>
      </c>
      <c r="S1558" s="261">
        <f>(Table6[[#This Row],[Fault Clearance time]]-Table6[[#This Row],[Work Start TimeStamp]])*24</f>
        <v>1.8000000000000003</v>
      </c>
      <c r="T1558" s="261">
        <f>(Table6[[#This Row],[Fault Clearance time]]-Table6[[#This Row],[Fault Start TimeStamp]])*24</f>
        <v>1.8000000000000003</v>
      </c>
      <c r="U1558" s="35" t="s">
        <v>604</v>
      </c>
      <c r="V1558" s="102" t="s">
        <v>268</v>
      </c>
      <c r="W1558" s="290">
        <f>IFERROR(Table6[[#This Row],[Breakdown Time]]*Table6[[#This Row],[Plant Equivalent Weightage]],"")</f>
        <v>6.9230769230769221E-2</v>
      </c>
      <c r="X1558" s="262" t="s">
        <v>296</v>
      </c>
      <c r="Y1558" s="263" t="s">
        <v>128</v>
      </c>
      <c r="Z1558" s="102">
        <v>27081</v>
      </c>
      <c r="AA1558" s="257">
        <f>(Table6[[#This Row],[Paired WTG Generation for loss calculation]]/24)*Table6[[#This Row],[Breakdown Time]]</f>
        <v>2031.0750000000003</v>
      </c>
      <c r="AB1558" s="102"/>
      <c r="AC1558" s="35"/>
      <c r="AD1558" s="35"/>
    </row>
    <row r="1559" spans="1:30">
      <c r="A1559" s="102">
        <f t="shared" si="25"/>
        <v>1558</v>
      </c>
      <c r="B1559" s="257">
        <f>YEAR(Table6[[#This Row],[Date]])+IF(MONTH(Table6[[#This Row],[Date]])&gt;=4,1,0)</f>
        <v>2026</v>
      </c>
      <c r="C1559" s="102">
        <f>YEAR(Table6[[#This Row],[Date]])</f>
        <v>2025</v>
      </c>
      <c r="D1559" s="102" t="s">
        <v>265</v>
      </c>
      <c r="E1559" s="258">
        <f>Table6[[#This Row],[Date]]-DAY(Table6[[#This Row],[Date]])+1</f>
        <v>45839</v>
      </c>
      <c r="F1559" s="259">
        <v>45852</v>
      </c>
      <c r="G1559" s="35" t="s">
        <v>129</v>
      </c>
      <c r="H1559" s="35" t="str">
        <f>IFERROR(_xlfn.XLOOKUP(Table6[[#This Row],[Affected WTG]],'Basic Data'!$A:$A,'Basic Data'!$B:$B),"")</f>
        <v>TQGXIIPL</v>
      </c>
      <c r="I1559" s="35" t="str">
        <f>IFERROR(_xlfn.XLOOKUP(Table6[[#This Row],[Affected WTG]],'Basic Data'!$A:$A,'Basic Data'!$C:$C),"")</f>
        <v>GEDA</v>
      </c>
      <c r="J1559" s="260">
        <f>IFERROR(_xlfn.XLOOKUP(Table6[[#This Row],[Affected WTG]],'Basic Data'!$A:$A,'Basic Data'!$E:$E),"")</f>
        <v>3.846153846153845E-2</v>
      </c>
      <c r="K1559" s="102">
        <v>88</v>
      </c>
      <c r="L1559" s="35" t="str">
        <f>IFERROR(_xlfn.XLOOKUP(Table6[[#This Row],[Error Code]],'Basic Data'!$AA:$AA,'Basic Data'!$AB:$AB),"Incorrect Error Code")</f>
        <v>Outs.temp. nacelle implaus.</v>
      </c>
      <c r="M1559" s="35" t="s">
        <v>266</v>
      </c>
      <c r="N1559" s="264"/>
      <c r="O1559" s="265">
        <v>0</v>
      </c>
      <c r="P1559" s="265">
        <v>0</v>
      </c>
      <c r="Q1559" s="266">
        <v>3.0555555555555555E-2</v>
      </c>
      <c r="R1559" s="261">
        <f>IF(Table6[[#This Row],[Work Start TimeStamp]]="","",(Table6[[#This Row],[Work Start TimeStamp]]-Table6[[#This Row],[Fault Start TimeStamp]])*24)</f>
        <v>0</v>
      </c>
      <c r="S1559" s="261">
        <f>(Table6[[#This Row],[Fault Clearance time]]-Table6[[#This Row],[Work Start TimeStamp]])*24</f>
        <v>0.73333333333333328</v>
      </c>
      <c r="T1559" s="261">
        <f>(Table6[[#This Row],[Fault Clearance time]]-Table6[[#This Row],[Fault Start TimeStamp]])*24</f>
        <v>0.73333333333333328</v>
      </c>
      <c r="U1559" s="35" t="s">
        <v>605</v>
      </c>
      <c r="V1559" s="102" t="s">
        <v>268</v>
      </c>
      <c r="W1559" s="290">
        <f>IFERROR(Table6[[#This Row],[Breakdown Time]]*Table6[[#This Row],[Plant Equivalent Weightage]],"")</f>
        <v>2.8205128205128195E-2</v>
      </c>
      <c r="X1559" s="262" t="s">
        <v>296</v>
      </c>
      <c r="Y1559" s="263" t="s">
        <v>124</v>
      </c>
      <c r="Z1559" s="102">
        <v>29890</v>
      </c>
      <c r="AA1559" s="257">
        <f>(Table6[[#This Row],[Paired WTG Generation for loss calculation]]/24)*Table6[[#This Row],[Breakdown Time]]</f>
        <v>913.30555555555554</v>
      </c>
      <c r="AB1559" s="102"/>
      <c r="AC1559" s="35"/>
      <c r="AD1559" s="35"/>
    </row>
    <row r="1560" spans="1:30">
      <c r="A1560" s="102">
        <f t="shared" si="25"/>
        <v>1559</v>
      </c>
      <c r="B1560" s="257">
        <f>YEAR(Table6[[#This Row],[Date]])+IF(MONTH(Table6[[#This Row],[Date]])&gt;=4,1,0)</f>
        <v>2026</v>
      </c>
      <c r="C1560" s="102">
        <f>YEAR(Table6[[#This Row],[Date]])</f>
        <v>2025</v>
      </c>
      <c r="D1560" s="102" t="s">
        <v>265</v>
      </c>
      <c r="E1560" s="258">
        <f>Table6[[#This Row],[Date]]-DAY(Table6[[#This Row],[Date]])+1</f>
        <v>45839</v>
      </c>
      <c r="F1560" s="259">
        <v>45852</v>
      </c>
      <c r="G1560" s="35" t="s">
        <v>132</v>
      </c>
      <c r="H1560" s="35" t="str">
        <f>IFERROR(_xlfn.XLOOKUP(Table6[[#This Row],[Affected WTG]],'Basic Data'!$A:$A,'Basic Data'!$B:$B),"")</f>
        <v>TQGXIIPL</v>
      </c>
      <c r="I1560" s="35" t="str">
        <f>IFERROR(_xlfn.XLOOKUP(Table6[[#This Row],[Affected WTG]],'Basic Data'!$A:$A,'Basic Data'!$C:$C),"")</f>
        <v>GEDA</v>
      </c>
      <c r="J1560" s="260">
        <f>IFERROR(_xlfn.XLOOKUP(Table6[[#This Row],[Affected WTG]],'Basic Data'!$A:$A,'Basic Data'!$E:$E),"")</f>
        <v>3.846153846153845E-2</v>
      </c>
      <c r="K1560" s="102">
        <v>55</v>
      </c>
      <c r="L1560" s="35" t="str">
        <f>IFERROR(_xlfn.XLOOKUP(Table6[[#This Row],[Error Code]],'Basic Data'!$AA:$AA,'Basic Data'!$AB:$AB),"Incorrect Error Code")</f>
        <v>WTG shut down</v>
      </c>
      <c r="M1560" s="35" t="s">
        <v>266</v>
      </c>
      <c r="N1560" s="264"/>
      <c r="O1560" s="265">
        <v>0.61736111111111114</v>
      </c>
      <c r="P1560" s="265">
        <v>0.61736111111111114</v>
      </c>
      <c r="Q1560" s="266">
        <v>0.69791666666666663</v>
      </c>
      <c r="R1560" s="261">
        <f>IF(Table6[[#This Row],[Work Start TimeStamp]]="","",(Table6[[#This Row],[Work Start TimeStamp]]-Table6[[#This Row],[Fault Start TimeStamp]])*24)</f>
        <v>0</v>
      </c>
      <c r="S1560" s="261">
        <f>(Table6[[#This Row],[Fault Clearance time]]-Table6[[#This Row],[Work Start TimeStamp]])*24</f>
        <v>1.9333333333333318</v>
      </c>
      <c r="T1560" s="261">
        <f>(Table6[[#This Row],[Fault Clearance time]]-Table6[[#This Row],[Fault Start TimeStamp]])*24</f>
        <v>1.9333333333333318</v>
      </c>
      <c r="U1560" s="35" t="s">
        <v>606</v>
      </c>
      <c r="V1560" s="102" t="s">
        <v>268</v>
      </c>
      <c r="W1560" s="290">
        <f>IFERROR(Table6[[#This Row],[Breakdown Time]]*Table6[[#This Row],[Plant Equivalent Weightage]],"")</f>
        <v>7.4358974358974275E-2</v>
      </c>
      <c r="X1560" s="262" t="s">
        <v>296</v>
      </c>
      <c r="Y1560" s="263" t="s">
        <v>120</v>
      </c>
      <c r="Z1560" s="102">
        <v>33446</v>
      </c>
      <c r="AA1560" s="257">
        <f>(Table6[[#This Row],[Paired WTG Generation for loss calculation]]/24)*Table6[[#This Row],[Breakdown Time]]</f>
        <v>2694.2611111111087</v>
      </c>
      <c r="AB1560" s="102"/>
      <c r="AC1560" s="35"/>
      <c r="AD1560" s="35"/>
    </row>
    <row r="1561" spans="1:30">
      <c r="A1561" s="102">
        <f t="shared" si="25"/>
        <v>1560</v>
      </c>
      <c r="B1561" s="257">
        <f>YEAR(Table6[[#This Row],[Date]])+IF(MONTH(Table6[[#This Row],[Date]])&gt;=4,1,0)</f>
        <v>2026</v>
      </c>
      <c r="C1561" s="102">
        <f>YEAR(Table6[[#This Row],[Date]])</f>
        <v>2025</v>
      </c>
      <c r="D1561" s="102" t="s">
        <v>265</v>
      </c>
      <c r="E1561" s="258">
        <f>Table6[[#This Row],[Date]]-DAY(Table6[[#This Row],[Date]])+1</f>
        <v>45839</v>
      </c>
      <c r="F1561" s="259">
        <v>45852</v>
      </c>
      <c r="G1561" s="35" t="s">
        <v>136</v>
      </c>
      <c r="H1561" s="35" t="str">
        <f>IFERROR(_xlfn.XLOOKUP(Table6[[#This Row],[Affected WTG]],'Basic Data'!$A:$A,'Basic Data'!$B:$B),"")</f>
        <v>TQGXIIPL</v>
      </c>
      <c r="I1561" s="35" t="str">
        <f>IFERROR(_xlfn.XLOOKUP(Table6[[#This Row],[Affected WTG]],'Basic Data'!$A:$A,'Basic Data'!$C:$C),"")</f>
        <v>GEDA</v>
      </c>
      <c r="J1561" s="260">
        <f>IFERROR(_xlfn.XLOOKUP(Table6[[#This Row],[Affected WTG]],'Basic Data'!$A:$A,'Basic Data'!$E:$E),"")</f>
        <v>3.846153846153845E-2</v>
      </c>
      <c r="K1561" s="102">
        <v>55</v>
      </c>
      <c r="L1561" s="35" t="str">
        <f>IFERROR(_xlfn.XLOOKUP(Table6[[#This Row],[Error Code]],'Basic Data'!$AA:$AA,'Basic Data'!$AB:$AB),"Incorrect Error Code")</f>
        <v>WTG shut down</v>
      </c>
      <c r="M1561" s="35" t="s">
        <v>266</v>
      </c>
      <c r="N1561" s="264"/>
      <c r="O1561" s="265">
        <v>0.50902777777777775</v>
      </c>
      <c r="P1561" s="265">
        <v>0.50902777777777775</v>
      </c>
      <c r="Q1561" s="266">
        <v>0.5625</v>
      </c>
      <c r="R1561" s="261">
        <f>IF(Table6[[#This Row],[Work Start TimeStamp]]="","",(Table6[[#This Row],[Work Start TimeStamp]]-Table6[[#This Row],[Fault Start TimeStamp]])*24)</f>
        <v>0</v>
      </c>
      <c r="S1561" s="261">
        <f>(Table6[[#This Row],[Fault Clearance time]]-Table6[[#This Row],[Work Start TimeStamp]])*24</f>
        <v>1.2833333333333341</v>
      </c>
      <c r="T1561" s="261">
        <f>(Table6[[#This Row],[Fault Clearance time]]-Table6[[#This Row],[Fault Start TimeStamp]])*24</f>
        <v>1.2833333333333341</v>
      </c>
      <c r="U1561" s="35" t="s">
        <v>607</v>
      </c>
      <c r="V1561" s="102" t="s">
        <v>268</v>
      </c>
      <c r="W1561" s="290">
        <f>IFERROR(Table6[[#This Row],[Breakdown Time]]*Table6[[#This Row],[Plant Equivalent Weightage]],"")</f>
        <v>4.9358974358974371E-2</v>
      </c>
      <c r="X1561" s="262" t="s">
        <v>296</v>
      </c>
      <c r="Y1561" s="263" t="s">
        <v>120</v>
      </c>
      <c r="Z1561" s="102">
        <v>33446</v>
      </c>
      <c r="AA1561" s="257">
        <f>(Table6[[#This Row],[Paired WTG Generation for loss calculation]]/24)*Table6[[#This Row],[Breakdown Time]]</f>
        <v>1788.4319444444454</v>
      </c>
      <c r="AB1561" s="102"/>
      <c r="AC1561" s="35"/>
      <c r="AD1561" s="35"/>
    </row>
    <row r="1562" spans="1:30">
      <c r="A1562" s="102">
        <f t="shared" si="25"/>
        <v>1561</v>
      </c>
      <c r="B1562" s="257">
        <f>YEAR(Table6[[#This Row],[Date]])+IF(MONTH(Table6[[#This Row],[Date]])&gt;=4,1,0)</f>
        <v>2026</v>
      </c>
      <c r="C1562" s="102">
        <f>YEAR(Table6[[#This Row],[Date]])</f>
        <v>2025</v>
      </c>
      <c r="D1562" s="102" t="s">
        <v>265</v>
      </c>
      <c r="E1562" s="258">
        <f>Table6[[#This Row],[Date]]-DAY(Table6[[#This Row],[Date]])+1</f>
        <v>45839</v>
      </c>
      <c r="F1562" s="259">
        <v>45853</v>
      </c>
      <c r="G1562" s="35" t="s">
        <v>126</v>
      </c>
      <c r="H1562" s="35" t="str">
        <f>IFERROR(_xlfn.XLOOKUP(Table6[[#This Row],[Affected WTG]],'Basic Data'!$A:$A,'Basic Data'!$B:$B),"")</f>
        <v>TQGXIIPL</v>
      </c>
      <c r="I1562" s="35" t="str">
        <f>IFERROR(_xlfn.XLOOKUP(Table6[[#This Row],[Affected WTG]],'Basic Data'!$A:$A,'Basic Data'!$C:$C),"")</f>
        <v>GEDA</v>
      </c>
      <c r="J1562" s="260">
        <f>IFERROR(_xlfn.XLOOKUP(Table6[[#This Row],[Affected WTG]],'Basic Data'!$A:$A,'Basic Data'!$E:$E),"")</f>
        <v>3.846153846153845E-2</v>
      </c>
      <c r="K1562" s="102">
        <v>55</v>
      </c>
      <c r="L1562" s="35" t="str">
        <f>IFERROR(_xlfn.XLOOKUP(Table6[[#This Row],[Error Code]],'Basic Data'!$AA:$AA,'Basic Data'!$AB:$AB),"Incorrect Error Code")</f>
        <v>WTG shut down</v>
      </c>
      <c r="M1562" s="35" t="s">
        <v>266</v>
      </c>
      <c r="N1562" s="264"/>
      <c r="O1562" s="265">
        <v>0.4909722222222222</v>
      </c>
      <c r="P1562" s="265">
        <v>0.4909722222222222</v>
      </c>
      <c r="Q1562" s="266">
        <v>0.51111111111111107</v>
      </c>
      <c r="R1562" s="261">
        <f>IF(Table6[[#This Row],[Work Start TimeStamp]]="","",(Table6[[#This Row],[Work Start TimeStamp]]-Table6[[#This Row],[Fault Start TimeStamp]])*24)</f>
        <v>0</v>
      </c>
      <c r="S1562" s="261">
        <f>(Table6[[#This Row],[Fault Clearance time]]-Table6[[#This Row],[Work Start TimeStamp]])*24</f>
        <v>0.48333333333333295</v>
      </c>
      <c r="T1562" s="261">
        <f>(Table6[[#This Row],[Fault Clearance time]]-Table6[[#This Row],[Fault Start TimeStamp]])*24</f>
        <v>0.48333333333333295</v>
      </c>
      <c r="U1562" s="35" t="s">
        <v>608</v>
      </c>
      <c r="V1562" s="102" t="s">
        <v>268</v>
      </c>
      <c r="W1562" s="290">
        <f>IFERROR(Table6[[#This Row],[Breakdown Time]]*Table6[[#This Row],[Plant Equivalent Weightage]],"")</f>
        <v>1.8589743589743569E-2</v>
      </c>
      <c r="X1562" s="262" t="s">
        <v>296</v>
      </c>
      <c r="Y1562" s="263" t="s">
        <v>128</v>
      </c>
      <c r="Z1562" s="102">
        <v>27162</v>
      </c>
      <c r="AA1562" s="257">
        <f>(Table6[[#This Row],[Paired WTG Generation for loss calculation]]/24)*Table6[[#This Row],[Breakdown Time]]</f>
        <v>547.01249999999959</v>
      </c>
      <c r="AB1562" s="102"/>
      <c r="AC1562" s="35"/>
      <c r="AD1562" s="35"/>
    </row>
    <row r="1563" spans="1:30">
      <c r="A1563" s="102">
        <f t="shared" si="25"/>
        <v>1562</v>
      </c>
      <c r="B1563" s="257">
        <f>YEAR(Table6[[#This Row],[Date]])+IF(MONTH(Table6[[#This Row],[Date]])&gt;=4,1,0)</f>
        <v>2026</v>
      </c>
      <c r="C1563" s="102">
        <f>YEAR(Table6[[#This Row],[Date]])</f>
        <v>2025</v>
      </c>
      <c r="D1563" s="102" t="s">
        <v>265</v>
      </c>
      <c r="E1563" s="258">
        <f>Table6[[#This Row],[Date]]-DAY(Table6[[#This Row],[Date]])+1</f>
        <v>45839</v>
      </c>
      <c r="F1563" s="259">
        <v>45853</v>
      </c>
      <c r="G1563" s="35" t="s">
        <v>126</v>
      </c>
      <c r="H1563" s="35" t="str">
        <f>IFERROR(_xlfn.XLOOKUP(Table6[[#This Row],[Affected WTG]],'Basic Data'!$A:$A,'Basic Data'!$B:$B),"")</f>
        <v>TQGXIIPL</v>
      </c>
      <c r="I1563" s="35" t="str">
        <f>IFERROR(_xlfn.XLOOKUP(Table6[[#This Row],[Affected WTG]],'Basic Data'!$A:$A,'Basic Data'!$C:$C),"")</f>
        <v>GEDA</v>
      </c>
      <c r="J1563" s="260">
        <f>IFERROR(_xlfn.XLOOKUP(Table6[[#This Row],[Affected WTG]],'Basic Data'!$A:$A,'Basic Data'!$E:$E),"")</f>
        <v>3.846153846153845E-2</v>
      </c>
      <c r="K1563" s="102">
        <v>55</v>
      </c>
      <c r="L1563" s="35" t="str">
        <f>IFERROR(_xlfn.XLOOKUP(Table6[[#This Row],[Error Code]],'Basic Data'!$AA:$AA,'Basic Data'!$AB:$AB),"Incorrect Error Code")</f>
        <v>WTG shut down</v>
      </c>
      <c r="M1563" s="35" t="s">
        <v>266</v>
      </c>
      <c r="N1563" s="264"/>
      <c r="O1563" s="265">
        <v>0.53055555555555556</v>
      </c>
      <c r="P1563" s="265">
        <v>0.53055555555555556</v>
      </c>
      <c r="Q1563" s="266">
        <v>0.61319444444444449</v>
      </c>
      <c r="R1563" s="261">
        <f>IF(Table6[[#This Row],[Work Start TimeStamp]]="","",(Table6[[#This Row],[Work Start TimeStamp]]-Table6[[#This Row],[Fault Start TimeStamp]])*24)</f>
        <v>0</v>
      </c>
      <c r="S1563" s="261">
        <f>(Table6[[#This Row],[Fault Clearance time]]-Table6[[#This Row],[Work Start TimeStamp]])*24</f>
        <v>1.9833333333333343</v>
      </c>
      <c r="T1563" s="261">
        <f>(Table6[[#This Row],[Fault Clearance time]]-Table6[[#This Row],[Fault Start TimeStamp]])*24</f>
        <v>1.9833333333333343</v>
      </c>
      <c r="U1563" s="35" t="s">
        <v>609</v>
      </c>
      <c r="V1563" s="102" t="s">
        <v>268</v>
      </c>
      <c r="W1563" s="290">
        <f>IFERROR(Table6[[#This Row],[Breakdown Time]]*Table6[[#This Row],[Plant Equivalent Weightage]],"")</f>
        <v>7.6282051282051289E-2</v>
      </c>
      <c r="X1563" s="262" t="s">
        <v>296</v>
      </c>
      <c r="Y1563" s="263" t="s">
        <v>128</v>
      </c>
      <c r="Z1563" s="102">
        <v>27162</v>
      </c>
      <c r="AA1563" s="257">
        <f>(Table6[[#This Row],[Paired WTG Generation for loss calculation]]/24)*Table6[[#This Row],[Breakdown Time]]</f>
        <v>2244.6375000000012</v>
      </c>
      <c r="AB1563" s="102"/>
      <c r="AC1563" s="35"/>
      <c r="AD1563" s="35"/>
    </row>
    <row r="1564" spans="1:30">
      <c r="A1564" s="102">
        <f t="shared" si="25"/>
        <v>1563</v>
      </c>
      <c r="B1564" s="257">
        <f>YEAR(Table6[[#This Row],[Date]])+IF(MONTH(Table6[[#This Row],[Date]])&gt;=4,1,0)</f>
        <v>2026</v>
      </c>
      <c r="C1564" s="102">
        <f>YEAR(Table6[[#This Row],[Date]])</f>
        <v>2025</v>
      </c>
      <c r="D1564" s="102" t="s">
        <v>265</v>
      </c>
      <c r="E1564" s="258">
        <f>Table6[[#This Row],[Date]]-DAY(Table6[[#This Row],[Date]])+1</f>
        <v>45839</v>
      </c>
      <c r="F1564" s="259">
        <v>45853</v>
      </c>
      <c r="G1564" s="35" t="s">
        <v>136</v>
      </c>
      <c r="H1564" s="35" t="str">
        <f>IFERROR(_xlfn.XLOOKUP(Table6[[#This Row],[Affected WTG]],'Basic Data'!$A:$A,'Basic Data'!$B:$B),"")</f>
        <v>TQGXIIPL</v>
      </c>
      <c r="I1564" s="35" t="str">
        <f>IFERROR(_xlfn.XLOOKUP(Table6[[#This Row],[Affected WTG]],'Basic Data'!$A:$A,'Basic Data'!$C:$C),"")</f>
        <v>GEDA</v>
      </c>
      <c r="J1564" s="260">
        <f>IFERROR(_xlfn.XLOOKUP(Table6[[#This Row],[Affected WTG]],'Basic Data'!$A:$A,'Basic Data'!$E:$E),"")</f>
        <v>3.846153846153845E-2</v>
      </c>
      <c r="K1564" s="102">
        <v>55</v>
      </c>
      <c r="L1564" s="35" t="str">
        <f>IFERROR(_xlfn.XLOOKUP(Table6[[#This Row],[Error Code]],'Basic Data'!$AA:$AA,'Basic Data'!$AB:$AB),"Incorrect Error Code")</f>
        <v>WTG shut down</v>
      </c>
      <c r="M1564" s="35" t="s">
        <v>266</v>
      </c>
      <c r="N1564" s="264"/>
      <c r="O1564" s="265">
        <v>0.51388888888888884</v>
      </c>
      <c r="P1564" s="265">
        <v>0.51388888888888884</v>
      </c>
      <c r="Q1564" s="266">
        <v>0.72083333333333333</v>
      </c>
      <c r="R1564" s="261">
        <f>IF(Table6[[#This Row],[Work Start TimeStamp]]="","",(Table6[[#This Row],[Work Start TimeStamp]]-Table6[[#This Row],[Fault Start TimeStamp]])*24)</f>
        <v>0</v>
      </c>
      <c r="S1564" s="261">
        <f>(Table6[[#This Row],[Fault Clearance time]]-Table6[[#This Row],[Work Start TimeStamp]])*24</f>
        <v>4.9666666666666677</v>
      </c>
      <c r="T1564" s="261">
        <f>(Table6[[#This Row],[Fault Clearance time]]-Table6[[#This Row],[Fault Start TimeStamp]])*24</f>
        <v>4.9666666666666677</v>
      </c>
      <c r="U1564" s="35" t="s">
        <v>610</v>
      </c>
      <c r="V1564" s="102" t="s">
        <v>268</v>
      </c>
      <c r="W1564" s="290">
        <f>IFERROR(Table6[[#This Row],[Breakdown Time]]*Table6[[#This Row],[Plant Equivalent Weightage]],"")</f>
        <v>0.19102564102564101</v>
      </c>
      <c r="X1564" s="262" t="s">
        <v>296</v>
      </c>
      <c r="Y1564" s="263" t="s">
        <v>120</v>
      </c>
      <c r="Z1564" s="102">
        <v>30867</v>
      </c>
      <c r="AA1564" s="257">
        <f>(Table6[[#This Row],[Paired WTG Generation for loss calculation]]/24)*Table6[[#This Row],[Breakdown Time]]</f>
        <v>6387.7541666666675</v>
      </c>
      <c r="AB1564" s="102"/>
      <c r="AC1564" s="35"/>
      <c r="AD1564" s="35"/>
    </row>
    <row r="1565" spans="1:30">
      <c r="A1565" s="102">
        <f t="shared" si="25"/>
        <v>1564</v>
      </c>
      <c r="B1565" s="257">
        <f>YEAR(Table6[[#This Row],[Date]])+IF(MONTH(Table6[[#This Row],[Date]])&gt;=4,1,0)</f>
        <v>2026</v>
      </c>
      <c r="C1565" s="102">
        <f>YEAR(Table6[[#This Row],[Date]])</f>
        <v>2025</v>
      </c>
      <c r="D1565" s="102" t="s">
        <v>265</v>
      </c>
      <c r="E1565" s="258">
        <f>Table6[[#This Row],[Date]]-DAY(Table6[[#This Row],[Date]])+1</f>
        <v>45839</v>
      </c>
      <c r="F1565" s="259">
        <v>45854</v>
      </c>
      <c r="G1565" s="35" t="s">
        <v>117</v>
      </c>
      <c r="H1565" s="35" t="str">
        <f>IFERROR(_xlfn.XLOOKUP(Table6[[#This Row],[Affected WTG]],'Basic Data'!$A:$A,'Basic Data'!$B:$B),"")</f>
        <v>TQGXIIPL</v>
      </c>
      <c r="I1565" s="35" t="str">
        <f>IFERROR(_xlfn.XLOOKUP(Table6[[#This Row],[Affected WTG]],'Basic Data'!$A:$A,'Basic Data'!$C:$C),"")</f>
        <v>GEDA</v>
      </c>
      <c r="J1565" s="260">
        <f>IFERROR(_xlfn.XLOOKUP(Table6[[#This Row],[Affected WTG]],'Basic Data'!$A:$A,'Basic Data'!$E:$E),"")</f>
        <v>3.846153846153845E-2</v>
      </c>
      <c r="K1565" s="102">
        <v>55</v>
      </c>
      <c r="L1565" s="35" t="str">
        <f>IFERROR(_xlfn.XLOOKUP(Table6[[#This Row],[Error Code]],'Basic Data'!$AA:$AA,'Basic Data'!$AB:$AB),"Incorrect Error Code")</f>
        <v>WTG shut down</v>
      </c>
      <c r="M1565" s="35" t="s">
        <v>266</v>
      </c>
      <c r="N1565" s="264"/>
      <c r="O1565" s="265">
        <v>0.46250000000000002</v>
      </c>
      <c r="P1565" s="265">
        <v>0.46250000000000002</v>
      </c>
      <c r="Q1565" s="266">
        <v>0.65763888888888888</v>
      </c>
      <c r="R1565" s="261">
        <f>IF(Table6[[#This Row],[Work Start TimeStamp]]="","",(Table6[[#This Row],[Work Start TimeStamp]]-Table6[[#This Row],[Fault Start TimeStamp]])*24)</f>
        <v>0</v>
      </c>
      <c r="S1565" s="261">
        <f>(Table6[[#This Row],[Fault Clearance time]]-Table6[[#This Row],[Work Start TimeStamp]])*24</f>
        <v>4.6833333333333327</v>
      </c>
      <c r="T1565" s="261">
        <f>(Table6[[#This Row],[Fault Clearance time]]-Table6[[#This Row],[Fault Start TimeStamp]])*24</f>
        <v>4.6833333333333327</v>
      </c>
      <c r="U1565" s="35" t="s">
        <v>611</v>
      </c>
      <c r="V1565" s="102" t="s">
        <v>268</v>
      </c>
      <c r="W1565" s="290">
        <f>IFERROR(Table6[[#This Row],[Breakdown Time]]*Table6[[#This Row],[Plant Equivalent Weightage]],"")</f>
        <v>0.18012820512820504</v>
      </c>
      <c r="X1565" s="262" t="s">
        <v>296</v>
      </c>
      <c r="Y1565" s="263" t="s">
        <v>123</v>
      </c>
      <c r="Z1565" s="102">
        <v>21748</v>
      </c>
      <c r="AA1565" s="257">
        <f>(Table6[[#This Row],[Paired WTG Generation for loss calculation]]/24)*Table6[[#This Row],[Breakdown Time]]</f>
        <v>4243.8805555555546</v>
      </c>
      <c r="AB1565" s="102"/>
      <c r="AC1565" s="35"/>
      <c r="AD1565" s="35"/>
    </row>
    <row r="1566" spans="1:30">
      <c r="A1566" s="102">
        <f t="shared" si="25"/>
        <v>1565</v>
      </c>
      <c r="B1566" s="257">
        <f>YEAR(Table6[[#This Row],[Date]])+IF(MONTH(Table6[[#This Row],[Date]])&gt;=4,1,0)</f>
        <v>2026</v>
      </c>
      <c r="C1566" s="102">
        <f>YEAR(Table6[[#This Row],[Date]])</f>
        <v>2025</v>
      </c>
      <c r="D1566" s="102" t="s">
        <v>265</v>
      </c>
      <c r="E1566" s="258">
        <f>Table6[[#This Row],[Date]]-DAY(Table6[[#This Row],[Date]])+1</f>
        <v>45839</v>
      </c>
      <c r="F1566" s="259">
        <v>45854</v>
      </c>
      <c r="G1566" s="35" t="s">
        <v>119</v>
      </c>
      <c r="H1566" s="35" t="str">
        <f>IFERROR(_xlfn.XLOOKUP(Table6[[#This Row],[Affected WTG]],'Basic Data'!$A:$A,'Basic Data'!$B:$B),"")</f>
        <v>TQGXIIPL</v>
      </c>
      <c r="I1566" s="35" t="str">
        <f>IFERROR(_xlfn.XLOOKUP(Table6[[#This Row],[Affected WTG]],'Basic Data'!$A:$A,'Basic Data'!$C:$C),"")</f>
        <v>GEDA</v>
      </c>
      <c r="J1566" s="260">
        <f>IFERROR(_xlfn.XLOOKUP(Table6[[#This Row],[Affected WTG]],'Basic Data'!$A:$A,'Basic Data'!$E:$E),"")</f>
        <v>3.846153846153845E-2</v>
      </c>
      <c r="K1566" s="102">
        <v>3211</v>
      </c>
      <c r="L1566" s="35" t="str">
        <f>IFERROR(_xlfn.XLOOKUP(Table6[[#This Row],[Error Code]],'Basic Data'!$AA:$AA,'Basic Data'!$AB:$AB),"Incorrect Error Code")</f>
        <v>Conv. load shedding (CAN)</v>
      </c>
      <c r="M1566" s="35" t="s">
        <v>266</v>
      </c>
      <c r="N1566" s="264"/>
      <c r="O1566" s="265">
        <v>0.48541666666666666</v>
      </c>
      <c r="P1566" s="265">
        <v>0.48541666666666666</v>
      </c>
      <c r="Q1566" s="266">
        <v>0.48749999999999999</v>
      </c>
      <c r="R1566" s="261">
        <f>IF(Table6[[#This Row],[Work Start TimeStamp]]="","",(Table6[[#This Row],[Work Start TimeStamp]]-Table6[[#This Row],[Fault Start TimeStamp]])*24)</f>
        <v>0</v>
      </c>
      <c r="S1566" s="261">
        <f>(Table6[[#This Row],[Fault Clearance time]]-Table6[[#This Row],[Work Start TimeStamp]])*24</f>
        <v>4.9999999999999822E-2</v>
      </c>
      <c r="T1566" s="261">
        <f>(Table6[[#This Row],[Fault Clearance time]]-Table6[[#This Row],[Fault Start TimeStamp]])*24</f>
        <v>4.9999999999999822E-2</v>
      </c>
      <c r="U1566" s="35" t="s">
        <v>483</v>
      </c>
      <c r="V1566" s="102" t="s">
        <v>268</v>
      </c>
      <c r="W1566" s="290">
        <f>IFERROR(Table6[[#This Row],[Breakdown Time]]*Table6[[#This Row],[Plant Equivalent Weightage]],"")</f>
        <v>1.9230769230769156E-3</v>
      </c>
      <c r="X1566" s="262" t="s">
        <v>269</v>
      </c>
      <c r="Y1566" s="263" t="s">
        <v>116</v>
      </c>
      <c r="Z1566" s="102">
        <v>24523</v>
      </c>
      <c r="AA1566" s="257">
        <f>(Table6[[#This Row],[Paired WTG Generation for loss calculation]]/24)*Table6[[#This Row],[Breakdown Time]]</f>
        <v>51.089583333333152</v>
      </c>
      <c r="AB1566" s="102"/>
      <c r="AC1566" s="35"/>
      <c r="AD1566" s="35"/>
    </row>
    <row r="1567" spans="1:30">
      <c r="A1567" s="102">
        <f t="shared" si="25"/>
        <v>1566</v>
      </c>
      <c r="B1567" s="257">
        <f>YEAR(Table6[[#This Row],[Date]])+IF(MONTH(Table6[[#This Row],[Date]])&gt;=4,1,0)</f>
        <v>2026</v>
      </c>
      <c r="C1567" s="102">
        <f>YEAR(Table6[[#This Row],[Date]])</f>
        <v>2025</v>
      </c>
      <c r="D1567" s="102" t="s">
        <v>265</v>
      </c>
      <c r="E1567" s="258">
        <f>Table6[[#This Row],[Date]]-DAY(Table6[[#This Row],[Date]])+1</f>
        <v>45839</v>
      </c>
      <c r="F1567" s="259">
        <v>45854</v>
      </c>
      <c r="G1567" s="35" t="s">
        <v>125</v>
      </c>
      <c r="H1567" s="35" t="str">
        <f>IFERROR(_xlfn.XLOOKUP(Table6[[#This Row],[Affected WTG]],'Basic Data'!$A:$A,'Basic Data'!$B:$B),"")</f>
        <v>TQGXIIPL</v>
      </c>
      <c r="I1567" s="35" t="str">
        <f>IFERROR(_xlfn.XLOOKUP(Table6[[#This Row],[Affected WTG]],'Basic Data'!$A:$A,'Basic Data'!$C:$C),"")</f>
        <v>GEDA</v>
      </c>
      <c r="J1567" s="260">
        <f>IFERROR(_xlfn.XLOOKUP(Table6[[#This Row],[Affected WTG]],'Basic Data'!$A:$A,'Basic Data'!$E:$E),"")</f>
        <v>3.846153846153845E-2</v>
      </c>
      <c r="K1567" s="102">
        <v>6130</v>
      </c>
      <c r="L1567" s="35" t="str">
        <f>IFERROR(_xlfn.XLOOKUP(Table6[[#This Row],[Error Code]],'Basic Data'!$AA:$AA,'Basic Data'!$AB:$AB),"Incorrect Error Code")</f>
        <v>Yaw speed high</v>
      </c>
      <c r="M1567" s="35" t="s">
        <v>266</v>
      </c>
      <c r="N1567" s="264"/>
      <c r="O1567" s="265">
        <v>0.56527777777777777</v>
      </c>
      <c r="P1567" s="265">
        <v>0.56527777777777777</v>
      </c>
      <c r="Q1567" s="266">
        <v>0.56666666666666665</v>
      </c>
      <c r="R1567" s="261">
        <f>IF(Table6[[#This Row],[Work Start TimeStamp]]="","",(Table6[[#This Row],[Work Start TimeStamp]]-Table6[[#This Row],[Fault Start TimeStamp]])*24)</f>
        <v>0</v>
      </c>
      <c r="S1567" s="261">
        <f>(Table6[[#This Row],[Fault Clearance time]]-Table6[[#This Row],[Work Start TimeStamp]])*24</f>
        <v>3.3333333333333215E-2</v>
      </c>
      <c r="T1567" s="261">
        <f>(Table6[[#This Row],[Fault Clearance time]]-Table6[[#This Row],[Fault Start TimeStamp]])*24</f>
        <v>3.3333333333333215E-2</v>
      </c>
      <c r="U1567" s="35" t="s">
        <v>483</v>
      </c>
      <c r="V1567" s="102" t="s">
        <v>268</v>
      </c>
      <c r="W1567" s="290">
        <f>IFERROR(Table6[[#This Row],[Breakdown Time]]*Table6[[#This Row],[Plant Equivalent Weightage]],"")</f>
        <v>1.2820512820512771E-3</v>
      </c>
      <c r="X1567" s="262" t="s">
        <v>269</v>
      </c>
      <c r="Y1567" s="263" t="s">
        <v>127</v>
      </c>
      <c r="Z1567" s="102">
        <v>20377</v>
      </c>
      <c r="AA1567" s="257">
        <f>(Table6[[#This Row],[Paired WTG Generation for loss calculation]]/24)*Table6[[#This Row],[Breakdown Time]]</f>
        <v>28.301388888888788</v>
      </c>
      <c r="AB1567" s="102"/>
      <c r="AC1567" s="35"/>
      <c r="AD1567" s="35"/>
    </row>
    <row r="1568" spans="1:30">
      <c r="A1568" s="102">
        <f t="shared" si="25"/>
        <v>1567</v>
      </c>
      <c r="B1568" s="257">
        <f>YEAR(Table6[[#This Row],[Date]])+IF(MONTH(Table6[[#This Row],[Date]])&gt;=4,1,0)</f>
        <v>2026</v>
      </c>
      <c r="C1568" s="102">
        <f>YEAR(Table6[[#This Row],[Date]])</f>
        <v>2025</v>
      </c>
      <c r="D1568" s="102" t="s">
        <v>265</v>
      </c>
      <c r="E1568" s="258">
        <f>Table6[[#This Row],[Date]]-DAY(Table6[[#This Row],[Date]])+1</f>
        <v>45839</v>
      </c>
      <c r="F1568" s="259">
        <v>45855</v>
      </c>
      <c r="G1568" s="35" t="s">
        <v>119</v>
      </c>
      <c r="H1568" s="35" t="str">
        <f>IFERROR(_xlfn.XLOOKUP(Table6[[#This Row],[Affected WTG]],'Basic Data'!$A:$A,'Basic Data'!$B:$B),"")</f>
        <v>TQGXIIPL</v>
      </c>
      <c r="I1568" s="35" t="str">
        <f>IFERROR(_xlfn.XLOOKUP(Table6[[#This Row],[Affected WTG]],'Basic Data'!$A:$A,'Basic Data'!$C:$C),"")</f>
        <v>GEDA</v>
      </c>
      <c r="J1568" s="260">
        <f>IFERROR(_xlfn.XLOOKUP(Table6[[#This Row],[Affected WTG]],'Basic Data'!$A:$A,'Basic Data'!$E:$E),"")</f>
        <v>3.846153846153845E-2</v>
      </c>
      <c r="K1568" s="102">
        <v>3211</v>
      </c>
      <c r="L1568" s="35" t="str">
        <f>IFERROR(_xlfn.XLOOKUP(Table6[[#This Row],[Error Code]],'Basic Data'!$AA:$AA,'Basic Data'!$AB:$AB),"Incorrect Error Code")</f>
        <v>Conv. load shedding (CAN)</v>
      </c>
      <c r="M1568" s="35" t="s">
        <v>266</v>
      </c>
      <c r="N1568" s="264"/>
      <c r="O1568" s="265">
        <v>0.44097222222222221</v>
      </c>
      <c r="P1568" s="265">
        <v>0.44097222222222221</v>
      </c>
      <c r="Q1568" s="266">
        <v>0.44305555555555554</v>
      </c>
      <c r="R1568" s="261">
        <f>IF(Table6[[#This Row],[Work Start TimeStamp]]="","",(Table6[[#This Row],[Work Start TimeStamp]]-Table6[[#This Row],[Fault Start TimeStamp]])*24)</f>
        <v>0</v>
      </c>
      <c r="S1568" s="261">
        <f>(Table6[[#This Row],[Fault Clearance time]]-Table6[[#This Row],[Work Start TimeStamp]])*24</f>
        <v>4.9999999999999822E-2</v>
      </c>
      <c r="T1568" s="261">
        <f>(Table6[[#This Row],[Fault Clearance time]]-Table6[[#This Row],[Fault Start TimeStamp]])*24</f>
        <v>4.9999999999999822E-2</v>
      </c>
      <c r="U1568" s="35" t="s">
        <v>483</v>
      </c>
      <c r="V1568" s="102" t="s">
        <v>268</v>
      </c>
      <c r="W1568" s="290">
        <f>IFERROR(Table6[[#This Row],[Breakdown Time]]*Table6[[#This Row],[Plant Equivalent Weightage]],"")</f>
        <v>1.9230769230769156E-3</v>
      </c>
      <c r="X1568" s="262" t="s">
        <v>269</v>
      </c>
      <c r="Y1568" s="263" t="s">
        <v>116</v>
      </c>
      <c r="Z1568" s="102">
        <v>13664</v>
      </c>
      <c r="AA1568" s="257">
        <f>(Table6[[#This Row],[Paired WTG Generation for loss calculation]]/24)*Table6[[#This Row],[Breakdown Time]]</f>
        <v>28.466666666666569</v>
      </c>
      <c r="AB1568" s="102"/>
      <c r="AC1568" s="35"/>
      <c r="AD1568" s="35"/>
    </row>
    <row r="1569" spans="1:30">
      <c r="A1569" s="102">
        <f t="shared" si="25"/>
        <v>1568</v>
      </c>
      <c r="B1569" s="257">
        <f>YEAR(Table6[[#This Row],[Date]])+IF(MONTH(Table6[[#This Row],[Date]])&gt;=4,1,0)</f>
        <v>2026</v>
      </c>
      <c r="C1569" s="102">
        <f>YEAR(Table6[[#This Row],[Date]])</f>
        <v>2025</v>
      </c>
      <c r="D1569" s="102" t="s">
        <v>265</v>
      </c>
      <c r="E1569" s="258">
        <f>Table6[[#This Row],[Date]]-DAY(Table6[[#This Row],[Date]])+1</f>
        <v>45839</v>
      </c>
      <c r="F1569" s="259">
        <v>45855</v>
      </c>
      <c r="G1569" s="35" t="s">
        <v>127</v>
      </c>
      <c r="H1569" s="35" t="str">
        <f>IFERROR(_xlfn.XLOOKUP(Table6[[#This Row],[Affected WTG]],'Basic Data'!$A:$A,'Basic Data'!$B:$B),"")</f>
        <v>TQGXIIPL</v>
      </c>
      <c r="I1569" s="35" t="str">
        <f>IFERROR(_xlfn.XLOOKUP(Table6[[#This Row],[Affected WTG]],'Basic Data'!$A:$A,'Basic Data'!$C:$C),"")</f>
        <v>GEDA</v>
      </c>
      <c r="J1569" s="260">
        <f>IFERROR(_xlfn.XLOOKUP(Table6[[#This Row],[Affected WTG]],'Basic Data'!$A:$A,'Basic Data'!$E:$E),"")</f>
        <v>3.846153846153845E-2</v>
      </c>
      <c r="K1569" s="102">
        <v>55</v>
      </c>
      <c r="L1569" s="35" t="str">
        <f>IFERROR(_xlfn.XLOOKUP(Table6[[#This Row],[Error Code]],'Basic Data'!$AA:$AA,'Basic Data'!$AB:$AB),"Incorrect Error Code")</f>
        <v>WTG shut down</v>
      </c>
      <c r="M1569" s="35" t="s">
        <v>266</v>
      </c>
      <c r="N1569" s="264"/>
      <c r="O1569" s="265">
        <v>0.47499999999999998</v>
      </c>
      <c r="P1569" s="265">
        <v>0.47499999999999998</v>
      </c>
      <c r="Q1569" s="266">
        <v>0.57986111111111116</v>
      </c>
      <c r="R1569" s="261">
        <f>IF(Table6[[#This Row],[Work Start TimeStamp]]="","",(Table6[[#This Row],[Work Start TimeStamp]]-Table6[[#This Row],[Fault Start TimeStamp]])*24)</f>
        <v>0</v>
      </c>
      <c r="S1569" s="261">
        <f>(Table6[[#This Row],[Fault Clearance time]]-Table6[[#This Row],[Work Start TimeStamp]])*24</f>
        <v>2.5166666666666684</v>
      </c>
      <c r="T1569" s="261">
        <f>(Table6[[#This Row],[Fault Clearance time]]-Table6[[#This Row],[Fault Start TimeStamp]])*24</f>
        <v>2.5166666666666684</v>
      </c>
      <c r="U1569" s="35" t="s">
        <v>612</v>
      </c>
      <c r="V1569" s="102" t="s">
        <v>268</v>
      </c>
      <c r="W1569" s="290">
        <f>IFERROR(Table6[[#This Row],[Breakdown Time]]*Table6[[#This Row],[Plant Equivalent Weightage]],"")</f>
        <v>9.6794871794871826E-2</v>
      </c>
      <c r="X1569" s="262" t="s">
        <v>296</v>
      </c>
      <c r="Y1569" s="263" t="s">
        <v>125</v>
      </c>
      <c r="Z1569" s="102">
        <v>11605</v>
      </c>
      <c r="AA1569" s="257">
        <f>(Table6[[#This Row],[Paired WTG Generation for loss calculation]]/24)*Table6[[#This Row],[Breakdown Time]]</f>
        <v>1216.9131944444453</v>
      </c>
      <c r="AB1569" s="102"/>
      <c r="AC1569" s="35"/>
      <c r="AD1569" s="35"/>
    </row>
    <row r="1570" spans="1:30">
      <c r="A1570" s="102">
        <f t="shared" si="25"/>
        <v>1569</v>
      </c>
      <c r="B1570" s="257">
        <f>YEAR(Table6[[#This Row],[Date]])+IF(MONTH(Table6[[#This Row],[Date]])&gt;=4,1,0)</f>
        <v>2026</v>
      </c>
      <c r="C1570" s="102">
        <f>YEAR(Table6[[#This Row],[Date]])</f>
        <v>2025</v>
      </c>
      <c r="D1570" s="102" t="s">
        <v>265</v>
      </c>
      <c r="E1570" s="258">
        <f>Table6[[#This Row],[Date]]-DAY(Table6[[#This Row],[Date]])+1</f>
        <v>45839</v>
      </c>
      <c r="F1570" s="259">
        <v>45855</v>
      </c>
      <c r="G1570" s="35" t="s">
        <v>129</v>
      </c>
      <c r="H1570" s="35" t="str">
        <f>IFERROR(_xlfn.XLOOKUP(Table6[[#This Row],[Affected WTG]],'Basic Data'!$A:$A,'Basic Data'!$B:$B),"")</f>
        <v>TQGXIIPL</v>
      </c>
      <c r="I1570" s="35" t="str">
        <f>IFERROR(_xlfn.XLOOKUP(Table6[[#This Row],[Affected WTG]],'Basic Data'!$A:$A,'Basic Data'!$C:$C),"")</f>
        <v>GEDA</v>
      </c>
      <c r="J1570" s="260">
        <f>IFERROR(_xlfn.XLOOKUP(Table6[[#This Row],[Affected WTG]],'Basic Data'!$A:$A,'Basic Data'!$E:$E),"")</f>
        <v>3.846153846153845E-2</v>
      </c>
      <c r="K1570" s="102">
        <v>3211</v>
      </c>
      <c r="L1570" s="35" t="str">
        <f>IFERROR(_xlfn.XLOOKUP(Table6[[#This Row],[Error Code]],'Basic Data'!$AA:$AA,'Basic Data'!$AB:$AB),"Incorrect Error Code")</f>
        <v>Conv. load shedding (CAN)</v>
      </c>
      <c r="M1570" s="35" t="s">
        <v>266</v>
      </c>
      <c r="N1570" s="264"/>
      <c r="O1570" s="265">
        <v>0.85833333333333328</v>
      </c>
      <c r="P1570" s="265">
        <v>0.88680555555555551</v>
      </c>
      <c r="Q1570" s="266">
        <v>0.9604166666666667</v>
      </c>
      <c r="R1570" s="261">
        <f>IF(Table6[[#This Row],[Work Start TimeStamp]]="","",(Table6[[#This Row],[Work Start TimeStamp]]-Table6[[#This Row],[Fault Start TimeStamp]])*24)</f>
        <v>0.68333333333333357</v>
      </c>
      <c r="S1570" s="261">
        <f>(Table6[[#This Row],[Fault Clearance time]]-Table6[[#This Row],[Work Start TimeStamp]])*24</f>
        <v>1.7666666666666684</v>
      </c>
      <c r="T1570" s="261">
        <f>(Table6[[#This Row],[Fault Clearance time]]-Table6[[#This Row],[Fault Start TimeStamp]])*24</f>
        <v>2.450000000000002</v>
      </c>
      <c r="U1570" s="35" t="s">
        <v>613</v>
      </c>
      <c r="V1570" s="102" t="s">
        <v>268</v>
      </c>
      <c r="W1570" s="290">
        <f>IFERROR(Table6[[#This Row],[Breakdown Time]]*Table6[[#This Row],[Plant Equivalent Weightage]],"")</f>
        <v>9.4230769230769271E-2</v>
      </c>
      <c r="X1570" s="262" t="s">
        <v>296</v>
      </c>
      <c r="Y1570" s="263" t="s">
        <v>124</v>
      </c>
      <c r="Z1570" s="102">
        <v>13836</v>
      </c>
      <c r="AA1570" s="257">
        <f>(Table6[[#This Row],[Paired WTG Generation for loss calculation]]/24)*Table6[[#This Row],[Breakdown Time]]</f>
        <v>1412.4250000000011</v>
      </c>
      <c r="AB1570" s="102"/>
      <c r="AC1570" s="35"/>
      <c r="AD1570" s="35"/>
    </row>
    <row r="1571" spans="1:30">
      <c r="A1571" s="102">
        <f t="shared" si="25"/>
        <v>1570</v>
      </c>
      <c r="B1571" s="257">
        <f>YEAR(Table6[[#This Row],[Date]])+IF(MONTH(Table6[[#This Row],[Date]])&gt;=4,1,0)</f>
        <v>2026</v>
      </c>
      <c r="C1571" s="102">
        <f>YEAR(Table6[[#This Row],[Date]])</f>
        <v>2025</v>
      </c>
      <c r="D1571" s="102" t="s">
        <v>265</v>
      </c>
      <c r="E1571" s="258">
        <f>Table6[[#This Row],[Date]]-DAY(Table6[[#This Row],[Date]])+1</f>
        <v>45839</v>
      </c>
      <c r="F1571" s="259">
        <v>45855</v>
      </c>
      <c r="G1571" s="35" t="s">
        <v>134</v>
      </c>
      <c r="H1571" s="35" t="str">
        <f>IFERROR(_xlfn.XLOOKUP(Table6[[#This Row],[Affected WTG]],'Basic Data'!$A:$A,'Basic Data'!$B:$B),"")</f>
        <v>TQGXIIPL</v>
      </c>
      <c r="I1571" s="35" t="str">
        <f>IFERROR(_xlfn.XLOOKUP(Table6[[#This Row],[Affected WTG]],'Basic Data'!$A:$A,'Basic Data'!$C:$C),"")</f>
        <v>GEDA</v>
      </c>
      <c r="J1571" s="260">
        <f>IFERROR(_xlfn.XLOOKUP(Table6[[#This Row],[Affected WTG]],'Basic Data'!$A:$A,'Basic Data'!$E:$E),"")</f>
        <v>3.846153846153845E-2</v>
      </c>
      <c r="K1571" s="102">
        <v>55</v>
      </c>
      <c r="L1571" s="35" t="str">
        <f>IFERROR(_xlfn.XLOOKUP(Table6[[#This Row],[Error Code]],'Basic Data'!$AA:$AA,'Basic Data'!$AB:$AB),"Incorrect Error Code")</f>
        <v>WTG shut down</v>
      </c>
      <c r="M1571" s="35" t="s">
        <v>266</v>
      </c>
      <c r="N1571" s="264"/>
      <c r="O1571" s="265">
        <v>0.48541666666666666</v>
      </c>
      <c r="P1571" s="265">
        <v>0.48541666666666666</v>
      </c>
      <c r="Q1571" s="266">
        <v>0.57361111111111107</v>
      </c>
      <c r="R1571" s="261">
        <f>IF(Table6[[#This Row],[Work Start TimeStamp]]="","",(Table6[[#This Row],[Work Start TimeStamp]]-Table6[[#This Row],[Fault Start TimeStamp]])*24)</f>
        <v>0</v>
      </c>
      <c r="S1571" s="261">
        <f>(Table6[[#This Row],[Fault Clearance time]]-Table6[[#This Row],[Work Start TimeStamp]])*24</f>
        <v>2.1166666666666658</v>
      </c>
      <c r="T1571" s="261">
        <f>(Table6[[#This Row],[Fault Clearance time]]-Table6[[#This Row],[Fault Start TimeStamp]])*24</f>
        <v>2.1166666666666658</v>
      </c>
      <c r="U1571" s="35" t="s">
        <v>614</v>
      </c>
      <c r="V1571" s="102" t="s">
        <v>268</v>
      </c>
      <c r="W1571" s="290">
        <f>IFERROR(Table6[[#This Row],[Breakdown Time]]*Table6[[#This Row],[Plant Equivalent Weightage]],"")</f>
        <v>8.1410256410256357E-2</v>
      </c>
      <c r="X1571" s="262" t="s">
        <v>296</v>
      </c>
      <c r="Y1571" s="263" t="s">
        <v>138</v>
      </c>
      <c r="Z1571" s="102">
        <v>13633</v>
      </c>
      <c r="AA1571" s="257">
        <f>(Table6[[#This Row],[Paired WTG Generation for loss calculation]]/24)*Table6[[#This Row],[Breakdown Time]]</f>
        <v>1202.3548611111105</v>
      </c>
      <c r="AB1571" s="102"/>
      <c r="AC1571" s="35"/>
      <c r="AD1571" s="35"/>
    </row>
    <row r="1572" spans="1:30">
      <c r="A1572" s="102">
        <f t="shared" si="25"/>
        <v>1571</v>
      </c>
      <c r="B1572" s="257">
        <f>YEAR(Table6[[#This Row],[Date]])+IF(MONTH(Table6[[#This Row],[Date]])&gt;=4,1,0)</f>
        <v>2026</v>
      </c>
      <c r="C1572" s="102">
        <f>YEAR(Table6[[#This Row],[Date]])</f>
        <v>2025</v>
      </c>
      <c r="D1572" s="102" t="s">
        <v>265</v>
      </c>
      <c r="E1572" s="258">
        <f>Table6[[#This Row],[Date]]-DAY(Table6[[#This Row],[Date]])+1</f>
        <v>45839</v>
      </c>
      <c r="F1572" s="259">
        <v>45856</v>
      </c>
      <c r="G1572" s="35" t="s">
        <v>123</v>
      </c>
      <c r="H1572" s="35" t="str">
        <f>IFERROR(_xlfn.XLOOKUP(Table6[[#This Row],[Affected WTG]],'Basic Data'!$A:$A,'Basic Data'!$B:$B),"")</f>
        <v>TQGXIIPL</v>
      </c>
      <c r="I1572" s="35" t="str">
        <f>IFERROR(_xlfn.XLOOKUP(Table6[[#This Row],[Affected WTG]],'Basic Data'!$A:$A,'Basic Data'!$C:$C),"")</f>
        <v>GEDA</v>
      </c>
      <c r="J1572" s="260">
        <f>IFERROR(_xlfn.XLOOKUP(Table6[[#This Row],[Affected WTG]],'Basic Data'!$A:$A,'Basic Data'!$E:$E),"")</f>
        <v>3.846153846153845E-2</v>
      </c>
      <c r="K1572" s="102">
        <v>55</v>
      </c>
      <c r="L1572" s="35" t="str">
        <f>IFERROR(_xlfn.XLOOKUP(Table6[[#This Row],[Error Code]],'Basic Data'!$AA:$AA,'Basic Data'!$AB:$AB),"Incorrect Error Code")</f>
        <v>WTG shut down</v>
      </c>
      <c r="M1572" s="35" t="s">
        <v>266</v>
      </c>
      <c r="N1572" s="264"/>
      <c r="O1572" s="265">
        <v>0.66041666666666665</v>
      </c>
      <c r="P1572" s="265">
        <v>0.66041666666666665</v>
      </c>
      <c r="Q1572" s="266">
        <v>0.71944444444444444</v>
      </c>
      <c r="R1572" s="261">
        <f>IF(Table6[[#This Row],[Work Start TimeStamp]]="","",(Table6[[#This Row],[Work Start TimeStamp]]-Table6[[#This Row],[Fault Start TimeStamp]])*24)</f>
        <v>0</v>
      </c>
      <c r="S1572" s="261">
        <f>(Table6[[#This Row],[Fault Clearance time]]-Table6[[#This Row],[Work Start TimeStamp]])*24</f>
        <v>1.416666666666667</v>
      </c>
      <c r="T1572" s="261">
        <f>(Table6[[#This Row],[Fault Clearance time]]-Table6[[#This Row],[Fault Start TimeStamp]])*24</f>
        <v>1.416666666666667</v>
      </c>
      <c r="U1572" s="35" t="s">
        <v>615</v>
      </c>
      <c r="V1572" s="102" t="s">
        <v>268</v>
      </c>
      <c r="W1572" s="290">
        <f>IFERROR(Table6[[#This Row],[Breakdown Time]]*Table6[[#This Row],[Plant Equivalent Weightage]],"")</f>
        <v>5.4487179487179481E-2</v>
      </c>
      <c r="X1572" s="262" t="s">
        <v>296</v>
      </c>
      <c r="Y1572" s="263" t="s">
        <v>117</v>
      </c>
      <c r="Z1572" s="102">
        <v>19227</v>
      </c>
      <c r="AA1572" s="257">
        <f>(Table6[[#This Row],[Paired WTG Generation for loss calculation]]/24)*Table6[[#This Row],[Breakdown Time]]</f>
        <v>1134.9270833333335</v>
      </c>
      <c r="AB1572" s="102"/>
      <c r="AC1572" s="35"/>
      <c r="AD1572" s="35"/>
    </row>
    <row r="1573" spans="1:30">
      <c r="A1573" s="102">
        <f t="shared" si="25"/>
        <v>1572</v>
      </c>
      <c r="B1573" s="257">
        <f>YEAR(Table6[[#This Row],[Date]])+IF(MONTH(Table6[[#This Row],[Date]])&gt;=4,1,0)</f>
        <v>2026</v>
      </c>
      <c r="C1573" s="102">
        <f>YEAR(Table6[[#This Row],[Date]])</f>
        <v>2025</v>
      </c>
      <c r="D1573" s="102" t="s">
        <v>265</v>
      </c>
      <c r="E1573" s="258">
        <f>Table6[[#This Row],[Date]]-DAY(Table6[[#This Row],[Date]])+1</f>
        <v>45839</v>
      </c>
      <c r="F1573" s="259">
        <v>45856</v>
      </c>
      <c r="G1573" s="35" t="s">
        <v>133</v>
      </c>
      <c r="H1573" s="35" t="str">
        <f>IFERROR(_xlfn.XLOOKUP(Table6[[#This Row],[Affected WTG]],'Basic Data'!$A:$A,'Basic Data'!$B:$B),"")</f>
        <v>TQGXIIPL</v>
      </c>
      <c r="I1573" s="35" t="str">
        <f>IFERROR(_xlfn.XLOOKUP(Table6[[#This Row],[Affected WTG]],'Basic Data'!$A:$A,'Basic Data'!$C:$C),"")</f>
        <v>GEDA</v>
      </c>
      <c r="J1573" s="260">
        <f>IFERROR(_xlfn.XLOOKUP(Table6[[#This Row],[Affected WTG]],'Basic Data'!$A:$A,'Basic Data'!$E:$E),"")</f>
        <v>3.846153846153845E-2</v>
      </c>
      <c r="K1573" s="102">
        <v>55</v>
      </c>
      <c r="L1573" s="35" t="str">
        <f>IFERROR(_xlfn.XLOOKUP(Table6[[#This Row],[Error Code]],'Basic Data'!$AA:$AA,'Basic Data'!$AB:$AB),"Incorrect Error Code")</f>
        <v>WTG shut down</v>
      </c>
      <c r="M1573" s="35" t="s">
        <v>266</v>
      </c>
      <c r="N1573" s="264"/>
      <c r="O1573" s="265">
        <v>0.49930555555555556</v>
      </c>
      <c r="P1573" s="265">
        <v>0.49930555555555556</v>
      </c>
      <c r="Q1573" s="266">
        <v>0.57152777777777775</v>
      </c>
      <c r="R1573" s="261">
        <f>IF(Table6[[#This Row],[Work Start TimeStamp]]="","",(Table6[[#This Row],[Work Start TimeStamp]]-Table6[[#This Row],[Fault Start TimeStamp]])*24)</f>
        <v>0</v>
      </c>
      <c r="S1573" s="261">
        <f>(Table6[[#This Row],[Fault Clearance time]]-Table6[[#This Row],[Work Start TimeStamp]])*24</f>
        <v>1.7333333333333325</v>
      </c>
      <c r="T1573" s="261">
        <f>(Table6[[#This Row],[Fault Clearance time]]-Table6[[#This Row],[Fault Start TimeStamp]])*24</f>
        <v>1.7333333333333325</v>
      </c>
      <c r="U1573" s="35" t="s">
        <v>615</v>
      </c>
      <c r="V1573" s="102" t="s">
        <v>268</v>
      </c>
      <c r="W1573" s="290">
        <f>IFERROR(Table6[[#This Row],[Breakdown Time]]*Table6[[#This Row],[Plant Equivalent Weightage]],"")</f>
        <v>6.666666666666661E-2</v>
      </c>
      <c r="X1573" s="262" t="s">
        <v>296</v>
      </c>
      <c r="Y1573" s="263" t="s">
        <v>121</v>
      </c>
      <c r="Z1573" s="102">
        <v>18294</v>
      </c>
      <c r="AA1573" s="257">
        <f>(Table6[[#This Row],[Paired WTG Generation for loss calculation]]/24)*Table6[[#This Row],[Breakdown Time]]</f>
        <v>1321.2333333333327</v>
      </c>
      <c r="AB1573" s="102"/>
      <c r="AC1573" s="35"/>
      <c r="AD1573" s="35"/>
    </row>
    <row r="1574" spans="1:30">
      <c r="A1574" s="102">
        <f t="shared" si="25"/>
        <v>1573</v>
      </c>
      <c r="B1574" s="257">
        <f>YEAR(Table6[[#This Row],[Date]])+IF(MONTH(Table6[[#This Row],[Date]])&gt;=4,1,0)</f>
        <v>2026</v>
      </c>
      <c r="C1574" s="102">
        <f>YEAR(Table6[[#This Row],[Date]])</f>
        <v>2025</v>
      </c>
      <c r="D1574" s="102" t="s">
        <v>265</v>
      </c>
      <c r="E1574" s="258">
        <f>Table6[[#This Row],[Date]]-DAY(Table6[[#This Row],[Date]])+1</f>
        <v>45839</v>
      </c>
      <c r="F1574" s="259">
        <v>45857</v>
      </c>
      <c r="G1574" s="35" t="s">
        <v>115</v>
      </c>
      <c r="H1574" s="35" t="str">
        <f>IFERROR(_xlfn.XLOOKUP(Table6[[#This Row],[Affected WTG]],'Basic Data'!$A:$A,'Basic Data'!$B:$B),"")</f>
        <v>TQGXIIPL</v>
      </c>
      <c r="I1574" s="35" t="str">
        <f>IFERROR(_xlfn.XLOOKUP(Table6[[#This Row],[Affected WTG]],'Basic Data'!$A:$A,'Basic Data'!$C:$C),"")</f>
        <v>GEDA</v>
      </c>
      <c r="J1574" s="260">
        <f>IFERROR(_xlfn.XLOOKUP(Table6[[#This Row],[Affected WTG]],'Basic Data'!$A:$A,'Basic Data'!$E:$E),"")</f>
        <v>3.846153846153845E-2</v>
      </c>
      <c r="K1574" s="102">
        <v>6130</v>
      </c>
      <c r="L1574" s="35" t="str">
        <f>IFERROR(_xlfn.XLOOKUP(Table6[[#This Row],[Error Code]],'Basic Data'!$AA:$AA,'Basic Data'!$AB:$AB),"Incorrect Error Code")</f>
        <v>Yaw speed high</v>
      </c>
      <c r="M1574" s="35" t="s">
        <v>266</v>
      </c>
      <c r="N1574" s="264"/>
      <c r="O1574" s="265">
        <v>0.6069444444444444</v>
      </c>
      <c r="P1574" s="265">
        <v>0.6069444444444444</v>
      </c>
      <c r="Q1574" s="266">
        <v>0.60902777777777772</v>
      </c>
      <c r="R1574" s="261">
        <f>IF(Table6[[#This Row],[Work Start TimeStamp]]="","",(Table6[[#This Row],[Work Start TimeStamp]]-Table6[[#This Row],[Fault Start TimeStamp]])*24)</f>
        <v>0</v>
      </c>
      <c r="S1574" s="261">
        <f>(Table6[[#This Row],[Fault Clearance time]]-Table6[[#This Row],[Work Start TimeStamp]])*24</f>
        <v>4.9999999999999822E-2</v>
      </c>
      <c r="T1574" s="261">
        <f>(Table6[[#This Row],[Fault Clearance time]]-Table6[[#This Row],[Fault Start TimeStamp]])*24</f>
        <v>4.9999999999999822E-2</v>
      </c>
      <c r="U1574" s="35" t="s">
        <v>483</v>
      </c>
      <c r="V1574" s="102" t="s">
        <v>268</v>
      </c>
      <c r="W1574" s="290">
        <f>IFERROR(Table6[[#This Row],[Breakdown Time]]*Table6[[#This Row],[Plant Equivalent Weightage]],"")</f>
        <v>1.9230769230769156E-3</v>
      </c>
      <c r="X1574" s="262" t="s">
        <v>296</v>
      </c>
      <c r="Y1574" s="263" t="s">
        <v>140</v>
      </c>
      <c r="Z1574" s="102">
        <v>27719</v>
      </c>
      <c r="AA1574" s="257">
        <f>(Table6[[#This Row],[Paired WTG Generation for loss calculation]]/24)*Table6[[#This Row],[Breakdown Time]]</f>
        <v>57.747916666666455</v>
      </c>
      <c r="AB1574" s="102"/>
      <c r="AC1574" s="35"/>
      <c r="AD1574" s="35"/>
    </row>
    <row r="1575" spans="1:30">
      <c r="A1575" s="102">
        <f t="shared" si="25"/>
        <v>1574</v>
      </c>
      <c r="B1575" s="257">
        <f>YEAR(Table6[[#This Row],[Date]])+IF(MONTH(Table6[[#This Row],[Date]])&gt;=4,1,0)</f>
        <v>2026</v>
      </c>
      <c r="C1575" s="102">
        <f>YEAR(Table6[[#This Row],[Date]])</f>
        <v>2025</v>
      </c>
      <c r="D1575" s="102" t="s">
        <v>265</v>
      </c>
      <c r="E1575" s="258">
        <f>Table6[[#This Row],[Date]]-DAY(Table6[[#This Row],[Date]])+1</f>
        <v>45839</v>
      </c>
      <c r="F1575" s="259">
        <v>45857</v>
      </c>
      <c r="G1575" s="35" t="s">
        <v>121</v>
      </c>
      <c r="H1575" s="35" t="str">
        <f>IFERROR(_xlfn.XLOOKUP(Table6[[#This Row],[Affected WTG]],'Basic Data'!$A:$A,'Basic Data'!$B:$B),"")</f>
        <v>TQGXIIPL</v>
      </c>
      <c r="I1575" s="35" t="str">
        <f>IFERROR(_xlfn.XLOOKUP(Table6[[#This Row],[Affected WTG]],'Basic Data'!$A:$A,'Basic Data'!$C:$C),"")</f>
        <v>GEDA</v>
      </c>
      <c r="J1575" s="260">
        <f>IFERROR(_xlfn.XLOOKUP(Table6[[#This Row],[Affected WTG]],'Basic Data'!$A:$A,'Basic Data'!$E:$E),"")</f>
        <v>3.846153846153845E-2</v>
      </c>
      <c r="K1575" s="102">
        <v>175</v>
      </c>
      <c r="L1575" s="35" t="str">
        <f>IFERROR(_xlfn.XLOOKUP(Table6[[#This Row],[Error Code]],'Basic Data'!$AA:$AA,'Basic Data'!$AB:$AB),"Incorrect Error Code")</f>
        <v>SLC error</v>
      </c>
      <c r="M1575" s="35" t="s">
        <v>266</v>
      </c>
      <c r="N1575" s="264"/>
      <c r="O1575" s="265">
        <v>0.35972222222222222</v>
      </c>
      <c r="P1575" s="265">
        <v>0.35972222222222222</v>
      </c>
      <c r="Q1575" s="266">
        <v>0.375</v>
      </c>
      <c r="R1575" s="261">
        <f>IF(Table6[[#This Row],[Work Start TimeStamp]]="","",(Table6[[#This Row],[Work Start TimeStamp]]-Table6[[#This Row],[Fault Start TimeStamp]])*24)</f>
        <v>0</v>
      </c>
      <c r="S1575" s="261">
        <f>(Table6[[#This Row],[Fault Clearance time]]-Table6[[#This Row],[Work Start TimeStamp]])*24</f>
        <v>0.3666666666666667</v>
      </c>
      <c r="T1575" s="261">
        <f>(Table6[[#This Row],[Fault Clearance time]]-Table6[[#This Row],[Fault Start TimeStamp]])*24</f>
        <v>0.3666666666666667</v>
      </c>
      <c r="U1575" s="35" t="s">
        <v>483</v>
      </c>
      <c r="V1575" s="102" t="s">
        <v>268</v>
      </c>
      <c r="W1575" s="290">
        <f>IFERROR(Table6[[#This Row],[Breakdown Time]]*Table6[[#This Row],[Plant Equivalent Weightage]],"")</f>
        <v>1.4102564102564099E-2</v>
      </c>
      <c r="X1575" s="262" t="s">
        <v>296</v>
      </c>
      <c r="Y1575" s="263" t="s">
        <v>118</v>
      </c>
      <c r="Z1575" s="102">
        <v>28603</v>
      </c>
      <c r="AA1575" s="257">
        <f>(Table6[[#This Row],[Paired WTG Generation for loss calculation]]/24)*Table6[[#This Row],[Breakdown Time]]</f>
        <v>436.99027777777786</v>
      </c>
      <c r="AB1575" s="102"/>
      <c r="AC1575" s="35"/>
      <c r="AD1575" s="35"/>
    </row>
    <row r="1576" spans="1:30">
      <c r="A1576" s="102">
        <f t="shared" si="25"/>
        <v>1575</v>
      </c>
      <c r="B1576" s="257">
        <f>YEAR(Table6[[#This Row],[Date]])+IF(MONTH(Table6[[#This Row],[Date]])&gt;=4,1,0)</f>
        <v>2026</v>
      </c>
      <c r="C1576" s="102">
        <f>YEAR(Table6[[#This Row],[Date]])</f>
        <v>2025</v>
      </c>
      <c r="D1576" s="102" t="s">
        <v>265</v>
      </c>
      <c r="E1576" s="258">
        <f>Table6[[#This Row],[Date]]-DAY(Table6[[#This Row],[Date]])+1</f>
        <v>45839</v>
      </c>
      <c r="F1576" s="259">
        <v>45857</v>
      </c>
      <c r="G1576" s="35" t="s">
        <v>124</v>
      </c>
      <c r="H1576" s="35" t="str">
        <f>IFERROR(_xlfn.XLOOKUP(Table6[[#This Row],[Affected WTG]],'Basic Data'!$A:$A,'Basic Data'!$B:$B),"")</f>
        <v>TQGXIIPL</v>
      </c>
      <c r="I1576" s="35" t="str">
        <f>IFERROR(_xlfn.XLOOKUP(Table6[[#This Row],[Affected WTG]],'Basic Data'!$A:$A,'Basic Data'!$C:$C),"")</f>
        <v>GEDA</v>
      </c>
      <c r="J1576" s="260">
        <f>IFERROR(_xlfn.XLOOKUP(Table6[[#This Row],[Affected WTG]],'Basic Data'!$A:$A,'Basic Data'!$E:$E),"")</f>
        <v>3.846153846153845E-2</v>
      </c>
      <c r="K1576" s="102">
        <v>6130</v>
      </c>
      <c r="L1576" s="35" t="str">
        <f>IFERROR(_xlfn.XLOOKUP(Table6[[#This Row],[Error Code]],'Basic Data'!$AA:$AA,'Basic Data'!$AB:$AB),"Incorrect Error Code")</f>
        <v>Yaw speed high</v>
      </c>
      <c r="M1576" s="35" t="s">
        <v>266</v>
      </c>
      <c r="N1576" s="264"/>
      <c r="O1576" s="265">
        <v>0.64236111111111116</v>
      </c>
      <c r="P1576" s="265">
        <v>0.64236111111111116</v>
      </c>
      <c r="Q1576" s="266">
        <v>0.64513888888888893</v>
      </c>
      <c r="R1576" s="261">
        <f>IF(Table6[[#This Row],[Work Start TimeStamp]]="","",(Table6[[#This Row],[Work Start TimeStamp]]-Table6[[#This Row],[Fault Start TimeStamp]])*24)</f>
        <v>0</v>
      </c>
      <c r="S1576" s="261">
        <f>(Table6[[#This Row],[Fault Clearance time]]-Table6[[#This Row],[Work Start TimeStamp]])*24</f>
        <v>6.666666666666643E-2</v>
      </c>
      <c r="T1576" s="261">
        <f>(Table6[[#This Row],[Fault Clearance time]]-Table6[[#This Row],[Fault Start TimeStamp]])*24</f>
        <v>6.666666666666643E-2</v>
      </c>
      <c r="U1576" s="35" t="s">
        <v>483</v>
      </c>
      <c r="V1576" s="102" t="s">
        <v>268</v>
      </c>
      <c r="W1576" s="290">
        <f>IFERROR(Table6[[#This Row],[Breakdown Time]]*Table6[[#This Row],[Plant Equivalent Weightage]],"")</f>
        <v>2.5641025641025541E-3</v>
      </c>
      <c r="X1576" s="262" t="s">
        <v>296</v>
      </c>
      <c r="Y1576" s="263" t="s">
        <v>129</v>
      </c>
      <c r="Z1576" s="102">
        <v>24294</v>
      </c>
      <c r="AA1576" s="257">
        <f>(Table6[[#This Row],[Paired WTG Generation for loss calculation]]/24)*Table6[[#This Row],[Breakdown Time]]</f>
        <v>67.483333333333093</v>
      </c>
      <c r="AB1576" s="102"/>
      <c r="AC1576" s="35"/>
      <c r="AD1576" s="35"/>
    </row>
    <row r="1577" spans="1:30">
      <c r="A1577" s="102">
        <f t="shared" si="25"/>
        <v>1576</v>
      </c>
      <c r="B1577" s="257">
        <f>YEAR(Table6[[#This Row],[Date]])+IF(MONTH(Table6[[#This Row],[Date]])&gt;=4,1,0)</f>
        <v>2026</v>
      </c>
      <c r="C1577" s="102">
        <f>YEAR(Table6[[#This Row],[Date]])</f>
        <v>2025</v>
      </c>
      <c r="D1577" s="102" t="s">
        <v>265</v>
      </c>
      <c r="E1577" s="258">
        <f>Table6[[#This Row],[Date]]-DAY(Table6[[#This Row],[Date]])+1</f>
        <v>45839</v>
      </c>
      <c r="F1577" s="259">
        <v>45857</v>
      </c>
      <c r="G1577" s="35" t="s">
        <v>129</v>
      </c>
      <c r="H1577" s="35" t="str">
        <f>IFERROR(_xlfn.XLOOKUP(Table6[[#This Row],[Affected WTG]],'Basic Data'!$A:$A,'Basic Data'!$B:$B),"")</f>
        <v>TQGXIIPL</v>
      </c>
      <c r="I1577" s="35" t="str">
        <f>IFERROR(_xlfn.XLOOKUP(Table6[[#This Row],[Affected WTG]],'Basic Data'!$A:$A,'Basic Data'!$C:$C),"")</f>
        <v>GEDA</v>
      </c>
      <c r="J1577" s="260">
        <f>IFERROR(_xlfn.XLOOKUP(Table6[[#This Row],[Affected WTG]],'Basic Data'!$A:$A,'Basic Data'!$E:$E),"")</f>
        <v>3.846153846153845E-2</v>
      </c>
      <c r="K1577" s="102">
        <v>55</v>
      </c>
      <c r="L1577" s="35" t="str">
        <f>IFERROR(_xlfn.XLOOKUP(Table6[[#This Row],[Error Code]],'Basic Data'!$AA:$AA,'Basic Data'!$AB:$AB),"Incorrect Error Code")</f>
        <v>WTG shut down</v>
      </c>
      <c r="M1577" s="35" t="s">
        <v>266</v>
      </c>
      <c r="N1577" s="264"/>
      <c r="O1577" s="265">
        <v>0.65833333333333333</v>
      </c>
      <c r="P1577" s="265">
        <v>0.65833333333333333</v>
      </c>
      <c r="Q1577" s="266">
        <v>0.70208333333333328</v>
      </c>
      <c r="R1577" s="261">
        <f>IF(Table6[[#This Row],[Work Start TimeStamp]]="","",(Table6[[#This Row],[Work Start TimeStamp]]-Table6[[#This Row],[Fault Start TimeStamp]])*24)</f>
        <v>0</v>
      </c>
      <c r="S1577" s="261">
        <f>(Table6[[#This Row],[Fault Clearance time]]-Table6[[#This Row],[Work Start TimeStamp]])*24</f>
        <v>1.0499999999999989</v>
      </c>
      <c r="T1577" s="261">
        <f>(Table6[[#This Row],[Fault Clearance time]]-Table6[[#This Row],[Fault Start TimeStamp]])*24</f>
        <v>1.0499999999999989</v>
      </c>
      <c r="U1577" s="35" t="s">
        <v>616</v>
      </c>
      <c r="V1577" s="102" t="s">
        <v>268</v>
      </c>
      <c r="W1577" s="290">
        <f>IFERROR(Table6[[#This Row],[Breakdown Time]]*Table6[[#This Row],[Plant Equivalent Weightage]],"")</f>
        <v>4.0384615384615331E-2</v>
      </c>
      <c r="X1577" s="262" t="s">
        <v>296</v>
      </c>
      <c r="Y1577" s="263" t="s">
        <v>124</v>
      </c>
      <c r="Z1577" s="102">
        <v>25937</v>
      </c>
      <c r="AA1577" s="257">
        <f>(Table6[[#This Row],[Paired WTG Generation for loss calculation]]/24)*Table6[[#This Row],[Breakdown Time]]</f>
        <v>1134.7437499999987</v>
      </c>
      <c r="AB1577" s="102"/>
      <c r="AC1577" s="35"/>
      <c r="AD1577" s="35"/>
    </row>
    <row r="1578" spans="1:30">
      <c r="A1578" s="102">
        <f t="shared" si="25"/>
        <v>1577</v>
      </c>
      <c r="B1578" s="257">
        <f>YEAR(Table6[[#This Row],[Date]])+IF(MONTH(Table6[[#This Row],[Date]])&gt;=4,1,0)</f>
        <v>2026</v>
      </c>
      <c r="C1578" s="102">
        <f>YEAR(Table6[[#This Row],[Date]])</f>
        <v>2025</v>
      </c>
      <c r="D1578" s="102" t="s">
        <v>265</v>
      </c>
      <c r="E1578" s="258">
        <f>Table6[[#This Row],[Date]]-DAY(Table6[[#This Row],[Date]])+1</f>
        <v>45839</v>
      </c>
      <c r="F1578" s="259">
        <v>45857</v>
      </c>
      <c r="G1578" s="35" t="s">
        <v>130</v>
      </c>
      <c r="H1578" s="35" t="str">
        <f>IFERROR(_xlfn.XLOOKUP(Table6[[#This Row],[Affected WTG]],'Basic Data'!$A:$A,'Basic Data'!$B:$B),"")</f>
        <v>TQGXIIPL</v>
      </c>
      <c r="I1578" s="35" t="str">
        <f>IFERROR(_xlfn.XLOOKUP(Table6[[#This Row],[Affected WTG]],'Basic Data'!$A:$A,'Basic Data'!$C:$C),"")</f>
        <v>GEDA</v>
      </c>
      <c r="J1578" s="260">
        <f>IFERROR(_xlfn.XLOOKUP(Table6[[#This Row],[Affected WTG]],'Basic Data'!$A:$A,'Basic Data'!$E:$E),"")</f>
        <v>3.846153846153845E-2</v>
      </c>
      <c r="K1578" s="102">
        <v>55</v>
      </c>
      <c r="L1578" s="35" t="str">
        <f>IFERROR(_xlfn.XLOOKUP(Table6[[#This Row],[Error Code]],'Basic Data'!$AA:$AA,'Basic Data'!$AB:$AB),"Incorrect Error Code")</f>
        <v>WTG shut down</v>
      </c>
      <c r="M1578" s="35" t="s">
        <v>266</v>
      </c>
      <c r="N1578" s="264"/>
      <c r="O1578" s="265">
        <v>0.49166666666666664</v>
      </c>
      <c r="P1578" s="265">
        <v>0.49166666666666664</v>
      </c>
      <c r="Q1578" s="266">
        <v>0.52777777777777779</v>
      </c>
      <c r="R1578" s="261">
        <f>IF(Table6[[#This Row],[Work Start TimeStamp]]="","",(Table6[[#This Row],[Work Start TimeStamp]]-Table6[[#This Row],[Fault Start TimeStamp]])*24)</f>
        <v>0</v>
      </c>
      <c r="S1578" s="261">
        <f>(Table6[[#This Row],[Fault Clearance time]]-Table6[[#This Row],[Work Start TimeStamp]])*24</f>
        <v>0.86666666666666758</v>
      </c>
      <c r="T1578" s="261">
        <f>(Table6[[#This Row],[Fault Clearance time]]-Table6[[#This Row],[Fault Start TimeStamp]])*24</f>
        <v>0.86666666666666758</v>
      </c>
      <c r="U1578" s="35" t="s">
        <v>616</v>
      </c>
      <c r="V1578" s="102" t="s">
        <v>268</v>
      </c>
      <c r="W1578" s="290">
        <f>IFERROR(Table6[[#This Row],[Breakdown Time]]*Table6[[#This Row],[Plant Equivalent Weightage]],"")</f>
        <v>3.3333333333333361E-2</v>
      </c>
      <c r="X1578" s="262" t="s">
        <v>296</v>
      </c>
      <c r="Y1578" s="263" t="s">
        <v>135</v>
      </c>
      <c r="Z1578" s="102">
        <v>30391</v>
      </c>
      <c r="AA1578" s="257">
        <f>(Table6[[#This Row],[Paired WTG Generation for loss calculation]]/24)*Table6[[#This Row],[Breakdown Time]]</f>
        <v>1097.4527777777789</v>
      </c>
      <c r="AB1578" s="102"/>
      <c r="AC1578" s="35"/>
      <c r="AD1578" s="35"/>
    </row>
    <row r="1579" spans="1:30">
      <c r="A1579" s="102">
        <f t="shared" si="25"/>
        <v>1578</v>
      </c>
      <c r="B1579" s="257">
        <f>YEAR(Table6[[#This Row],[Date]])+IF(MONTH(Table6[[#This Row],[Date]])&gt;=4,1,0)</f>
        <v>2026</v>
      </c>
      <c r="C1579" s="102">
        <f>YEAR(Table6[[#This Row],[Date]])</f>
        <v>2025</v>
      </c>
      <c r="D1579" s="102" t="s">
        <v>265</v>
      </c>
      <c r="E1579" s="258">
        <f>Table6[[#This Row],[Date]]-DAY(Table6[[#This Row],[Date]])+1</f>
        <v>45839</v>
      </c>
      <c r="F1579" s="259">
        <v>45858</v>
      </c>
      <c r="G1579" s="35" t="s">
        <v>115</v>
      </c>
      <c r="H1579" s="35" t="str">
        <f>IFERROR(_xlfn.XLOOKUP(Table6[[#This Row],[Affected WTG]],'Basic Data'!$A:$A,'Basic Data'!$B:$B),"")</f>
        <v>TQGXIIPL</v>
      </c>
      <c r="I1579" s="35" t="str">
        <f>IFERROR(_xlfn.XLOOKUP(Table6[[#This Row],[Affected WTG]],'Basic Data'!$A:$A,'Basic Data'!$C:$C),"")</f>
        <v>GEDA</v>
      </c>
      <c r="J1579" s="260">
        <f>IFERROR(_xlfn.XLOOKUP(Table6[[#This Row],[Affected WTG]],'Basic Data'!$A:$A,'Basic Data'!$E:$E),"")</f>
        <v>3.846153846153845E-2</v>
      </c>
      <c r="K1579" s="102">
        <v>175</v>
      </c>
      <c r="L1579" s="35" t="str">
        <f>IFERROR(_xlfn.XLOOKUP(Table6[[#This Row],[Error Code]],'Basic Data'!$AA:$AA,'Basic Data'!$AB:$AB),"Incorrect Error Code")</f>
        <v>SLC error</v>
      </c>
      <c r="M1579" s="35" t="s">
        <v>266</v>
      </c>
      <c r="N1579" s="264"/>
      <c r="O1579" s="265">
        <v>0.37291666666666667</v>
      </c>
      <c r="P1579" s="265">
        <v>0.37291666666666667</v>
      </c>
      <c r="Q1579" s="266">
        <v>0.37430555555555556</v>
      </c>
      <c r="R1579" s="261">
        <f>IF(Table6[[#This Row],[Work Start TimeStamp]]="","",(Table6[[#This Row],[Work Start TimeStamp]]-Table6[[#This Row],[Fault Start TimeStamp]])*24)</f>
        <v>0</v>
      </c>
      <c r="S1579" s="261">
        <f>(Table6[[#This Row],[Fault Clearance time]]-Table6[[#This Row],[Work Start TimeStamp]])*24</f>
        <v>3.3333333333333215E-2</v>
      </c>
      <c r="T1579" s="261">
        <f>(Table6[[#This Row],[Fault Clearance time]]-Table6[[#This Row],[Fault Start TimeStamp]])*24</f>
        <v>3.3333333333333215E-2</v>
      </c>
      <c r="U1579" s="35" t="s">
        <v>483</v>
      </c>
      <c r="V1579" s="102" t="s">
        <v>268</v>
      </c>
      <c r="W1579" s="290">
        <f>IFERROR(Table6[[#This Row],[Breakdown Time]]*Table6[[#This Row],[Plant Equivalent Weightage]],"")</f>
        <v>1.2820512820512771E-3</v>
      </c>
      <c r="X1579" s="262" t="s">
        <v>269</v>
      </c>
      <c r="Y1579" s="263" t="s">
        <v>140</v>
      </c>
      <c r="Z1579" s="102">
        <v>18765</v>
      </c>
      <c r="AA1579" s="257">
        <f>(Table6[[#This Row],[Paired WTG Generation for loss calculation]]/24)*Table6[[#This Row],[Breakdown Time]]</f>
        <v>26.062499999999908</v>
      </c>
      <c r="AB1579" s="102"/>
      <c r="AC1579" s="35"/>
      <c r="AD1579" s="35"/>
    </row>
    <row r="1580" spans="1:30">
      <c r="A1580" s="102">
        <f t="shared" si="25"/>
        <v>1579</v>
      </c>
      <c r="B1580" s="257">
        <f>YEAR(Table6[[#This Row],[Date]])+IF(MONTH(Table6[[#This Row],[Date]])&gt;=4,1,0)</f>
        <v>2026</v>
      </c>
      <c r="C1580" s="102">
        <f>YEAR(Table6[[#This Row],[Date]])</f>
        <v>2025</v>
      </c>
      <c r="D1580" s="102" t="s">
        <v>265</v>
      </c>
      <c r="E1580" s="258">
        <f>Table6[[#This Row],[Date]]-DAY(Table6[[#This Row],[Date]])+1</f>
        <v>45839</v>
      </c>
      <c r="F1580" s="259">
        <v>45858</v>
      </c>
      <c r="G1580" s="35" t="s">
        <v>116</v>
      </c>
      <c r="H1580" s="35" t="str">
        <f>IFERROR(_xlfn.XLOOKUP(Table6[[#This Row],[Affected WTG]],'Basic Data'!$A:$A,'Basic Data'!$B:$B),"")</f>
        <v>TQGXIIPL</v>
      </c>
      <c r="I1580" s="35" t="str">
        <f>IFERROR(_xlfn.XLOOKUP(Table6[[#This Row],[Affected WTG]],'Basic Data'!$A:$A,'Basic Data'!$C:$C),"")</f>
        <v>GEDA</v>
      </c>
      <c r="J1580" s="260">
        <f>IFERROR(_xlfn.XLOOKUP(Table6[[#This Row],[Affected WTG]],'Basic Data'!$A:$A,'Basic Data'!$E:$E),"")</f>
        <v>3.846153846153845E-2</v>
      </c>
      <c r="K1580" s="102">
        <v>175</v>
      </c>
      <c r="L1580" s="35" t="str">
        <f>IFERROR(_xlfn.XLOOKUP(Table6[[#This Row],[Error Code]],'Basic Data'!$AA:$AA,'Basic Data'!$AB:$AB),"Incorrect Error Code")</f>
        <v>SLC error</v>
      </c>
      <c r="M1580" s="35" t="s">
        <v>266</v>
      </c>
      <c r="N1580" s="264"/>
      <c r="O1580" s="265">
        <v>0.3923611111111111</v>
      </c>
      <c r="P1580" s="265">
        <v>0.3923611111111111</v>
      </c>
      <c r="Q1580" s="266">
        <v>0.39374999999999999</v>
      </c>
      <c r="R1580" s="261">
        <f>IF(Table6[[#This Row],[Work Start TimeStamp]]="","",(Table6[[#This Row],[Work Start TimeStamp]]-Table6[[#This Row],[Fault Start TimeStamp]])*24)</f>
        <v>0</v>
      </c>
      <c r="S1580" s="261">
        <f>(Table6[[#This Row],[Fault Clearance time]]-Table6[[#This Row],[Work Start TimeStamp]])*24</f>
        <v>3.3333333333333215E-2</v>
      </c>
      <c r="T1580" s="261">
        <f>(Table6[[#This Row],[Fault Clearance time]]-Table6[[#This Row],[Fault Start TimeStamp]])*24</f>
        <v>3.3333333333333215E-2</v>
      </c>
      <c r="U1580" s="35" t="s">
        <v>483</v>
      </c>
      <c r="V1580" s="102" t="s">
        <v>268</v>
      </c>
      <c r="W1580" s="290">
        <f>IFERROR(Table6[[#This Row],[Breakdown Time]]*Table6[[#This Row],[Plant Equivalent Weightage]],"")</f>
        <v>1.2820512820512771E-3</v>
      </c>
      <c r="X1580" s="262" t="s">
        <v>269</v>
      </c>
      <c r="Y1580" s="263" t="s">
        <v>119</v>
      </c>
      <c r="Z1580" s="102">
        <v>19843</v>
      </c>
      <c r="AA1580" s="257">
        <f>(Table6[[#This Row],[Paired WTG Generation for loss calculation]]/24)*Table6[[#This Row],[Breakdown Time]]</f>
        <v>27.559722222222124</v>
      </c>
      <c r="AB1580" s="102"/>
      <c r="AC1580" s="35"/>
      <c r="AD1580" s="35"/>
    </row>
    <row r="1581" spans="1:30">
      <c r="A1581" s="102">
        <f t="shared" si="25"/>
        <v>1580</v>
      </c>
      <c r="B1581" s="257">
        <f>YEAR(Table6[[#This Row],[Date]])+IF(MONTH(Table6[[#This Row],[Date]])&gt;=4,1,0)</f>
        <v>2026</v>
      </c>
      <c r="C1581" s="102">
        <f>YEAR(Table6[[#This Row],[Date]])</f>
        <v>2025</v>
      </c>
      <c r="D1581" s="102" t="s">
        <v>265</v>
      </c>
      <c r="E1581" s="258">
        <f>Table6[[#This Row],[Date]]-DAY(Table6[[#This Row],[Date]])+1</f>
        <v>45839</v>
      </c>
      <c r="F1581" s="259">
        <v>45858</v>
      </c>
      <c r="G1581" s="35" t="s">
        <v>119</v>
      </c>
      <c r="H1581" s="35" t="str">
        <f>IFERROR(_xlfn.XLOOKUP(Table6[[#This Row],[Affected WTG]],'Basic Data'!$A:$A,'Basic Data'!$B:$B),"")</f>
        <v>TQGXIIPL</v>
      </c>
      <c r="I1581" s="35" t="str">
        <f>IFERROR(_xlfn.XLOOKUP(Table6[[#This Row],[Affected WTG]],'Basic Data'!$A:$A,'Basic Data'!$C:$C),"")</f>
        <v>GEDA</v>
      </c>
      <c r="J1581" s="260">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266</v>
      </c>
      <c r="N1581" s="264"/>
      <c r="O1581" s="265">
        <v>0.18819444444444444</v>
      </c>
      <c r="P1581" s="265">
        <v>0.18819444444444444</v>
      </c>
      <c r="Q1581" s="266">
        <v>0.19027777777777777</v>
      </c>
      <c r="R1581" s="261">
        <f>IF(Table6[[#This Row],[Work Start TimeStamp]]="","",(Table6[[#This Row],[Work Start TimeStamp]]-Table6[[#This Row],[Fault Start TimeStamp]])*24)</f>
        <v>0</v>
      </c>
      <c r="S1581" s="261">
        <f>(Table6[[#This Row],[Fault Clearance time]]-Table6[[#This Row],[Work Start TimeStamp]])*24</f>
        <v>4.9999999999999822E-2</v>
      </c>
      <c r="T1581" s="261">
        <f>(Table6[[#This Row],[Fault Clearance time]]-Table6[[#This Row],[Fault Start TimeStamp]])*24</f>
        <v>4.9999999999999822E-2</v>
      </c>
      <c r="U1581" s="35" t="s">
        <v>483</v>
      </c>
      <c r="V1581" s="102" t="s">
        <v>268</v>
      </c>
      <c r="W1581" s="290">
        <f>IFERROR(Table6[[#This Row],[Breakdown Time]]*Table6[[#This Row],[Plant Equivalent Weightage]],"")</f>
        <v>1.9230769230769156E-3</v>
      </c>
      <c r="X1581" s="262" t="s">
        <v>269</v>
      </c>
      <c r="Y1581" s="263" t="s">
        <v>116</v>
      </c>
      <c r="Z1581" s="102">
        <v>21388</v>
      </c>
      <c r="AA1581" s="257">
        <f>(Table6[[#This Row],[Paired WTG Generation for loss calculation]]/24)*Table6[[#This Row],[Breakdown Time]]</f>
        <v>44.558333333333174</v>
      </c>
      <c r="AB1581" s="102"/>
      <c r="AC1581" s="35"/>
      <c r="AD1581" s="35"/>
    </row>
    <row r="1582" spans="1:30">
      <c r="A1582" s="102">
        <f t="shared" si="25"/>
        <v>1581</v>
      </c>
      <c r="B1582" s="257">
        <f>YEAR(Table6[[#This Row],[Date]])+IF(MONTH(Table6[[#This Row],[Date]])&gt;=4,1,0)</f>
        <v>2026</v>
      </c>
      <c r="C1582" s="102">
        <f>YEAR(Table6[[#This Row],[Date]])</f>
        <v>2025</v>
      </c>
      <c r="D1582" s="102" t="s">
        <v>265</v>
      </c>
      <c r="E1582" s="258">
        <f>Table6[[#This Row],[Date]]-DAY(Table6[[#This Row],[Date]])+1</f>
        <v>45839</v>
      </c>
      <c r="F1582" s="259">
        <v>45858</v>
      </c>
      <c r="G1582" s="35" t="s">
        <v>119</v>
      </c>
      <c r="H1582" s="35" t="str">
        <f>IFERROR(_xlfn.XLOOKUP(Table6[[#This Row],[Affected WTG]],'Basic Data'!$A:$A,'Basic Data'!$B:$B),"")</f>
        <v>TQGXIIPL</v>
      </c>
      <c r="I1582" s="35" t="str">
        <f>IFERROR(_xlfn.XLOOKUP(Table6[[#This Row],[Affected WTG]],'Basic Data'!$A:$A,'Basic Data'!$C:$C),"")</f>
        <v>GEDA</v>
      </c>
      <c r="J1582" s="260">
        <f>IFERROR(_xlfn.XLOOKUP(Table6[[#This Row],[Affected WTG]],'Basic Data'!$A:$A,'Basic Data'!$E:$E),"")</f>
        <v>3.846153846153845E-2</v>
      </c>
      <c r="K1582" s="102">
        <v>6130</v>
      </c>
      <c r="L1582" s="35" t="str">
        <f>IFERROR(_xlfn.XLOOKUP(Table6[[#This Row],[Error Code]],'Basic Data'!$AA:$AA,'Basic Data'!$AB:$AB),"Incorrect Error Code")</f>
        <v>Yaw speed high</v>
      </c>
      <c r="M1582" s="35" t="s">
        <v>266</v>
      </c>
      <c r="N1582" s="264"/>
      <c r="O1582" s="265">
        <v>0.78888888888888886</v>
      </c>
      <c r="P1582" s="265">
        <v>0.78888888888888886</v>
      </c>
      <c r="Q1582" s="266">
        <v>0.79097222222222219</v>
      </c>
      <c r="R1582" s="261">
        <f>IF(Table6[[#This Row],[Work Start TimeStamp]]="","",(Table6[[#This Row],[Work Start TimeStamp]]-Table6[[#This Row],[Fault Start TimeStamp]])*24)</f>
        <v>0</v>
      </c>
      <c r="S1582" s="261">
        <f>(Table6[[#This Row],[Fault Clearance time]]-Table6[[#This Row],[Work Start TimeStamp]])*24</f>
        <v>4.9999999999999822E-2</v>
      </c>
      <c r="T1582" s="261">
        <f>(Table6[[#This Row],[Fault Clearance time]]-Table6[[#This Row],[Fault Start TimeStamp]])*24</f>
        <v>4.9999999999999822E-2</v>
      </c>
      <c r="U1582" s="35" t="s">
        <v>483</v>
      </c>
      <c r="V1582" s="102" t="s">
        <v>268</v>
      </c>
      <c r="W1582" s="290">
        <f>IFERROR(Table6[[#This Row],[Breakdown Time]]*Table6[[#This Row],[Plant Equivalent Weightage]],"")</f>
        <v>1.9230769230769156E-3</v>
      </c>
      <c r="X1582" s="262" t="s">
        <v>269</v>
      </c>
      <c r="Y1582" s="263" t="s">
        <v>116</v>
      </c>
      <c r="Z1582" s="102">
        <v>21388</v>
      </c>
      <c r="AA1582" s="257">
        <f>(Table6[[#This Row],[Paired WTG Generation for loss calculation]]/24)*Table6[[#This Row],[Breakdown Time]]</f>
        <v>44.558333333333174</v>
      </c>
      <c r="AB1582" s="102"/>
      <c r="AC1582" s="35"/>
      <c r="AD1582" s="35"/>
    </row>
    <row r="1583" spans="1:30">
      <c r="A1583" s="102">
        <f t="shared" si="25"/>
        <v>1582</v>
      </c>
      <c r="B1583" s="257">
        <f>YEAR(Table6[[#This Row],[Date]])+IF(MONTH(Table6[[#This Row],[Date]])&gt;=4,1,0)</f>
        <v>2026</v>
      </c>
      <c r="C1583" s="102">
        <f>YEAR(Table6[[#This Row],[Date]])</f>
        <v>2025</v>
      </c>
      <c r="D1583" s="102" t="s">
        <v>265</v>
      </c>
      <c r="E1583" s="258">
        <f>Table6[[#This Row],[Date]]-DAY(Table6[[#This Row],[Date]])+1</f>
        <v>45839</v>
      </c>
      <c r="F1583" s="259">
        <v>45858</v>
      </c>
      <c r="G1583" s="35" t="s">
        <v>124</v>
      </c>
      <c r="H1583" s="35" t="str">
        <f>IFERROR(_xlfn.XLOOKUP(Table6[[#This Row],[Affected WTG]],'Basic Data'!$A:$A,'Basic Data'!$B:$B),"")</f>
        <v>TQGXIIPL</v>
      </c>
      <c r="I1583" s="35" t="str">
        <f>IFERROR(_xlfn.XLOOKUP(Table6[[#This Row],[Affected WTG]],'Basic Data'!$A:$A,'Basic Data'!$C:$C),"")</f>
        <v>GEDA</v>
      </c>
      <c r="J1583" s="260">
        <f>IFERROR(_xlfn.XLOOKUP(Table6[[#This Row],[Affected WTG]],'Basic Data'!$A:$A,'Basic Data'!$E:$E),"")</f>
        <v>3.846153846153845E-2</v>
      </c>
      <c r="K1583" s="102">
        <v>665</v>
      </c>
      <c r="L1583" s="35" t="str">
        <f>IFERROR(_xlfn.XLOOKUP(Table6[[#This Row],[Error Code]],'Basic Data'!$AA:$AA,'Basic Data'!$AB:$AB),"Incorrect Error Code")</f>
        <v>Pitch error</v>
      </c>
      <c r="M1583" s="35" t="s">
        <v>266</v>
      </c>
      <c r="N1583" s="264"/>
      <c r="O1583" s="265">
        <v>0.2722222222222222</v>
      </c>
      <c r="P1583" s="265">
        <v>0.2722222222222222</v>
      </c>
      <c r="Q1583" s="266">
        <v>0.27361111111111114</v>
      </c>
      <c r="R1583" s="261">
        <f>IF(Table6[[#This Row],[Work Start TimeStamp]]="","",(Table6[[#This Row],[Work Start TimeStamp]]-Table6[[#This Row],[Fault Start TimeStamp]])*24)</f>
        <v>0</v>
      </c>
      <c r="S1583" s="261">
        <f>(Table6[[#This Row],[Fault Clearance time]]-Table6[[#This Row],[Work Start TimeStamp]])*24</f>
        <v>3.3333333333334547E-2</v>
      </c>
      <c r="T1583" s="261">
        <f>(Table6[[#This Row],[Fault Clearance time]]-Table6[[#This Row],[Fault Start TimeStamp]])*24</f>
        <v>3.3333333333334547E-2</v>
      </c>
      <c r="U1583" s="35" t="s">
        <v>483</v>
      </c>
      <c r="V1583" s="102" t="s">
        <v>268</v>
      </c>
      <c r="W1583" s="290">
        <f>IFERROR(Table6[[#This Row],[Breakdown Time]]*Table6[[#This Row],[Plant Equivalent Weightage]],"")</f>
        <v>1.2820512820513285E-3</v>
      </c>
      <c r="X1583" s="262" t="s">
        <v>269</v>
      </c>
      <c r="Y1583" s="263" t="s">
        <v>129</v>
      </c>
      <c r="Z1583" s="102">
        <v>18975</v>
      </c>
      <c r="AA1583" s="257">
        <f>(Table6[[#This Row],[Paired WTG Generation for loss calculation]]/24)*Table6[[#This Row],[Breakdown Time]]</f>
        <v>26.354166666667627</v>
      </c>
      <c r="AB1583" s="102"/>
      <c r="AC1583" s="35"/>
      <c r="AD1583" s="35"/>
    </row>
    <row r="1584" spans="1:30">
      <c r="A1584" s="102">
        <f t="shared" si="25"/>
        <v>1583</v>
      </c>
      <c r="B1584" s="257">
        <f>YEAR(Table6[[#This Row],[Date]])+IF(MONTH(Table6[[#This Row],[Date]])&gt;=4,1,0)</f>
        <v>2026</v>
      </c>
      <c r="C1584" s="102">
        <f>YEAR(Table6[[#This Row],[Date]])</f>
        <v>2025</v>
      </c>
      <c r="D1584" s="102" t="s">
        <v>265</v>
      </c>
      <c r="E1584" s="258">
        <f>Table6[[#This Row],[Date]]-DAY(Table6[[#This Row],[Date]])+1</f>
        <v>45839</v>
      </c>
      <c r="F1584" s="259">
        <v>45858</v>
      </c>
      <c r="G1584" s="35" t="s">
        <v>128</v>
      </c>
      <c r="H1584" s="35" t="str">
        <f>IFERROR(_xlfn.XLOOKUP(Table6[[#This Row],[Affected WTG]],'Basic Data'!$A:$A,'Basic Data'!$B:$B),"")</f>
        <v>TQGXIIPL</v>
      </c>
      <c r="I1584" s="35" t="str">
        <f>IFERROR(_xlfn.XLOOKUP(Table6[[#This Row],[Affected WTG]],'Basic Data'!$A:$A,'Basic Data'!$C:$C),"")</f>
        <v>GEDA</v>
      </c>
      <c r="J1584" s="260">
        <f>IFERROR(_xlfn.XLOOKUP(Table6[[#This Row],[Affected WTG]],'Basic Data'!$A:$A,'Basic Data'!$E:$E),"")</f>
        <v>3.846153846153845E-2</v>
      </c>
      <c r="K1584" s="102">
        <v>175</v>
      </c>
      <c r="L1584" s="35" t="str">
        <f>IFERROR(_xlfn.XLOOKUP(Table6[[#This Row],[Error Code]],'Basic Data'!$AA:$AA,'Basic Data'!$AB:$AB),"Incorrect Error Code")</f>
        <v>SLC error</v>
      </c>
      <c r="M1584" s="35" t="s">
        <v>266</v>
      </c>
      <c r="N1584" s="264"/>
      <c r="O1584" s="265">
        <v>0.27152777777777776</v>
      </c>
      <c r="P1584" s="265">
        <v>0.27152777777777776</v>
      </c>
      <c r="Q1584" s="266">
        <v>0.27291666666666664</v>
      </c>
      <c r="R1584" s="261">
        <f>IF(Table6[[#This Row],[Work Start TimeStamp]]="","",(Table6[[#This Row],[Work Start TimeStamp]]-Table6[[#This Row],[Fault Start TimeStamp]])*24)</f>
        <v>0</v>
      </c>
      <c r="S1584" s="261">
        <f>(Table6[[#This Row],[Fault Clearance time]]-Table6[[#This Row],[Work Start TimeStamp]])*24</f>
        <v>3.3333333333333215E-2</v>
      </c>
      <c r="T1584" s="261">
        <f>(Table6[[#This Row],[Fault Clearance time]]-Table6[[#This Row],[Fault Start TimeStamp]])*24</f>
        <v>3.3333333333333215E-2</v>
      </c>
      <c r="U1584" s="35" t="s">
        <v>483</v>
      </c>
      <c r="V1584" s="102" t="s">
        <v>268</v>
      </c>
      <c r="W1584" s="290">
        <f>IFERROR(Table6[[#This Row],[Breakdown Time]]*Table6[[#This Row],[Plant Equivalent Weightage]],"")</f>
        <v>1.2820512820512771E-3</v>
      </c>
      <c r="X1584" s="262" t="s">
        <v>269</v>
      </c>
      <c r="Y1584" s="263" t="s">
        <v>126</v>
      </c>
      <c r="Z1584" s="102">
        <v>18654</v>
      </c>
      <c r="AA1584" s="257">
        <f>(Table6[[#This Row],[Paired WTG Generation for loss calculation]]/24)*Table6[[#This Row],[Breakdown Time]]</f>
        <v>25.908333333333243</v>
      </c>
      <c r="AB1584" s="102"/>
      <c r="AC1584" s="35"/>
      <c r="AD1584" s="35"/>
    </row>
    <row r="1585" spans="1:30">
      <c r="A1585" s="102">
        <f t="shared" si="25"/>
        <v>1584</v>
      </c>
      <c r="B1585" s="257">
        <f>YEAR(Table6[[#This Row],[Date]])+IF(MONTH(Table6[[#This Row],[Date]])&gt;=4,1,0)</f>
        <v>2026</v>
      </c>
      <c r="C1585" s="102">
        <f>YEAR(Table6[[#This Row],[Date]])</f>
        <v>2025</v>
      </c>
      <c r="D1585" s="102" t="s">
        <v>265</v>
      </c>
      <c r="E1585" s="258">
        <f>Table6[[#This Row],[Date]]-DAY(Table6[[#This Row],[Date]])+1</f>
        <v>45839</v>
      </c>
      <c r="F1585" s="259">
        <v>45858</v>
      </c>
      <c r="G1585" s="35" t="s">
        <v>132</v>
      </c>
      <c r="H1585" s="35" t="str">
        <f>IFERROR(_xlfn.XLOOKUP(Table6[[#This Row],[Affected WTG]],'Basic Data'!$A:$A,'Basic Data'!$B:$B),"")</f>
        <v>TQGXIIPL</v>
      </c>
      <c r="I1585" s="35" t="str">
        <f>IFERROR(_xlfn.XLOOKUP(Table6[[#This Row],[Affected WTG]],'Basic Data'!$A:$A,'Basic Data'!$C:$C),"")</f>
        <v>GEDA</v>
      </c>
      <c r="J1585" s="260">
        <f>IFERROR(_xlfn.XLOOKUP(Table6[[#This Row],[Affected WTG]],'Basic Data'!$A:$A,'Basic Data'!$E:$E),"")</f>
        <v>3.846153846153845E-2</v>
      </c>
      <c r="K1585" s="102">
        <v>55</v>
      </c>
      <c r="L1585" s="35" t="str">
        <f>IFERROR(_xlfn.XLOOKUP(Table6[[#This Row],[Error Code]],'Basic Data'!$AA:$AA,'Basic Data'!$AB:$AB),"Incorrect Error Code")</f>
        <v>WTG shut down</v>
      </c>
      <c r="M1585" s="35" t="s">
        <v>504</v>
      </c>
      <c r="N1585" s="264"/>
      <c r="O1585" s="265">
        <v>0.68055555555555558</v>
      </c>
      <c r="P1585" s="265">
        <v>0.68055555555555558</v>
      </c>
      <c r="Q1585" s="266">
        <v>0.75</v>
      </c>
      <c r="R1585" s="261">
        <f>IF(Table6[[#This Row],[Work Start TimeStamp]]="","",(Table6[[#This Row],[Work Start TimeStamp]]-Table6[[#This Row],[Fault Start TimeStamp]])*24)</f>
        <v>0</v>
      </c>
      <c r="S1585" s="261">
        <f>(Table6[[#This Row],[Fault Clearance time]]-Table6[[#This Row],[Work Start TimeStamp]])*24</f>
        <v>1.6666666666666661</v>
      </c>
      <c r="T1585" s="261">
        <f>(Table6[[#This Row],[Fault Clearance time]]-Table6[[#This Row],[Fault Start TimeStamp]])*24</f>
        <v>1.6666666666666661</v>
      </c>
      <c r="U1585" s="35" t="s">
        <v>590</v>
      </c>
      <c r="V1585" s="102" t="s">
        <v>268</v>
      </c>
      <c r="W1585" s="290">
        <f>IFERROR(Table6[[#This Row],[Breakdown Time]]*Table6[[#This Row],[Plant Equivalent Weightage]],"")</f>
        <v>6.4102564102564055E-2</v>
      </c>
      <c r="X1585" s="262" t="s">
        <v>296</v>
      </c>
      <c r="Y1585" s="263" t="s">
        <v>120</v>
      </c>
      <c r="Z1585" s="102">
        <v>18615</v>
      </c>
      <c r="AA1585" s="257">
        <f>(Table6[[#This Row],[Paired WTG Generation for loss calculation]]/24)*Table6[[#This Row],[Breakdown Time]]</f>
        <v>1292.7083333333328</v>
      </c>
      <c r="AB1585" s="102"/>
      <c r="AC1585" s="35"/>
      <c r="AD1585" s="35"/>
    </row>
    <row r="1586" spans="1:30">
      <c r="A1586" s="102">
        <f t="shared" si="25"/>
        <v>1585</v>
      </c>
      <c r="B1586" s="257">
        <f>YEAR(Table6[[#This Row],[Date]])+IF(MONTH(Table6[[#This Row],[Date]])&gt;=4,1,0)</f>
        <v>2026</v>
      </c>
      <c r="C1586" s="102">
        <f>YEAR(Table6[[#This Row],[Date]])</f>
        <v>2025</v>
      </c>
      <c r="D1586" s="102" t="s">
        <v>265</v>
      </c>
      <c r="E1586" s="258">
        <f>Table6[[#This Row],[Date]]-DAY(Table6[[#This Row],[Date]])+1</f>
        <v>45839</v>
      </c>
      <c r="F1586" s="259">
        <v>45858</v>
      </c>
      <c r="G1586" s="35" t="s">
        <v>137</v>
      </c>
      <c r="H1586" s="35" t="str">
        <f>IFERROR(_xlfn.XLOOKUP(Table6[[#This Row],[Affected WTG]],'Basic Data'!$A:$A,'Basic Data'!$B:$B),"")</f>
        <v>TQGXIIPL</v>
      </c>
      <c r="I1586" s="35" t="str">
        <f>IFERROR(_xlfn.XLOOKUP(Table6[[#This Row],[Affected WTG]],'Basic Data'!$A:$A,'Basic Data'!$C:$C),"")</f>
        <v>GEDA</v>
      </c>
      <c r="J1586" s="260">
        <f>IFERROR(_xlfn.XLOOKUP(Table6[[#This Row],[Affected WTG]],'Basic Data'!$A:$A,'Basic Data'!$E:$E),"")</f>
        <v>3.846153846153845E-2</v>
      </c>
      <c r="K1586" s="102">
        <v>7002</v>
      </c>
      <c r="L1586" s="35" t="str">
        <f>IFERROR(_xlfn.XLOOKUP(Table6[[#This Row],[Error Code]],'Basic Data'!$AA:$AA,'Basic Data'!$AB:$AB),"Incorrect Error Code")</f>
        <v>Task runtime failure 5ms</v>
      </c>
      <c r="M1586" s="35" t="s">
        <v>266</v>
      </c>
      <c r="N1586" s="264"/>
      <c r="O1586" s="265">
        <v>0.41666666666666669</v>
      </c>
      <c r="P1586" s="265">
        <v>0.41666666666666669</v>
      </c>
      <c r="Q1586" s="266">
        <v>0.42430555555555555</v>
      </c>
      <c r="R1586" s="261">
        <f>IF(Table6[[#This Row],[Work Start TimeStamp]]="","",(Table6[[#This Row],[Work Start TimeStamp]]-Table6[[#This Row],[Fault Start TimeStamp]])*24)</f>
        <v>0</v>
      </c>
      <c r="S1586" s="261">
        <f>(Table6[[#This Row],[Fault Clearance time]]-Table6[[#This Row],[Work Start TimeStamp]])*24</f>
        <v>0.18333333333333268</v>
      </c>
      <c r="T1586" s="261">
        <f>(Table6[[#This Row],[Fault Clearance time]]-Table6[[#This Row],[Fault Start TimeStamp]])*24</f>
        <v>0.18333333333333268</v>
      </c>
      <c r="U1586" s="35" t="s">
        <v>483</v>
      </c>
      <c r="V1586" s="102" t="s">
        <v>268</v>
      </c>
      <c r="W1586" s="290">
        <f>IFERROR(Table6[[#This Row],[Breakdown Time]]*Table6[[#This Row],[Plant Equivalent Weightage]],"")</f>
        <v>7.0512820512820245E-3</v>
      </c>
      <c r="X1586" s="262" t="s">
        <v>269</v>
      </c>
      <c r="Y1586" s="263" t="s">
        <v>125</v>
      </c>
      <c r="Z1586" s="102">
        <v>17396</v>
      </c>
      <c r="AA1586" s="257">
        <f>(Table6[[#This Row],[Paired WTG Generation for loss calculation]]/24)*Table6[[#This Row],[Breakdown Time]]</f>
        <v>132.88611111111064</v>
      </c>
      <c r="AB1586" s="102"/>
      <c r="AC1586" s="35"/>
      <c r="AD1586" s="35"/>
    </row>
    <row r="1587" spans="1:30">
      <c r="A1587" s="102">
        <f t="shared" si="25"/>
        <v>1586</v>
      </c>
      <c r="B1587" s="257">
        <f>YEAR(Table6[[#This Row],[Date]])+IF(MONTH(Table6[[#This Row],[Date]])&gt;=4,1,0)</f>
        <v>2026</v>
      </c>
      <c r="C1587" s="102">
        <f>YEAR(Table6[[#This Row],[Date]])</f>
        <v>2025</v>
      </c>
      <c r="D1587" s="102" t="s">
        <v>265</v>
      </c>
      <c r="E1587" s="258">
        <f>Table6[[#This Row],[Date]]-DAY(Table6[[#This Row],[Date]])+1</f>
        <v>45839</v>
      </c>
      <c r="F1587" s="259">
        <v>45858</v>
      </c>
      <c r="G1587" s="35" t="s">
        <v>138</v>
      </c>
      <c r="H1587" s="35" t="str">
        <f>IFERROR(_xlfn.XLOOKUP(Table6[[#This Row],[Affected WTG]],'Basic Data'!$A:$A,'Basic Data'!$B:$B),"")</f>
        <v>TQGXIIPL</v>
      </c>
      <c r="I1587" s="35" t="str">
        <f>IFERROR(_xlfn.XLOOKUP(Table6[[#This Row],[Affected WTG]],'Basic Data'!$A:$A,'Basic Data'!$C:$C),"")</f>
        <v>GEDA</v>
      </c>
      <c r="J1587" s="260">
        <f>IFERROR(_xlfn.XLOOKUP(Table6[[#This Row],[Affected WTG]],'Basic Data'!$A:$A,'Basic Data'!$E:$E),"")</f>
        <v>3.846153846153845E-2</v>
      </c>
      <c r="K1587" s="102">
        <v>55</v>
      </c>
      <c r="L1587" s="35" t="str">
        <f>IFERROR(_xlfn.XLOOKUP(Table6[[#This Row],[Error Code]],'Basic Data'!$AA:$AA,'Basic Data'!$AB:$AB),"Incorrect Error Code")</f>
        <v>WTG shut down</v>
      </c>
      <c r="M1587" s="35" t="s">
        <v>266</v>
      </c>
      <c r="N1587" s="264"/>
      <c r="O1587" s="265">
        <v>0.63055555555555554</v>
      </c>
      <c r="P1587" s="265">
        <v>0.63055555555555554</v>
      </c>
      <c r="Q1587" s="266">
        <v>0.6479166666666667</v>
      </c>
      <c r="R1587" s="261">
        <f>IF(Table6[[#This Row],[Work Start TimeStamp]]="","",(Table6[[#This Row],[Work Start TimeStamp]]-Table6[[#This Row],[Fault Start TimeStamp]])*24)</f>
        <v>0</v>
      </c>
      <c r="S1587" s="261">
        <f>(Table6[[#This Row],[Fault Clearance time]]-Table6[[#This Row],[Work Start TimeStamp]])*24</f>
        <v>0.41666666666666785</v>
      </c>
      <c r="T1587" s="261">
        <f>(Table6[[#This Row],[Fault Clearance time]]-Table6[[#This Row],[Fault Start TimeStamp]])*24</f>
        <v>0.41666666666666785</v>
      </c>
      <c r="U1587" s="35" t="s">
        <v>617</v>
      </c>
      <c r="V1587" s="102" t="s">
        <v>268</v>
      </c>
      <c r="W1587" s="290">
        <f>IFERROR(Table6[[#This Row],[Breakdown Time]]*Table6[[#This Row],[Plant Equivalent Weightage]],"")</f>
        <v>1.6025641025641066E-2</v>
      </c>
      <c r="X1587" s="262" t="s">
        <v>296</v>
      </c>
      <c r="Y1587" s="263" t="s">
        <v>134</v>
      </c>
      <c r="Z1587" s="102">
        <v>16967</v>
      </c>
      <c r="AA1587" s="257">
        <f>(Table6[[#This Row],[Paired WTG Generation for loss calculation]]/24)*Table6[[#This Row],[Breakdown Time]]</f>
        <v>294.56597222222308</v>
      </c>
      <c r="AB1587" s="102"/>
      <c r="AC1587" s="35"/>
      <c r="AD1587" s="35"/>
    </row>
    <row r="1588" spans="1:30">
      <c r="A1588" s="102">
        <f t="shared" si="25"/>
        <v>1587</v>
      </c>
      <c r="B1588" s="257">
        <f>YEAR(Table6[[#This Row],[Date]])+IF(MONTH(Table6[[#This Row],[Date]])&gt;=4,1,0)</f>
        <v>2026</v>
      </c>
      <c r="C1588" s="102">
        <f>YEAR(Table6[[#This Row],[Date]])</f>
        <v>2025</v>
      </c>
      <c r="D1588" s="102" t="s">
        <v>265</v>
      </c>
      <c r="E1588" s="258">
        <f>Table6[[#This Row],[Date]]-DAY(Table6[[#This Row],[Date]])+1</f>
        <v>45839</v>
      </c>
      <c r="F1588" s="259">
        <v>45858</v>
      </c>
      <c r="G1588" s="35" t="s">
        <v>140</v>
      </c>
      <c r="H1588" s="35" t="str">
        <f>IFERROR(_xlfn.XLOOKUP(Table6[[#This Row],[Affected WTG]],'Basic Data'!$A:$A,'Basic Data'!$B:$B),"")</f>
        <v>TQGXIIPL</v>
      </c>
      <c r="I1588" s="35" t="str">
        <f>IFERROR(_xlfn.XLOOKUP(Table6[[#This Row],[Affected WTG]],'Basic Data'!$A:$A,'Basic Data'!$C:$C),"")</f>
        <v>GEDA</v>
      </c>
      <c r="J1588" s="260">
        <f>IFERROR(_xlfn.XLOOKUP(Table6[[#This Row],[Affected WTG]],'Basic Data'!$A:$A,'Basic Data'!$E:$E),"")</f>
        <v>3.846153846153845E-2</v>
      </c>
      <c r="K1588" s="102">
        <v>6130</v>
      </c>
      <c r="L1588" s="35" t="str">
        <f>IFERROR(_xlfn.XLOOKUP(Table6[[#This Row],[Error Code]],'Basic Data'!$AA:$AA,'Basic Data'!$AB:$AB),"Incorrect Error Code")</f>
        <v>Yaw speed high</v>
      </c>
      <c r="M1588" s="35" t="s">
        <v>266</v>
      </c>
      <c r="N1588" s="264"/>
      <c r="O1588" s="265">
        <v>0.6381944444444444</v>
      </c>
      <c r="P1588" s="265">
        <v>0.6381944444444444</v>
      </c>
      <c r="Q1588" s="266">
        <v>0.64097222222222228</v>
      </c>
      <c r="R1588" s="261">
        <f>IF(Table6[[#This Row],[Work Start TimeStamp]]="","",(Table6[[#This Row],[Work Start TimeStamp]]-Table6[[#This Row],[Fault Start TimeStamp]])*24)</f>
        <v>0</v>
      </c>
      <c r="S1588" s="261">
        <f>(Table6[[#This Row],[Fault Clearance time]]-Table6[[#This Row],[Work Start TimeStamp]])*24</f>
        <v>6.6666666666669094E-2</v>
      </c>
      <c r="T1588" s="261">
        <f>(Table6[[#This Row],[Fault Clearance time]]-Table6[[#This Row],[Fault Start TimeStamp]])*24</f>
        <v>6.6666666666669094E-2</v>
      </c>
      <c r="U1588" s="35" t="s">
        <v>483</v>
      </c>
      <c r="V1588" s="102" t="s">
        <v>268</v>
      </c>
      <c r="W1588" s="290">
        <f>IFERROR(Table6[[#This Row],[Breakdown Time]]*Table6[[#This Row],[Plant Equivalent Weightage]],"")</f>
        <v>2.5641025641026569E-3</v>
      </c>
      <c r="X1588" s="262" t="s">
        <v>269</v>
      </c>
      <c r="Y1588" s="263" t="s">
        <v>115</v>
      </c>
      <c r="Z1588" s="102">
        <v>18595</v>
      </c>
      <c r="AA1588" s="257">
        <f>(Table6[[#This Row],[Paired WTG Generation for loss calculation]]/24)*Table6[[#This Row],[Breakdown Time]]</f>
        <v>51.652777777779654</v>
      </c>
      <c r="AB1588" s="102"/>
      <c r="AC1588" s="35"/>
      <c r="AD1588" s="35"/>
    </row>
    <row r="1589" spans="1:30">
      <c r="A1589" s="102">
        <f t="shared" si="25"/>
        <v>1588</v>
      </c>
      <c r="B1589" s="257">
        <f>YEAR(Table6[[#This Row],[Date]])+IF(MONTH(Table6[[#This Row],[Date]])&gt;=4,1,0)</f>
        <v>2026</v>
      </c>
      <c r="C1589" s="102">
        <f>YEAR(Table6[[#This Row],[Date]])</f>
        <v>2025</v>
      </c>
      <c r="D1589" s="102" t="s">
        <v>265</v>
      </c>
      <c r="E1589" s="258">
        <f>Table6[[#This Row],[Date]]-DAY(Table6[[#This Row],[Date]])+1</f>
        <v>45839</v>
      </c>
      <c r="F1589" s="259">
        <v>45859</v>
      </c>
      <c r="G1589" s="35" t="s">
        <v>116</v>
      </c>
      <c r="H1589" s="35" t="str">
        <f>IFERROR(_xlfn.XLOOKUP(Table6[[#This Row],[Affected WTG]],'Basic Data'!$A:$A,'Basic Data'!$B:$B),"")</f>
        <v>TQGXIIPL</v>
      </c>
      <c r="I1589" s="35" t="str">
        <f>IFERROR(_xlfn.XLOOKUP(Table6[[#This Row],[Affected WTG]],'Basic Data'!$A:$A,'Basic Data'!$C:$C),"")</f>
        <v>GEDA</v>
      </c>
      <c r="J1589" s="260">
        <f>IFERROR(_xlfn.XLOOKUP(Table6[[#This Row],[Affected WTG]],'Basic Data'!$A:$A,'Basic Data'!$E:$E),"")</f>
        <v>3.846153846153845E-2</v>
      </c>
      <c r="K1589" s="102">
        <v>6605</v>
      </c>
      <c r="L1589" s="35" t="str">
        <f>IFERROR(_xlfn.XLOOKUP(Table6[[#This Row],[Error Code]],'Basic Data'!$AA:$AA,'Basic Data'!$AB:$AB),"Incorrect Error Code")</f>
        <v>Wind.dir. diff. level 2</v>
      </c>
      <c r="M1589" s="35" t="s">
        <v>266</v>
      </c>
      <c r="N1589" s="264"/>
      <c r="O1589" s="265">
        <v>0.65347222222222223</v>
      </c>
      <c r="P1589" s="265">
        <v>0.65347222222222223</v>
      </c>
      <c r="Q1589" s="266">
        <v>0.65486111111111112</v>
      </c>
      <c r="R1589" s="261">
        <f>IF(Table6[[#This Row],[Work Start TimeStamp]]="","",(Table6[[#This Row],[Work Start TimeStamp]]-Table6[[#This Row],[Fault Start TimeStamp]])*24)</f>
        <v>0</v>
      </c>
      <c r="S1589" s="261">
        <f>(Table6[[#This Row],[Fault Clearance time]]-Table6[[#This Row],[Work Start TimeStamp]])*24</f>
        <v>3.3333333333333215E-2</v>
      </c>
      <c r="T1589" s="261">
        <f>(Table6[[#This Row],[Fault Clearance time]]-Table6[[#This Row],[Fault Start TimeStamp]])*24</f>
        <v>3.3333333333333215E-2</v>
      </c>
      <c r="U1589" s="35" t="s">
        <v>483</v>
      </c>
      <c r="V1589" s="102" t="s">
        <v>268</v>
      </c>
      <c r="W1589" s="290">
        <f>IFERROR(Table6[[#This Row],[Breakdown Time]]*Table6[[#This Row],[Plant Equivalent Weightage]],"")</f>
        <v>1.2820512820512771E-3</v>
      </c>
      <c r="X1589" s="262" t="s">
        <v>269</v>
      </c>
      <c r="Y1589" s="263" t="s">
        <v>119</v>
      </c>
      <c r="Z1589" s="102">
        <v>12171</v>
      </c>
      <c r="AA1589" s="257">
        <f>(Table6[[#This Row],[Paired WTG Generation for loss calculation]]/24)*Table6[[#This Row],[Breakdown Time]]</f>
        <v>16.904166666666608</v>
      </c>
      <c r="AB1589" s="102"/>
      <c r="AC1589" s="35"/>
      <c r="AD1589" s="35"/>
    </row>
    <row r="1590" spans="1:30">
      <c r="A1590" s="102">
        <f t="shared" si="25"/>
        <v>1589</v>
      </c>
      <c r="B1590" s="257">
        <f>YEAR(Table6[[#This Row],[Date]])+IF(MONTH(Table6[[#This Row],[Date]])&gt;=4,1,0)</f>
        <v>2026</v>
      </c>
      <c r="C1590" s="102">
        <f>YEAR(Table6[[#This Row],[Date]])</f>
        <v>2025</v>
      </c>
      <c r="D1590" s="102" t="s">
        <v>265</v>
      </c>
      <c r="E1590" s="258">
        <f>Table6[[#This Row],[Date]]-DAY(Table6[[#This Row],[Date]])+1</f>
        <v>45839</v>
      </c>
      <c r="F1590" s="259">
        <v>45859</v>
      </c>
      <c r="G1590" s="35" t="s">
        <v>120</v>
      </c>
      <c r="H1590" s="35" t="str">
        <f>IFERROR(_xlfn.XLOOKUP(Table6[[#This Row],[Affected WTG]],'Basic Data'!$A:$A,'Basic Data'!$B:$B),"")</f>
        <v>TQGXIIPL</v>
      </c>
      <c r="I1590" s="35" t="str">
        <f>IFERROR(_xlfn.XLOOKUP(Table6[[#This Row],[Affected WTG]],'Basic Data'!$A:$A,'Basic Data'!$C:$C),"")</f>
        <v>GEDA</v>
      </c>
      <c r="J1590" s="260">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266</v>
      </c>
      <c r="N1590" s="264"/>
      <c r="O1590" s="265">
        <v>0.46805555555555556</v>
      </c>
      <c r="P1590" s="265">
        <v>0.5</v>
      </c>
      <c r="Q1590" s="266">
        <v>0.54513888888888884</v>
      </c>
      <c r="R1590" s="261">
        <f>IF(Table6[[#This Row],[Work Start TimeStamp]]="","",(Table6[[#This Row],[Work Start TimeStamp]]-Table6[[#This Row],[Fault Start TimeStamp]])*24)</f>
        <v>0.76666666666666661</v>
      </c>
      <c r="S1590" s="261">
        <f>(Table6[[#This Row],[Fault Clearance time]]-Table6[[#This Row],[Work Start TimeStamp]])*24</f>
        <v>1.0833333333333321</v>
      </c>
      <c r="T1590" s="261">
        <f>(Table6[[#This Row],[Fault Clearance time]]-Table6[[#This Row],[Fault Start TimeStamp]])*24</f>
        <v>1.8499999999999988</v>
      </c>
      <c r="U1590" s="35" t="s">
        <v>618</v>
      </c>
      <c r="V1590" s="102" t="s">
        <v>268</v>
      </c>
      <c r="W1590" s="290">
        <f>IFERROR(Table6[[#This Row],[Breakdown Time]]*Table6[[#This Row],[Plant Equivalent Weightage]],"")</f>
        <v>7.1153846153846081E-2</v>
      </c>
      <c r="X1590" s="262" t="s">
        <v>296</v>
      </c>
      <c r="Y1590" s="263" t="s">
        <v>135</v>
      </c>
      <c r="Z1590" s="102">
        <v>13352</v>
      </c>
      <c r="AA1590" s="257">
        <f>(Table6[[#This Row],[Paired WTG Generation for loss calculation]]/24)*Table6[[#This Row],[Breakdown Time]]</f>
        <v>1029.216666666666</v>
      </c>
      <c r="AB1590" s="102"/>
      <c r="AC1590" s="35"/>
      <c r="AD1590" s="35"/>
    </row>
    <row r="1591" spans="1:30">
      <c r="A1591" s="102">
        <f t="shared" si="25"/>
        <v>1590</v>
      </c>
      <c r="B1591" s="257">
        <f>YEAR(Table6[[#This Row],[Date]])+IF(MONTH(Table6[[#This Row],[Date]])&gt;=4,1,0)</f>
        <v>2026</v>
      </c>
      <c r="C1591" s="102">
        <f>YEAR(Table6[[#This Row],[Date]])</f>
        <v>2025</v>
      </c>
      <c r="D1591" s="102" t="s">
        <v>265</v>
      </c>
      <c r="E1591" s="258">
        <f>Table6[[#This Row],[Date]]-DAY(Table6[[#This Row],[Date]])+1</f>
        <v>45839</v>
      </c>
      <c r="F1591" s="259">
        <v>45859</v>
      </c>
      <c r="G1591" s="35" t="s">
        <v>123</v>
      </c>
      <c r="H1591" s="35" t="str">
        <f>IFERROR(_xlfn.XLOOKUP(Table6[[#This Row],[Affected WTG]],'Basic Data'!$A:$A,'Basic Data'!$B:$B),"")</f>
        <v>TQGXIIPL</v>
      </c>
      <c r="I1591" s="35" t="str">
        <f>IFERROR(_xlfn.XLOOKUP(Table6[[#This Row],[Affected WTG]],'Basic Data'!$A:$A,'Basic Data'!$C:$C),"")</f>
        <v>GEDA</v>
      </c>
      <c r="J1591" s="260">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266</v>
      </c>
      <c r="N1591" s="264"/>
      <c r="O1591" s="265">
        <v>0.76458333333333328</v>
      </c>
      <c r="P1591" s="265">
        <v>0.76458333333333328</v>
      </c>
      <c r="Q1591" s="266">
        <v>0.78680555555555554</v>
      </c>
      <c r="R1591" s="261">
        <f>IF(Table6[[#This Row],[Work Start TimeStamp]]="","",(Table6[[#This Row],[Work Start TimeStamp]]-Table6[[#This Row],[Fault Start TimeStamp]])*24)</f>
        <v>0</v>
      </c>
      <c r="S1591" s="261">
        <f>(Table6[[#This Row],[Fault Clearance time]]-Table6[[#This Row],[Work Start TimeStamp]])*24</f>
        <v>0.5333333333333341</v>
      </c>
      <c r="T1591" s="261">
        <f>(Table6[[#This Row],[Fault Clearance time]]-Table6[[#This Row],[Fault Start TimeStamp]])*24</f>
        <v>0.5333333333333341</v>
      </c>
      <c r="U1591" s="35" t="s">
        <v>579</v>
      </c>
      <c r="V1591" s="102" t="s">
        <v>268</v>
      </c>
      <c r="W1591" s="290">
        <f>IFERROR(Table6[[#This Row],[Breakdown Time]]*Table6[[#This Row],[Plant Equivalent Weightage]],"")</f>
        <v>2.0512820512820537E-2</v>
      </c>
      <c r="X1591" s="262" t="s">
        <v>269</v>
      </c>
      <c r="Y1591" s="263" t="s">
        <v>117</v>
      </c>
      <c r="Z1591" s="102">
        <v>10892</v>
      </c>
      <c r="AA1591" s="257">
        <f>(Table6[[#This Row],[Paired WTG Generation for loss calculation]]/24)*Table6[[#This Row],[Breakdown Time]]</f>
        <v>242.04444444444479</v>
      </c>
      <c r="AB1591" s="102"/>
      <c r="AC1591" s="35"/>
      <c r="AD1591" s="35"/>
    </row>
    <row r="1592" spans="1:30">
      <c r="A1592" s="102">
        <f t="shared" si="25"/>
        <v>1591</v>
      </c>
      <c r="B1592" s="257">
        <f>YEAR(Table6[[#This Row],[Date]])+IF(MONTH(Table6[[#This Row],[Date]])&gt;=4,1,0)</f>
        <v>2026</v>
      </c>
      <c r="C1592" s="102">
        <f>YEAR(Table6[[#This Row],[Date]])</f>
        <v>2025</v>
      </c>
      <c r="D1592" s="102" t="s">
        <v>265</v>
      </c>
      <c r="E1592" s="258">
        <f>Table6[[#This Row],[Date]]-DAY(Table6[[#This Row],[Date]])+1</f>
        <v>45839</v>
      </c>
      <c r="F1592" s="259">
        <v>45859</v>
      </c>
      <c r="G1592" s="35" t="s">
        <v>132</v>
      </c>
      <c r="H1592" s="35" t="str">
        <f>IFERROR(_xlfn.XLOOKUP(Table6[[#This Row],[Affected WTG]],'Basic Data'!$A:$A,'Basic Data'!$B:$B),"")</f>
        <v>TQGXIIPL</v>
      </c>
      <c r="I1592" s="35" t="str">
        <f>IFERROR(_xlfn.XLOOKUP(Table6[[#This Row],[Affected WTG]],'Basic Data'!$A:$A,'Basic Data'!$C:$C),"")</f>
        <v>GEDA</v>
      </c>
      <c r="J1592" s="260">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266</v>
      </c>
      <c r="N1592" s="264"/>
      <c r="O1592" s="265">
        <v>0.11527777777777778</v>
      </c>
      <c r="P1592" s="265">
        <v>0.11527777777777778</v>
      </c>
      <c r="Q1592" s="266">
        <v>0.11666666666666667</v>
      </c>
      <c r="R1592" s="261">
        <f>IF(Table6[[#This Row],[Work Start TimeStamp]]="","",(Table6[[#This Row],[Work Start TimeStamp]]-Table6[[#This Row],[Fault Start TimeStamp]])*24)</f>
        <v>0</v>
      </c>
      <c r="S1592" s="261">
        <f>(Table6[[#This Row],[Fault Clearance time]]-Table6[[#This Row],[Work Start TimeStamp]])*24</f>
        <v>3.3333333333333215E-2</v>
      </c>
      <c r="T1592" s="261">
        <f>(Table6[[#This Row],[Fault Clearance time]]-Table6[[#This Row],[Fault Start TimeStamp]])*24</f>
        <v>3.3333333333333215E-2</v>
      </c>
      <c r="U1592" s="35" t="s">
        <v>483</v>
      </c>
      <c r="V1592" s="102" t="s">
        <v>268</v>
      </c>
      <c r="W1592" s="290">
        <f>IFERROR(Table6[[#This Row],[Breakdown Time]]*Table6[[#This Row],[Plant Equivalent Weightage]],"")</f>
        <v>1.2820512820512771E-3</v>
      </c>
      <c r="X1592" s="262" t="s">
        <v>269</v>
      </c>
      <c r="Y1592" s="263" t="s">
        <v>120</v>
      </c>
      <c r="Z1592" s="102">
        <v>13391</v>
      </c>
      <c r="AA1592" s="257">
        <f>(Table6[[#This Row],[Paired WTG Generation for loss calculation]]/24)*Table6[[#This Row],[Breakdown Time]]</f>
        <v>18.598611111111047</v>
      </c>
      <c r="AB1592" s="102"/>
      <c r="AC1592" s="35"/>
      <c r="AD1592" s="35"/>
    </row>
    <row r="1593" spans="1:30">
      <c r="A1593" s="102">
        <f t="shared" si="25"/>
        <v>1592</v>
      </c>
      <c r="B1593" s="257">
        <f>YEAR(Table6[[#This Row],[Date]])+IF(MONTH(Table6[[#This Row],[Date]])&gt;=4,1,0)</f>
        <v>2026</v>
      </c>
      <c r="C1593" s="102">
        <f>YEAR(Table6[[#This Row],[Date]])</f>
        <v>2025</v>
      </c>
      <c r="D1593" s="102" t="s">
        <v>265</v>
      </c>
      <c r="E1593" s="258">
        <f>Table6[[#This Row],[Date]]-DAY(Table6[[#This Row],[Date]])+1</f>
        <v>45839</v>
      </c>
      <c r="F1593" s="259">
        <v>45859</v>
      </c>
      <c r="G1593" s="35" t="s">
        <v>136</v>
      </c>
      <c r="H1593" s="35" t="str">
        <f>IFERROR(_xlfn.XLOOKUP(Table6[[#This Row],[Affected WTG]],'Basic Data'!$A:$A,'Basic Data'!$B:$B),"")</f>
        <v>TQGXIIPL</v>
      </c>
      <c r="I1593" s="35" t="str">
        <f>IFERROR(_xlfn.XLOOKUP(Table6[[#This Row],[Affected WTG]],'Basic Data'!$A:$A,'Basic Data'!$C:$C),"")</f>
        <v>GEDA</v>
      </c>
      <c r="J1593" s="260">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266</v>
      </c>
      <c r="N1593" s="264"/>
      <c r="O1593" s="265">
        <v>0.12777777777777777</v>
      </c>
      <c r="P1593" s="265">
        <v>0.12777777777777777</v>
      </c>
      <c r="Q1593" s="266">
        <v>0.13263888888888889</v>
      </c>
      <c r="R1593" s="261">
        <f>IF(Table6[[#This Row],[Work Start TimeStamp]]="","",(Table6[[#This Row],[Work Start TimeStamp]]-Table6[[#This Row],[Fault Start TimeStamp]])*24)</f>
        <v>0</v>
      </c>
      <c r="S1593" s="261">
        <f>(Table6[[#This Row],[Fault Clearance time]]-Table6[[#This Row],[Work Start TimeStamp]])*24</f>
        <v>0.11666666666666692</v>
      </c>
      <c r="T1593" s="261">
        <f>(Table6[[#This Row],[Fault Clearance time]]-Table6[[#This Row],[Fault Start TimeStamp]])*24</f>
        <v>0.11666666666666692</v>
      </c>
      <c r="U1593" s="35" t="s">
        <v>483</v>
      </c>
      <c r="V1593" s="102" t="s">
        <v>268</v>
      </c>
      <c r="W1593" s="290">
        <f>IFERROR(Table6[[#This Row],[Breakdown Time]]*Table6[[#This Row],[Plant Equivalent Weightage]],"")</f>
        <v>4.4871794871794955E-3</v>
      </c>
      <c r="X1593" s="262" t="s">
        <v>269</v>
      </c>
      <c r="Y1593" s="263" t="s">
        <v>619</v>
      </c>
      <c r="Z1593" s="102">
        <v>13391</v>
      </c>
      <c r="AA1593" s="257">
        <f>(Table6[[#This Row],[Paired WTG Generation for loss calculation]]/24)*Table6[[#This Row],[Breakdown Time]]</f>
        <v>65.095138888889039</v>
      </c>
      <c r="AB1593" s="102"/>
      <c r="AC1593" s="35"/>
      <c r="AD1593" s="35"/>
    </row>
    <row r="1594" spans="1:30">
      <c r="A1594" s="102">
        <f t="shared" si="25"/>
        <v>1593</v>
      </c>
      <c r="B1594" s="257">
        <f>YEAR(Table6[[#This Row],[Date]])+IF(MONTH(Table6[[#This Row],[Date]])&gt;=4,1,0)</f>
        <v>2026</v>
      </c>
      <c r="C1594" s="102">
        <f>YEAR(Table6[[#This Row],[Date]])</f>
        <v>2025</v>
      </c>
      <c r="D1594" s="102" t="s">
        <v>265</v>
      </c>
      <c r="E1594" s="258">
        <f>Table6[[#This Row],[Date]]-DAY(Table6[[#This Row],[Date]])+1</f>
        <v>45839</v>
      </c>
      <c r="F1594" s="259">
        <v>45859</v>
      </c>
      <c r="G1594" s="35" t="s">
        <v>136</v>
      </c>
      <c r="H1594" s="35" t="str">
        <f>IFERROR(_xlfn.XLOOKUP(Table6[[#This Row],[Affected WTG]],'Basic Data'!$A:$A,'Basic Data'!$B:$B),"")</f>
        <v>TQGXIIPL</v>
      </c>
      <c r="I1594" s="35" t="str">
        <f>IFERROR(_xlfn.XLOOKUP(Table6[[#This Row],[Affected WTG]],'Basic Data'!$A:$A,'Basic Data'!$C:$C),"")</f>
        <v>GEDA</v>
      </c>
      <c r="J1594" s="260">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266</v>
      </c>
      <c r="N1594" s="264"/>
      <c r="O1594" s="265">
        <v>0.33194444444444443</v>
      </c>
      <c r="P1594" s="265">
        <v>0.33194444444444443</v>
      </c>
      <c r="Q1594" s="266">
        <v>0.33333333333333331</v>
      </c>
      <c r="R1594" s="261">
        <f>IF(Table6[[#This Row],[Work Start TimeStamp]]="","",(Table6[[#This Row],[Work Start TimeStamp]]-Table6[[#This Row],[Fault Start TimeStamp]])*24)</f>
        <v>0</v>
      </c>
      <c r="S1594" s="261">
        <f>(Table6[[#This Row],[Fault Clearance time]]-Table6[[#This Row],[Work Start TimeStamp]])*24</f>
        <v>3.3333333333333215E-2</v>
      </c>
      <c r="T1594" s="261">
        <f>(Table6[[#This Row],[Fault Clearance time]]-Table6[[#This Row],[Fault Start TimeStamp]])*24</f>
        <v>3.3333333333333215E-2</v>
      </c>
      <c r="U1594" s="35" t="s">
        <v>483</v>
      </c>
      <c r="V1594" s="102" t="s">
        <v>268</v>
      </c>
      <c r="W1594" s="290">
        <f>IFERROR(Table6[[#This Row],[Breakdown Time]]*Table6[[#This Row],[Plant Equivalent Weightage]],"")</f>
        <v>1.2820512820512771E-3</v>
      </c>
      <c r="X1594" s="262" t="s">
        <v>269</v>
      </c>
      <c r="Y1594" s="263" t="s">
        <v>120</v>
      </c>
      <c r="Z1594" s="102">
        <v>13391</v>
      </c>
      <c r="AA1594" s="257">
        <f>(Table6[[#This Row],[Paired WTG Generation for loss calculation]]/24)*Table6[[#This Row],[Breakdown Time]]</f>
        <v>18.598611111111047</v>
      </c>
      <c r="AB1594" s="102"/>
      <c r="AC1594" s="35"/>
      <c r="AD1594" s="35"/>
    </row>
    <row r="1595" spans="1:30">
      <c r="A1595" s="102">
        <f t="shared" si="25"/>
        <v>1594</v>
      </c>
      <c r="B1595" s="257">
        <f>YEAR(Table6[[#This Row],[Date]])+IF(MONTH(Table6[[#This Row],[Date]])&gt;=4,1,0)</f>
        <v>2026</v>
      </c>
      <c r="C1595" s="102">
        <f>YEAR(Table6[[#This Row],[Date]])</f>
        <v>2025</v>
      </c>
      <c r="D1595" s="102" t="s">
        <v>265</v>
      </c>
      <c r="E1595" s="258">
        <f>Table6[[#This Row],[Date]]-DAY(Table6[[#This Row],[Date]])+1</f>
        <v>45839</v>
      </c>
      <c r="F1595" s="259">
        <v>45859</v>
      </c>
      <c r="G1595" s="35" t="s">
        <v>137</v>
      </c>
      <c r="H1595" s="35" t="str">
        <f>IFERROR(_xlfn.XLOOKUP(Table6[[#This Row],[Affected WTG]],'Basic Data'!$A:$A,'Basic Data'!$B:$B),"")</f>
        <v>TQGXIIPL</v>
      </c>
      <c r="I1595" s="35" t="str">
        <f>IFERROR(_xlfn.XLOOKUP(Table6[[#This Row],[Affected WTG]],'Basic Data'!$A:$A,'Basic Data'!$C:$C),"")</f>
        <v>GEDA</v>
      </c>
      <c r="J1595" s="260">
        <f>IFERROR(_xlfn.XLOOKUP(Table6[[#This Row],[Affected WTG]],'Basic Data'!$A:$A,'Basic Data'!$E:$E),"")</f>
        <v>3.846153846153845E-2</v>
      </c>
      <c r="K1595" s="102">
        <v>55</v>
      </c>
      <c r="L1595" s="35" t="str">
        <f>IFERROR(_xlfn.XLOOKUP(Table6[[#This Row],[Error Code]],'Basic Data'!$AA:$AA,'Basic Data'!$AB:$AB),"Incorrect Error Code")</f>
        <v>WTG shut down</v>
      </c>
      <c r="M1595" s="35" t="s">
        <v>266</v>
      </c>
      <c r="N1595" s="264"/>
      <c r="O1595" s="265">
        <v>0.45347222222222222</v>
      </c>
      <c r="P1595" s="265">
        <v>0.45347222222222222</v>
      </c>
      <c r="Q1595" s="266">
        <v>0.55902777777777779</v>
      </c>
      <c r="R1595" s="261">
        <f>IF(Table6[[#This Row],[Work Start TimeStamp]]="","",(Table6[[#This Row],[Work Start TimeStamp]]-Table6[[#This Row],[Fault Start TimeStamp]])*24)</f>
        <v>0</v>
      </c>
      <c r="S1595" s="261">
        <f>(Table6[[#This Row],[Fault Clearance time]]-Table6[[#This Row],[Work Start TimeStamp]])*24</f>
        <v>2.5333333333333337</v>
      </c>
      <c r="T1595" s="261">
        <f>(Table6[[#This Row],[Fault Clearance time]]-Table6[[#This Row],[Fault Start TimeStamp]])*24</f>
        <v>2.5333333333333337</v>
      </c>
      <c r="U1595" s="35" t="s">
        <v>620</v>
      </c>
      <c r="V1595" s="102" t="s">
        <v>268</v>
      </c>
      <c r="W1595" s="290">
        <f>IFERROR(Table6[[#This Row],[Breakdown Time]]*Table6[[#This Row],[Plant Equivalent Weightage]],"")</f>
        <v>9.7435897435897423E-2</v>
      </c>
      <c r="X1595" s="262" t="s">
        <v>296</v>
      </c>
      <c r="Y1595" s="263" t="s">
        <v>125</v>
      </c>
      <c r="Z1595" s="102">
        <v>10509</v>
      </c>
      <c r="AA1595" s="257">
        <f>(Table6[[#This Row],[Paired WTG Generation for loss calculation]]/24)*Table6[[#This Row],[Breakdown Time]]</f>
        <v>1109.2833333333335</v>
      </c>
      <c r="AB1595" s="102"/>
      <c r="AC1595" s="35"/>
      <c r="AD1595" s="35"/>
    </row>
    <row r="1596" spans="1:30">
      <c r="A1596" s="102">
        <f t="shared" si="25"/>
        <v>1595</v>
      </c>
      <c r="B1596" s="257">
        <f>YEAR(Table6[[#This Row],[Date]])+IF(MONTH(Table6[[#This Row],[Date]])&gt;=4,1,0)</f>
        <v>2026</v>
      </c>
      <c r="C1596" s="102">
        <f>YEAR(Table6[[#This Row],[Date]])</f>
        <v>2025</v>
      </c>
      <c r="D1596" s="102" t="s">
        <v>265</v>
      </c>
      <c r="E1596" s="258">
        <f>Table6[[#This Row],[Date]]-DAY(Table6[[#This Row],[Date]])+1</f>
        <v>45839</v>
      </c>
      <c r="F1596" s="259">
        <v>45859</v>
      </c>
      <c r="G1596" s="35" t="s">
        <v>138</v>
      </c>
      <c r="H1596" s="35" t="str">
        <f>IFERROR(_xlfn.XLOOKUP(Table6[[#This Row],[Affected WTG]],'Basic Data'!$A:$A,'Basic Data'!$B:$B),"")</f>
        <v>TQGXIIPL</v>
      </c>
      <c r="I1596" s="35" t="str">
        <f>IFERROR(_xlfn.XLOOKUP(Table6[[#This Row],[Affected WTG]],'Basic Data'!$A:$A,'Basic Data'!$C:$C),"")</f>
        <v>GEDA</v>
      </c>
      <c r="J1596" s="260">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266</v>
      </c>
      <c r="N1596" s="264"/>
      <c r="O1596" s="265">
        <v>0.2986111111111111</v>
      </c>
      <c r="P1596" s="265">
        <v>0.2986111111111111</v>
      </c>
      <c r="Q1596" s="266">
        <v>0.31041666666666667</v>
      </c>
      <c r="R1596" s="261">
        <f>IF(Table6[[#This Row],[Work Start TimeStamp]]="","",(Table6[[#This Row],[Work Start TimeStamp]]-Table6[[#This Row],[Fault Start TimeStamp]])*24)</f>
        <v>0</v>
      </c>
      <c r="S1596" s="261">
        <f>(Table6[[#This Row],[Fault Clearance time]]-Table6[[#This Row],[Work Start TimeStamp]])*24</f>
        <v>0.28333333333333366</v>
      </c>
      <c r="T1596" s="261">
        <f>(Table6[[#This Row],[Fault Clearance time]]-Table6[[#This Row],[Fault Start TimeStamp]])*24</f>
        <v>0.28333333333333366</v>
      </c>
      <c r="U1596" s="35" t="s">
        <v>483</v>
      </c>
      <c r="V1596" s="102" t="s">
        <v>268</v>
      </c>
      <c r="W1596" s="290">
        <f>IFERROR(Table6[[#This Row],[Breakdown Time]]*Table6[[#This Row],[Plant Equivalent Weightage]],"")</f>
        <v>1.0897435897435907E-2</v>
      </c>
      <c r="X1596" s="262" t="s">
        <v>269</v>
      </c>
      <c r="Y1596" s="263" t="s">
        <v>134</v>
      </c>
      <c r="Z1596" s="102">
        <v>10892</v>
      </c>
      <c r="AA1596" s="257">
        <f>(Table6[[#This Row],[Paired WTG Generation for loss calculation]]/24)*Table6[[#This Row],[Breakdown Time]]</f>
        <v>128.58611111111125</v>
      </c>
      <c r="AB1596" s="102"/>
      <c r="AC1596" s="35"/>
      <c r="AD1596" s="35"/>
    </row>
    <row r="1597" spans="1:30">
      <c r="A1597" s="102">
        <f t="shared" si="25"/>
        <v>1596</v>
      </c>
      <c r="B1597" s="257">
        <f>YEAR(Table6[[#This Row],[Date]])+IF(MONTH(Table6[[#This Row],[Date]])&gt;=4,1,0)</f>
        <v>2026</v>
      </c>
      <c r="C1597" s="102">
        <f>YEAR(Table6[[#This Row],[Date]])</f>
        <v>2025</v>
      </c>
      <c r="D1597" s="102" t="s">
        <v>265</v>
      </c>
      <c r="E1597" s="258">
        <f>Table6[[#This Row],[Date]]-DAY(Table6[[#This Row],[Date]])+1</f>
        <v>45839</v>
      </c>
      <c r="F1597" s="259">
        <v>45859</v>
      </c>
      <c r="G1597" s="35" t="s">
        <v>140</v>
      </c>
      <c r="H1597" s="35" t="str">
        <f>IFERROR(_xlfn.XLOOKUP(Table6[[#This Row],[Affected WTG]],'Basic Data'!$A:$A,'Basic Data'!$B:$B),"")</f>
        <v>TQGXIIPL</v>
      </c>
      <c r="I1597" s="35" t="str">
        <f>IFERROR(_xlfn.XLOOKUP(Table6[[#This Row],[Affected WTG]],'Basic Data'!$A:$A,'Basic Data'!$C:$C),"")</f>
        <v>GEDA</v>
      </c>
      <c r="J1597" s="260">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266</v>
      </c>
      <c r="N1597" s="264"/>
      <c r="O1597" s="265">
        <v>0.3263888888888889</v>
      </c>
      <c r="P1597" s="265">
        <v>0.3263888888888889</v>
      </c>
      <c r="Q1597" s="266">
        <v>0.33333333333333331</v>
      </c>
      <c r="R1597" s="261">
        <f>IF(Table6[[#This Row],[Work Start TimeStamp]]="","",(Table6[[#This Row],[Work Start TimeStamp]]-Table6[[#This Row],[Fault Start TimeStamp]])*24)</f>
        <v>0</v>
      </c>
      <c r="S1597" s="261">
        <f>(Table6[[#This Row],[Fault Clearance time]]-Table6[[#This Row],[Work Start TimeStamp]])*24</f>
        <v>0.16666666666666607</v>
      </c>
      <c r="T1597" s="261">
        <f>(Table6[[#This Row],[Fault Clearance time]]-Table6[[#This Row],[Fault Start TimeStamp]])*24</f>
        <v>0.16666666666666607</v>
      </c>
      <c r="U1597" s="35" t="s">
        <v>483</v>
      </c>
      <c r="V1597" s="102" t="s">
        <v>268</v>
      </c>
      <c r="W1597" s="290">
        <f>IFERROR(Table6[[#This Row],[Breakdown Time]]*Table6[[#This Row],[Plant Equivalent Weightage]],"")</f>
        <v>6.4102564102563857E-3</v>
      </c>
      <c r="X1597" s="262" t="s">
        <v>269</v>
      </c>
      <c r="Y1597" s="263" t="s">
        <v>115</v>
      </c>
      <c r="Z1597" s="102">
        <v>10341</v>
      </c>
      <c r="AA1597" s="257">
        <f>(Table6[[#This Row],[Paired WTG Generation for loss calculation]]/24)*Table6[[#This Row],[Breakdown Time]]</f>
        <v>71.812499999999744</v>
      </c>
      <c r="AB1597" s="102"/>
      <c r="AC1597" s="35"/>
      <c r="AD1597" s="35"/>
    </row>
    <row r="1598" spans="1:30">
      <c r="A1598" s="102">
        <f t="shared" si="25"/>
        <v>1597</v>
      </c>
      <c r="B1598" s="257">
        <f>YEAR(Table6[[#This Row],[Date]])+IF(MONTH(Table6[[#This Row],[Date]])&gt;=4,1,0)</f>
        <v>2026</v>
      </c>
      <c r="C1598" s="102">
        <f>YEAR(Table6[[#This Row],[Date]])</f>
        <v>2025</v>
      </c>
      <c r="D1598" s="102" t="s">
        <v>265</v>
      </c>
      <c r="E1598" s="258">
        <f>Table6[[#This Row],[Date]]-DAY(Table6[[#This Row],[Date]])+1</f>
        <v>45839</v>
      </c>
      <c r="F1598" s="259">
        <v>45859</v>
      </c>
      <c r="G1598" s="35" t="s">
        <v>140</v>
      </c>
      <c r="H1598" s="35" t="str">
        <f>IFERROR(_xlfn.XLOOKUP(Table6[[#This Row],[Affected WTG]],'Basic Data'!$A:$A,'Basic Data'!$B:$B),"")</f>
        <v>TQGXIIPL</v>
      </c>
      <c r="I1598" s="35" t="str">
        <f>IFERROR(_xlfn.XLOOKUP(Table6[[#This Row],[Affected WTG]],'Basic Data'!$A:$A,'Basic Data'!$C:$C),"")</f>
        <v>GEDA</v>
      </c>
      <c r="J1598" s="260">
        <f>IFERROR(_xlfn.XLOOKUP(Table6[[#This Row],[Affected WTG]],'Basic Data'!$A:$A,'Basic Data'!$E:$E),"")</f>
        <v>3.846153846153845E-2</v>
      </c>
      <c r="K1598" s="102">
        <v>55</v>
      </c>
      <c r="L1598" s="35" t="str">
        <f>IFERROR(_xlfn.XLOOKUP(Table6[[#This Row],[Error Code]],'Basic Data'!$AA:$AA,'Basic Data'!$AB:$AB),"Incorrect Error Code")</f>
        <v>WTG shut down</v>
      </c>
      <c r="M1598" s="35" t="s">
        <v>266</v>
      </c>
      <c r="N1598" s="264"/>
      <c r="O1598" s="265">
        <v>0.4597222222222222</v>
      </c>
      <c r="P1598" s="265">
        <v>0.4597222222222222</v>
      </c>
      <c r="Q1598" s="266">
        <v>0.60416666666666663</v>
      </c>
      <c r="R1598" s="261">
        <f>IF(Table6[[#This Row],[Work Start TimeStamp]]="","",(Table6[[#This Row],[Work Start TimeStamp]]-Table6[[#This Row],[Fault Start TimeStamp]])*24)</f>
        <v>0</v>
      </c>
      <c r="S1598" s="261">
        <f>(Table6[[#This Row],[Fault Clearance time]]-Table6[[#This Row],[Work Start TimeStamp]])*24</f>
        <v>3.4666666666666663</v>
      </c>
      <c r="T1598" s="261">
        <f>(Table6[[#This Row],[Fault Clearance time]]-Table6[[#This Row],[Fault Start TimeStamp]])*24</f>
        <v>3.4666666666666663</v>
      </c>
      <c r="U1598" s="35" t="s">
        <v>621</v>
      </c>
      <c r="V1598" s="102" t="s">
        <v>268</v>
      </c>
      <c r="W1598" s="290">
        <f>IFERROR(Table6[[#This Row],[Breakdown Time]]*Table6[[#This Row],[Plant Equivalent Weightage]],"")</f>
        <v>0.13333333333333328</v>
      </c>
      <c r="X1598" s="262" t="s">
        <v>296</v>
      </c>
      <c r="Y1598" s="263" t="s">
        <v>115</v>
      </c>
      <c r="Z1598" s="102">
        <v>10341</v>
      </c>
      <c r="AA1598" s="257">
        <f>(Table6[[#This Row],[Paired WTG Generation for loss calculation]]/24)*Table6[[#This Row],[Breakdown Time]]</f>
        <v>1493.6999999999998</v>
      </c>
      <c r="AB1598" s="102"/>
      <c r="AC1598" s="35"/>
      <c r="AD1598" s="35"/>
    </row>
    <row r="1599" spans="1:30">
      <c r="A1599" s="102">
        <f t="shared" si="25"/>
        <v>1598</v>
      </c>
      <c r="B1599" s="257">
        <f>YEAR(Table6[[#This Row],[Date]])+IF(MONTH(Table6[[#This Row],[Date]])&gt;=4,1,0)</f>
        <v>2026</v>
      </c>
      <c r="C1599" s="102">
        <f>YEAR(Table6[[#This Row],[Date]])</f>
        <v>2025</v>
      </c>
      <c r="D1599" s="102" t="s">
        <v>265</v>
      </c>
      <c r="E1599" s="258">
        <f>Table6[[#This Row],[Date]]-DAY(Table6[[#This Row],[Date]])+1</f>
        <v>45839</v>
      </c>
      <c r="F1599" s="259">
        <v>45860</v>
      </c>
      <c r="G1599" s="35" t="s">
        <v>116</v>
      </c>
      <c r="H1599" s="35" t="str">
        <f>IFERROR(_xlfn.XLOOKUP(Table6[[#This Row],[Affected WTG]],'Basic Data'!$A:$A,'Basic Data'!$B:$B),"")</f>
        <v>TQGXIIPL</v>
      </c>
      <c r="I1599" s="35" t="str">
        <f>IFERROR(_xlfn.XLOOKUP(Table6[[#This Row],[Affected WTG]],'Basic Data'!$A:$A,'Basic Data'!$C:$C),"")</f>
        <v>GEDA</v>
      </c>
      <c r="J1599" s="260">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291</v>
      </c>
      <c r="N1599" s="264"/>
      <c r="O1599" s="265">
        <v>7.6388888888888886E-3</v>
      </c>
      <c r="P1599" s="265">
        <v>3.888888888888889E-2</v>
      </c>
      <c r="Q1599" s="266">
        <v>0.52083333333333337</v>
      </c>
      <c r="R1599" s="261">
        <f>IF(Table6[[#This Row],[Work Start TimeStamp]]="","",(Table6[[#This Row],[Work Start TimeStamp]]-Table6[[#This Row],[Fault Start TimeStamp]])*24)</f>
        <v>0.75</v>
      </c>
      <c r="S1599" s="261">
        <f>(Table6[[#This Row],[Fault Clearance time]]-Table6[[#This Row],[Work Start TimeStamp]])*24</f>
        <v>11.566666666666668</v>
      </c>
      <c r="T1599" s="261">
        <f>(Table6[[#This Row],[Fault Clearance time]]-Table6[[#This Row],[Fault Start TimeStamp]])*24</f>
        <v>12.316666666666668</v>
      </c>
      <c r="U1599" s="35" t="s">
        <v>622</v>
      </c>
      <c r="V1599" s="102" t="s">
        <v>268</v>
      </c>
      <c r="W1599" s="290">
        <f>IFERROR(Table6[[#This Row],[Breakdown Time]]*Table6[[#This Row],[Plant Equivalent Weightage]],"")</f>
        <v>0.47371794871794864</v>
      </c>
      <c r="X1599" s="262" t="s">
        <v>296</v>
      </c>
      <c r="Y1599" s="263" t="s">
        <v>119</v>
      </c>
      <c r="Z1599" s="102">
        <v>23539</v>
      </c>
      <c r="AA1599" s="257">
        <f>(Table6[[#This Row],[Paired WTG Generation for loss calculation]]/24)*Table6[[#This Row],[Breakdown Time]]</f>
        <v>12080.084027777779</v>
      </c>
      <c r="AB1599" s="102"/>
      <c r="AC1599" s="35"/>
      <c r="AD1599" s="35"/>
    </row>
    <row r="1600" spans="1:30">
      <c r="A1600" s="102">
        <f t="shared" si="25"/>
        <v>1599</v>
      </c>
      <c r="B1600" s="257">
        <f>YEAR(Table6[[#This Row],[Date]])+IF(MONTH(Table6[[#This Row],[Date]])&gt;=4,1,0)</f>
        <v>2026</v>
      </c>
      <c r="C1600" s="102">
        <f>YEAR(Table6[[#This Row],[Date]])</f>
        <v>2025</v>
      </c>
      <c r="D1600" s="102" t="s">
        <v>265</v>
      </c>
      <c r="E1600" s="258">
        <f>Table6[[#This Row],[Date]]-DAY(Table6[[#This Row],[Date]])+1</f>
        <v>45839</v>
      </c>
      <c r="F1600" s="259">
        <v>45860</v>
      </c>
      <c r="G1600" s="35" t="s">
        <v>124</v>
      </c>
      <c r="H1600" s="35" t="str">
        <f>IFERROR(_xlfn.XLOOKUP(Table6[[#This Row],[Affected WTG]],'Basic Data'!$A:$A,'Basic Data'!$B:$B),"")</f>
        <v>TQGXIIPL</v>
      </c>
      <c r="I1600" s="35" t="str">
        <f>IFERROR(_xlfn.XLOOKUP(Table6[[#This Row],[Affected WTG]],'Basic Data'!$A:$A,'Basic Data'!$C:$C),"")</f>
        <v>GEDA</v>
      </c>
      <c r="J1600" s="260">
        <f>IFERROR(_xlfn.XLOOKUP(Table6[[#This Row],[Affected WTG]],'Basic Data'!$A:$A,'Basic Data'!$E:$E),"")</f>
        <v>3.846153846153845E-2</v>
      </c>
      <c r="K1600" s="102">
        <v>656</v>
      </c>
      <c r="L1600" s="35" t="str">
        <f>IFERROR(_xlfn.XLOOKUP(Table6[[#This Row],[Error Code]],'Basic Data'!$AA:$AA,'Basic Data'!$AB:$AB),"Incorrect Error Code")</f>
        <v>Error pitch converter 1</v>
      </c>
      <c r="M1600" s="35" t="s">
        <v>266</v>
      </c>
      <c r="N1600" s="264"/>
      <c r="O1600" s="265">
        <v>0.2638888888888889</v>
      </c>
      <c r="P1600" s="265">
        <v>0.2638888888888889</v>
      </c>
      <c r="Q1600" s="266">
        <v>0.26527777777777778</v>
      </c>
      <c r="R1600" s="261">
        <f>IF(Table6[[#This Row],[Work Start TimeStamp]]="","",(Table6[[#This Row],[Work Start TimeStamp]]-Table6[[#This Row],[Fault Start TimeStamp]])*24)</f>
        <v>0</v>
      </c>
      <c r="S1600" s="261">
        <f>(Table6[[#This Row],[Fault Clearance time]]-Table6[[#This Row],[Work Start TimeStamp]])*24</f>
        <v>3.3333333333333215E-2</v>
      </c>
      <c r="T1600" s="261">
        <f>(Table6[[#This Row],[Fault Clearance time]]-Table6[[#This Row],[Fault Start TimeStamp]])*24</f>
        <v>3.3333333333333215E-2</v>
      </c>
      <c r="U1600" s="35" t="s">
        <v>483</v>
      </c>
      <c r="V1600" s="102" t="s">
        <v>268</v>
      </c>
      <c r="W1600" s="290">
        <f>IFERROR(Table6[[#This Row],[Breakdown Time]]*Table6[[#This Row],[Plant Equivalent Weightage]],"")</f>
        <v>1.2820512820512771E-3</v>
      </c>
      <c r="X1600" s="262" t="s">
        <v>269</v>
      </c>
      <c r="Y1600" s="263" t="s">
        <v>129</v>
      </c>
      <c r="Z1600" s="102">
        <v>21066</v>
      </c>
      <c r="AA1600" s="257">
        <f>(Table6[[#This Row],[Paired WTG Generation for loss calculation]]/24)*Table6[[#This Row],[Breakdown Time]]</f>
        <v>29.25833333333323</v>
      </c>
      <c r="AB1600" s="102"/>
      <c r="AC1600" s="35"/>
      <c r="AD1600" s="35"/>
    </row>
    <row r="1601" spans="1:30">
      <c r="A1601" s="102">
        <f t="shared" si="25"/>
        <v>1600</v>
      </c>
      <c r="B1601" s="257">
        <f>YEAR(Table6[[#This Row],[Date]])+IF(MONTH(Table6[[#This Row],[Date]])&gt;=4,1,0)</f>
        <v>2026</v>
      </c>
      <c r="C1601" s="102">
        <f>YEAR(Table6[[#This Row],[Date]])</f>
        <v>2025</v>
      </c>
      <c r="D1601" s="102" t="s">
        <v>265</v>
      </c>
      <c r="E1601" s="258">
        <f>Table6[[#This Row],[Date]]-DAY(Table6[[#This Row],[Date]])+1</f>
        <v>45839</v>
      </c>
      <c r="F1601" s="259">
        <v>45860</v>
      </c>
      <c r="G1601" s="35" t="s">
        <v>131</v>
      </c>
      <c r="H1601" s="35" t="str">
        <f>IFERROR(_xlfn.XLOOKUP(Table6[[#This Row],[Affected WTG]],'Basic Data'!$A:$A,'Basic Data'!$B:$B),"")</f>
        <v>TQGXIIPL</v>
      </c>
      <c r="I1601" s="35" t="str">
        <f>IFERROR(_xlfn.XLOOKUP(Table6[[#This Row],[Affected WTG]],'Basic Data'!$A:$A,'Basic Data'!$C:$C),"")</f>
        <v>GEDA</v>
      </c>
      <c r="J1601" s="260">
        <f>IFERROR(_xlfn.XLOOKUP(Table6[[#This Row],[Affected WTG]],'Basic Data'!$A:$A,'Basic Data'!$E:$E),"")</f>
        <v>3.846153846153845E-2</v>
      </c>
      <c r="K1601" s="102">
        <v>55</v>
      </c>
      <c r="L1601" s="35" t="str">
        <f>IFERROR(_xlfn.XLOOKUP(Table6[[#This Row],[Error Code]],'Basic Data'!$AA:$AA,'Basic Data'!$AB:$AB),"Incorrect Error Code")</f>
        <v>WTG shut down</v>
      </c>
      <c r="M1601" s="35" t="s">
        <v>266</v>
      </c>
      <c r="N1601" s="264"/>
      <c r="O1601" s="265">
        <v>0.87222222222222223</v>
      </c>
      <c r="P1601" s="265">
        <v>0.87222222222222223</v>
      </c>
      <c r="Q1601" s="266">
        <v>1</v>
      </c>
      <c r="R1601" s="261">
        <f>IF(Table6[[#This Row],[Work Start TimeStamp]]="","",(Table6[[#This Row],[Work Start TimeStamp]]-Table6[[#This Row],[Fault Start TimeStamp]])*24)</f>
        <v>0</v>
      </c>
      <c r="S1601" s="261">
        <f>(Table6[[#This Row],[Fault Clearance time]]-Table6[[#This Row],[Work Start TimeStamp]])*24</f>
        <v>3.0666666666666664</v>
      </c>
      <c r="T1601" s="261">
        <f>(Table6[[#This Row],[Fault Clearance time]]-Table6[[#This Row],[Fault Start TimeStamp]])*24</f>
        <v>3.0666666666666664</v>
      </c>
      <c r="U1601" s="35" t="s">
        <v>623</v>
      </c>
      <c r="V1601" s="102" t="s">
        <v>268</v>
      </c>
      <c r="W1601" s="290">
        <f>IFERROR(Table6[[#This Row],[Breakdown Time]]*Table6[[#This Row],[Plant Equivalent Weightage]],"")</f>
        <v>0.1179487179487179</v>
      </c>
      <c r="X1601" s="262" t="s">
        <v>296</v>
      </c>
      <c r="Y1601" s="263" t="s">
        <v>136</v>
      </c>
      <c r="Z1601" s="102">
        <v>23902</v>
      </c>
      <c r="AA1601" s="257">
        <f>(Table6[[#This Row],[Paired WTG Generation for loss calculation]]/24)*Table6[[#This Row],[Breakdown Time]]</f>
        <v>3054.1444444444442</v>
      </c>
      <c r="AB1601" s="102"/>
      <c r="AC1601" s="35"/>
      <c r="AD1601" s="35"/>
    </row>
    <row r="1602" spans="1:30">
      <c r="A1602" s="102">
        <f t="shared" si="25"/>
        <v>1601</v>
      </c>
      <c r="B1602" s="257">
        <f>YEAR(Table6[[#This Row],[Date]])+IF(MONTH(Table6[[#This Row],[Date]])&gt;=4,1,0)</f>
        <v>2026</v>
      </c>
      <c r="C1602" s="102">
        <f>YEAR(Table6[[#This Row],[Date]])</f>
        <v>2025</v>
      </c>
      <c r="D1602" s="102" t="s">
        <v>265</v>
      </c>
      <c r="E1602" s="258">
        <f>Table6[[#This Row],[Date]]-DAY(Table6[[#This Row],[Date]])+1</f>
        <v>45839</v>
      </c>
      <c r="F1602" s="259">
        <v>45861</v>
      </c>
      <c r="G1602" s="35" t="s">
        <v>118</v>
      </c>
      <c r="H1602" s="35" t="str">
        <f>IFERROR(_xlfn.XLOOKUP(Table6[[#This Row],[Affected WTG]],'Basic Data'!$A:$A,'Basic Data'!$B:$B),"")</f>
        <v>TQGXIIPL</v>
      </c>
      <c r="I1602" s="35" t="str">
        <f>IFERROR(_xlfn.XLOOKUP(Table6[[#This Row],[Affected WTG]],'Basic Data'!$A:$A,'Basic Data'!$C:$C),"")</f>
        <v>GEDA</v>
      </c>
      <c r="J1602" s="260">
        <f>IFERROR(_xlfn.XLOOKUP(Table6[[#This Row],[Affected WTG]],'Basic Data'!$A:$A,'Basic Data'!$E:$E),"")</f>
        <v>3.846153846153845E-2</v>
      </c>
      <c r="K1602" s="102">
        <v>6130</v>
      </c>
      <c r="L1602" s="35" t="str">
        <f>IFERROR(_xlfn.XLOOKUP(Table6[[#This Row],[Error Code]],'Basic Data'!$AA:$AA,'Basic Data'!$AB:$AB),"Incorrect Error Code")</f>
        <v>Yaw speed high</v>
      </c>
      <c r="M1602" s="35" t="s">
        <v>266</v>
      </c>
      <c r="N1602" s="264"/>
      <c r="O1602" s="265">
        <v>0.40902777777777777</v>
      </c>
      <c r="P1602" s="265">
        <v>0.40902777777777777</v>
      </c>
      <c r="Q1602" s="266">
        <v>0.41180555555555554</v>
      </c>
      <c r="R1602" s="261">
        <f>IF(Table6[[#This Row],[Work Start TimeStamp]]="","",(Table6[[#This Row],[Work Start TimeStamp]]-Table6[[#This Row],[Fault Start TimeStamp]])*24)</f>
        <v>0</v>
      </c>
      <c r="S1602" s="261">
        <f>(Table6[[#This Row],[Fault Clearance time]]-Table6[[#This Row],[Work Start TimeStamp]])*24</f>
        <v>6.666666666666643E-2</v>
      </c>
      <c r="T1602" s="261">
        <f>(Table6[[#This Row],[Fault Clearance time]]-Table6[[#This Row],[Fault Start TimeStamp]])*24</f>
        <v>6.666666666666643E-2</v>
      </c>
      <c r="U1602" s="35" t="s">
        <v>483</v>
      </c>
      <c r="V1602" s="102" t="s">
        <v>268</v>
      </c>
      <c r="W1602" s="290">
        <f>IFERROR(Table6[[#This Row],[Breakdown Time]]*Table6[[#This Row],[Plant Equivalent Weightage]],"")</f>
        <v>2.5641025641025541E-3</v>
      </c>
      <c r="X1602" s="262" t="s">
        <v>269</v>
      </c>
      <c r="Y1602" s="263" t="s">
        <v>121</v>
      </c>
      <c r="Z1602" s="102">
        <v>35706</v>
      </c>
      <c r="AA1602" s="257">
        <f>(Table6[[#This Row],[Paired WTG Generation for loss calculation]]/24)*Table6[[#This Row],[Breakdown Time]]</f>
        <v>99.183333333332982</v>
      </c>
      <c r="AB1602" s="102"/>
      <c r="AC1602" s="35"/>
      <c r="AD1602" s="35"/>
    </row>
    <row r="1603" spans="1:30">
      <c r="A1603" s="102">
        <f t="shared" si="25"/>
        <v>1602</v>
      </c>
      <c r="B1603" s="257">
        <f>YEAR(Table6[[#This Row],[Date]])+IF(MONTH(Table6[[#This Row],[Date]])&gt;=4,1,0)</f>
        <v>2026</v>
      </c>
      <c r="C1603" s="102">
        <f>YEAR(Table6[[#This Row],[Date]])</f>
        <v>2025</v>
      </c>
      <c r="D1603" s="102" t="s">
        <v>265</v>
      </c>
      <c r="E1603" s="258">
        <f>Table6[[#This Row],[Date]]-DAY(Table6[[#This Row],[Date]])+1</f>
        <v>45839</v>
      </c>
      <c r="F1603" s="259">
        <v>45861</v>
      </c>
      <c r="G1603" s="35" t="s">
        <v>118</v>
      </c>
      <c r="H1603" s="35" t="str">
        <f>IFERROR(_xlfn.XLOOKUP(Table6[[#This Row],[Affected WTG]],'Basic Data'!$A:$A,'Basic Data'!$B:$B),"")</f>
        <v>TQGXIIPL</v>
      </c>
      <c r="I1603" s="35" t="str">
        <f>IFERROR(_xlfn.XLOOKUP(Table6[[#This Row],[Affected WTG]],'Basic Data'!$A:$A,'Basic Data'!$C:$C),"")</f>
        <v>GEDA</v>
      </c>
      <c r="J1603" s="260">
        <f>IFERROR(_xlfn.XLOOKUP(Table6[[#This Row],[Affected WTG]],'Basic Data'!$A:$A,'Basic Data'!$E:$E),"")</f>
        <v>3.846153846153845E-2</v>
      </c>
      <c r="K1603" s="102">
        <v>6130</v>
      </c>
      <c r="L1603" s="35" t="str">
        <f>IFERROR(_xlfn.XLOOKUP(Table6[[#This Row],[Error Code]],'Basic Data'!$AA:$AA,'Basic Data'!$AB:$AB),"Incorrect Error Code")</f>
        <v>Yaw speed high</v>
      </c>
      <c r="M1603" s="35" t="s">
        <v>266</v>
      </c>
      <c r="N1603" s="264"/>
      <c r="O1603" s="265">
        <v>0.5083333333333333</v>
      </c>
      <c r="P1603" s="265">
        <v>0.5083333333333333</v>
      </c>
      <c r="Q1603" s="266">
        <v>0.50972222222222219</v>
      </c>
      <c r="R1603" s="261">
        <f>IF(Table6[[#This Row],[Work Start TimeStamp]]="","",(Table6[[#This Row],[Work Start TimeStamp]]-Table6[[#This Row],[Fault Start TimeStamp]])*24)</f>
        <v>0</v>
      </c>
      <c r="S1603" s="261">
        <f>(Table6[[#This Row],[Fault Clearance time]]-Table6[[#This Row],[Work Start TimeStamp]])*24</f>
        <v>3.3333333333333215E-2</v>
      </c>
      <c r="T1603" s="261">
        <f>(Table6[[#This Row],[Fault Clearance time]]-Table6[[#This Row],[Fault Start TimeStamp]])*24</f>
        <v>3.3333333333333215E-2</v>
      </c>
      <c r="U1603" s="35" t="s">
        <v>483</v>
      </c>
      <c r="V1603" s="102" t="s">
        <v>268</v>
      </c>
      <c r="W1603" s="290">
        <f>IFERROR(Table6[[#This Row],[Breakdown Time]]*Table6[[#This Row],[Plant Equivalent Weightage]],"")</f>
        <v>1.2820512820512771E-3</v>
      </c>
      <c r="X1603" s="262" t="s">
        <v>269</v>
      </c>
      <c r="Y1603" s="263" t="s">
        <v>121</v>
      </c>
      <c r="Z1603" s="102">
        <v>35706</v>
      </c>
      <c r="AA1603" s="257">
        <f>(Table6[[#This Row],[Paired WTG Generation for loss calculation]]/24)*Table6[[#This Row],[Breakdown Time]]</f>
        <v>49.591666666666491</v>
      </c>
      <c r="AB1603" s="102"/>
      <c r="AC1603" s="35"/>
      <c r="AD1603" s="35"/>
    </row>
    <row r="1604" spans="1:30">
      <c r="A1604" s="102">
        <f t="shared" si="25"/>
        <v>1603</v>
      </c>
      <c r="B1604" s="257">
        <f>YEAR(Table6[[#This Row],[Date]])+IF(MONTH(Table6[[#This Row],[Date]])&gt;=4,1,0)</f>
        <v>2026</v>
      </c>
      <c r="C1604" s="102">
        <f>YEAR(Table6[[#This Row],[Date]])</f>
        <v>2025</v>
      </c>
      <c r="D1604" s="102" t="s">
        <v>265</v>
      </c>
      <c r="E1604" s="258">
        <f>Table6[[#This Row],[Date]]-DAY(Table6[[#This Row],[Date]])+1</f>
        <v>45839</v>
      </c>
      <c r="F1604" s="259">
        <v>45861</v>
      </c>
      <c r="G1604" s="35" t="s">
        <v>122</v>
      </c>
      <c r="H1604" s="35" t="str">
        <f>IFERROR(_xlfn.XLOOKUP(Table6[[#This Row],[Affected WTG]],'Basic Data'!$A:$A,'Basic Data'!$B:$B),"")</f>
        <v>TQGXIIPL</v>
      </c>
      <c r="I1604" s="35" t="str">
        <f>IFERROR(_xlfn.XLOOKUP(Table6[[#This Row],[Affected WTG]],'Basic Data'!$A:$A,'Basic Data'!$C:$C),"")</f>
        <v>GEDA</v>
      </c>
      <c r="J1604" s="260">
        <f>IFERROR(_xlfn.XLOOKUP(Table6[[#This Row],[Affected WTG]],'Basic Data'!$A:$A,'Basic Data'!$E:$E),"")</f>
        <v>3.846153846153845E-2</v>
      </c>
      <c r="K1604" s="102">
        <v>6605</v>
      </c>
      <c r="L1604" s="35" t="str">
        <f>IFERROR(_xlfn.XLOOKUP(Table6[[#This Row],[Error Code]],'Basic Data'!$AA:$AA,'Basic Data'!$AB:$AB),"Incorrect Error Code")</f>
        <v>Wind.dir. diff. level 2</v>
      </c>
      <c r="M1604" s="35" t="s">
        <v>266</v>
      </c>
      <c r="N1604" s="264"/>
      <c r="O1604" s="265">
        <v>0.59652777777777777</v>
      </c>
      <c r="P1604" s="265">
        <v>0.59652777777777777</v>
      </c>
      <c r="Q1604" s="266">
        <v>0.59722222222222221</v>
      </c>
      <c r="R1604" s="261">
        <f>IF(Table6[[#This Row],[Work Start TimeStamp]]="","",(Table6[[#This Row],[Work Start TimeStamp]]-Table6[[#This Row],[Fault Start TimeStamp]])*24)</f>
        <v>0</v>
      </c>
      <c r="S1604" s="261">
        <f>(Table6[[#This Row],[Fault Clearance time]]-Table6[[#This Row],[Work Start TimeStamp]])*24</f>
        <v>1.6666666666666607E-2</v>
      </c>
      <c r="T1604" s="261">
        <f>(Table6[[#This Row],[Fault Clearance time]]-Table6[[#This Row],[Fault Start TimeStamp]])*24</f>
        <v>1.6666666666666607E-2</v>
      </c>
      <c r="U1604" s="35" t="s">
        <v>483</v>
      </c>
      <c r="V1604" s="102" t="s">
        <v>268</v>
      </c>
      <c r="W1604" s="290">
        <f>IFERROR(Table6[[#This Row],[Breakdown Time]]*Table6[[#This Row],[Plant Equivalent Weightage]],"")</f>
        <v>6.4102564102563853E-4</v>
      </c>
      <c r="X1604" s="262" t="s">
        <v>269</v>
      </c>
      <c r="Y1604" s="263" t="s">
        <v>140</v>
      </c>
      <c r="Z1604" s="102">
        <v>37365</v>
      </c>
      <c r="AA1604" s="257">
        <f>(Table6[[#This Row],[Paired WTG Generation for loss calculation]]/24)*Table6[[#This Row],[Breakdown Time]]</f>
        <v>25.947916666666575</v>
      </c>
      <c r="AB1604" s="102"/>
      <c r="AC1604" s="35"/>
      <c r="AD1604" s="35"/>
    </row>
    <row r="1605" spans="1:30">
      <c r="A1605" s="102">
        <f t="shared" si="25"/>
        <v>1604</v>
      </c>
      <c r="B1605" s="257">
        <f>YEAR(Table6[[#This Row],[Date]])+IF(MONTH(Table6[[#This Row],[Date]])&gt;=4,1,0)</f>
        <v>2026</v>
      </c>
      <c r="C1605" s="102">
        <f>YEAR(Table6[[#This Row],[Date]])</f>
        <v>2025</v>
      </c>
      <c r="D1605" s="102" t="s">
        <v>265</v>
      </c>
      <c r="E1605" s="258">
        <f>Table6[[#This Row],[Date]]-DAY(Table6[[#This Row],[Date]])+1</f>
        <v>45839</v>
      </c>
      <c r="F1605" s="259">
        <v>45861</v>
      </c>
      <c r="G1605" s="35" t="s">
        <v>131</v>
      </c>
      <c r="H1605" s="35" t="str">
        <f>IFERROR(_xlfn.XLOOKUP(Table6[[#This Row],[Affected WTG]],'Basic Data'!$A:$A,'Basic Data'!$B:$B),"")</f>
        <v>TQGXIIPL</v>
      </c>
      <c r="I1605" s="35" t="str">
        <f>IFERROR(_xlfn.XLOOKUP(Table6[[#This Row],[Affected WTG]],'Basic Data'!$A:$A,'Basic Data'!$C:$C),"")</f>
        <v>GEDA</v>
      </c>
      <c r="J1605" s="260">
        <f>IFERROR(_xlfn.XLOOKUP(Table6[[#This Row],[Affected WTG]],'Basic Data'!$A:$A,'Basic Data'!$E:$E),"")</f>
        <v>3.846153846153845E-2</v>
      </c>
      <c r="K1605" s="102">
        <v>55</v>
      </c>
      <c r="L1605" s="35" t="str">
        <f>IFERROR(_xlfn.XLOOKUP(Table6[[#This Row],[Error Code]],'Basic Data'!$AA:$AA,'Basic Data'!$AB:$AB),"Incorrect Error Code")</f>
        <v>WTG shut down</v>
      </c>
      <c r="M1605" s="35" t="s">
        <v>266</v>
      </c>
      <c r="N1605" s="264"/>
      <c r="O1605" s="265">
        <v>0</v>
      </c>
      <c r="P1605" s="265">
        <v>0</v>
      </c>
      <c r="Q1605" s="266">
        <v>2.0833333333333332E-2</v>
      </c>
      <c r="R1605" s="261">
        <f>IF(Table6[[#This Row],[Work Start TimeStamp]]="","",(Table6[[#This Row],[Work Start TimeStamp]]-Table6[[#This Row],[Fault Start TimeStamp]])*24)</f>
        <v>0</v>
      </c>
      <c r="S1605" s="261">
        <f>(Table6[[#This Row],[Fault Clearance time]]-Table6[[#This Row],[Work Start TimeStamp]])*24</f>
        <v>0.5</v>
      </c>
      <c r="T1605" s="261">
        <f>(Table6[[#This Row],[Fault Clearance time]]-Table6[[#This Row],[Fault Start TimeStamp]])*24</f>
        <v>0.5</v>
      </c>
      <c r="U1605" s="35" t="s">
        <v>624</v>
      </c>
      <c r="V1605" s="102" t="s">
        <v>268</v>
      </c>
      <c r="W1605" s="290">
        <f>IFERROR(Table6[[#This Row],[Breakdown Time]]*Table6[[#This Row],[Plant Equivalent Weightage]],"")</f>
        <v>1.9230769230769225E-2</v>
      </c>
      <c r="X1605" s="262" t="s">
        <v>296</v>
      </c>
      <c r="Y1605" s="263" t="s">
        <v>136</v>
      </c>
      <c r="Z1605" s="102">
        <v>33354</v>
      </c>
      <c r="AA1605" s="257">
        <f>(Table6[[#This Row],[Paired WTG Generation for loss calculation]]/24)*Table6[[#This Row],[Breakdown Time]]</f>
        <v>694.875</v>
      </c>
      <c r="AB1605" s="102"/>
      <c r="AC1605" s="35"/>
      <c r="AD1605" s="35"/>
    </row>
    <row r="1606" spans="1:30">
      <c r="A1606" s="102">
        <f t="shared" si="25"/>
        <v>1605</v>
      </c>
      <c r="B1606" s="257">
        <f>YEAR(Table6[[#This Row],[Date]])+IF(MONTH(Table6[[#This Row],[Date]])&gt;=4,1,0)</f>
        <v>2026</v>
      </c>
      <c r="C1606" s="102">
        <f>YEAR(Table6[[#This Row],[Date]])</f>
        <v>2025</v>
      </c>
      <c r="D1606" s="102" t="s">
        <v>265</v>
      </c>
      <c r="E1606" s="258">
        <f>Table6[[#This Row],[Date]]-DAY(Table6[[#This Row],[Date]])+1</f>
        <v>45839</v>
      </c>
      <c r="F1606" s="259">
        <v>45861</v>
      </c>
      <c r="G1606" s="35" t="s">
        <v>131</v>
      </c>
      <c r="H1606" s="35" t="str">
        <f>IFERROR(_xlfn.XLOOKUP(Table6[[#This Row],[Affected WTG]],'Basic Data'!$A:$A,'Basic Data'!$B:$B),"")</f>
        <v>TQGXIIPL</v>
      </c>
      <c r="I1606" s="35" t="str">
        <f>IFERROR(_xlfn.XLOOKUP(Table6[[#This Row],[Affected WTG]],'Basic Data'!$A:$A,'Basic Data'!$C:$C),"")</f>
        <v>GEDA</v>
      </c>
      <c r="J1606" s="260">
        <f>IFERROR(_xlfn.XLOOKUP(Table6[[#This Row],[Affected WTG]],'Basic Data'!$A:$A,'Basic Data'!$E:$E),"")</f>
        <v>3.846153846153845E-2</v>
      </c>
      <c r="K1606" s="102">
        <v>55</v>
      </c>
      <c r="L1606" s="35" t="str">
        <f>IFERROR(_xlfn.XLOOKUP(Table6[[#This Row],[Error Code]],'Basic Data'!$AA:$AA,'Basic Data'!$AB:$AB),"Incorrect Error Code")</f>
        <v>WTG shut down</v>
      </c>
      <c r="M1606" s="35" t="s">
        <v>266</v>
      </c>
      <c r="N1606" s="264"/>
      <c r="O1606" s="265">
        <v>3.8194444444444448E-2</v>
      </c>
      <c r="P1606" s="265">
        <v>3.8194444444444448E-2</v>
      </c>
      <c r="Q1606" s="266">
        <v>6.3888888888888884E-2</v>
      </c>
      <c r="R1606" s="261">
        <f>IF(Table6[[#This Row],[Work Start TimeStamp]]="","",(Table6[[#This Row],[Work Start TimeStamp]]-Table6[[#This Row],[Fault Start TimeStamp]])*24)</f>
        <v>0</v>
      </c>
      <c r="S1606" s="261">
        <f>(Table6[[#This Row],[Fault Clearance time]]-Table6[[#This Row],[Work Start TimeStamp]])*24</f>
        <v>0.61666666666666647</v>
      </c>
      <c r="T1606" s="261">
        <f>(Table6[[#This Row],[Fault Clearance time]]-Table6[[#This Row],[Fault Start TimeStamp]])*24</f>
        <v>0.61666666666666647</v>
      </c>
      <c r="U1606" s="35" t="s">
        <v>625</v>
      </c>
      <c r="V1606" s="102" t="s">
        <v>268</v>
      </c>
      <c r="W1606" s="290">
        <f>IFERROR(Table6[[#This Row],[Breakdown Time]]*Table6[[#This Row],[Plant Equivalent Weightage]],"")</f>
        <v>2.3717948717948703E-2</v>
      </c>
      <c r="X1606" s="262" t="s">
        <v>296</v>
      </c>
      <c r="Y1606" s="263" t="s">
        <v>136</v>
      </c>
      <c r="Z1606" s="102">
        <v>33354</v>
      </c>
      <c r="AA1606" s="257">
        <f>(Table6[[#This Row],[Paired WTG Generation for loss calculation]]/24)*Table6[[#This Row],[Breakdown Time]]</f>
        <v>857.0124999999997</v>
      </c>
      <c r="AB1606" s="102"/>
      <c r="AC1606" s="35"/>
      <c r="AD1606" s="35"/>
    </row>
    <row r="1607" spans="1:30">
      <c r="A1607" s="102">
        <f t="shared" si="25"/>
        <v>1606</v>
      </c>
      <c r="B1607" s="257">
        <f>YEAR(Table6[[#This Row],[Date]])+IF(MONTH(Table6[[#This Row],[Date]])&gt;=4,1,0)</f>
        <v>2026</v>
      </c>
      <c r="C1607" s="102">
        <f>YEAR(Table6[[#This Row],[Date]])</f>
        <v>2025</v>
      </c>
      <c r="D1607" s="102" t="s">
        <v>265</v>
      </c>
      <c r="E1607" s="258">
        <f>Table6[[#This Row],[Date]]-DAY(Table6[[#This Row],[Date]])+1</f>
        <v>45839</v>
      </c>
      <c r="F1607" s="259">
        <v>45862</v>
      </c>
      <c r="G1607" s="35" t="s">
        <v>134</v>
      </c>
      <c r="H1607" s="35" t="str">
        <f>IFERROR(_xlfn.XLOOKUP(Table6[[#This Row],[Affected WTG]],'Basic Data'!$A:$A,'Basic Data'!$B:$B),"")</f>
        <v>TQGXIIPL</v>
      </c>
      <c r="I1607" s="35" t="str">
        <f>IFERROR(_xlfn.XLOOKUP(Table6[[#This Row],[Affected WTG]],'Basic Data'!$A:$A,'Basic Data'!$C:$C),"")</f>
        <v>GEDA</v>
      </c>
      <c r="J1607" s="260">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291</v>
      </c>
      <c r="N1607" s="264"/>
      <c r="O1607" s="265">
        <v>4.8611111111111112E-2</v>
      </c>
      <c r="P1607" s="265">
        <v>7.9861111111111105E-2</v>
      </c>
      <c r="Q1607" s="266">
        <v>0.58680555555555558</v>
      </c>
      <c r="R1607" s="261">
        <f>IF(Table6[[#This Row],[Work Start TimeStamp]]="","",(Table6[[#This Row],[Work Start TimeStamp]]-Table6[[#This Row],[Fault Start TimeStamp]])*24)</f>
        <v>0.74999999999999978</v>
      </c>
      <c r="S1607" s="261">
        <f>(Table6[[#This Row],[Fault Clearance time]]-Table6[[#This Row],[Work Start TimeStamp]])*24</f>
        <v>12.166666666666666</v>
      </c>
      <c r="T1607" s="261">
        <f>(Table6[[#This Row],[Fault Clearance time]]-Table6[[#This Row],[Fault Start TimeStamp]])*24</f>
        <v>12.916666666666666</v>
      </c>
      <c r="U1607" s="35" t="s">
        <v>626</v>
      </c>
      <c r="V1607" s="102" t="s">
        <v>268</v>
      </c>
      <c r="W1607" s="290">
        <f>IFERROR(Table6[[#This Row],[Breakdown Time]]*Table6[[#This Row],[Plant Equivalent Weightage]],"")</f>
        <v>0.49679487179487164</v>
      </c>
      <c r="X1607" s="262" t="s">
        <v>296</v>
      </c>
      <c r="Y1607" s="263" t="s">
        <v>138</v>
      </c>
      <c r="Z1607" s="102">
        <v>16710</v>
      </c>
      <c r="AA1607" s="257">
        <f>(Table6[[#This Row],[Paired WTG Generation for loss calculation]]/24)*Table6[[#This Row],[Breakdown Time]]</f>
        <v>8993.2291666666661</v>
      </c>
      <c r="AB1607" s="102"/>
      <c r="AC1607" s="35"/>
      <c r="AD1607" s="35"/>
    </row>
    <row r="1608" spans="1:30">
      <c r="A1608" s="102">
        <f t="shared" si="25"/>
        <v>1607</v>
      </c>
      <c r="B1608" s="257">
        <f>YEAR(Table6[[#This Row],[Date]])+IF(MONTH(Table6[[#This Row],[Date]])&gt;=4,1,0)</f>
        <v>2026</v>
      </c>
      <c r="C1608" s="102">
        <f>YEAR(Table6[[#This Row],[Date]])</f>
        <v>2025</v>
      </c>
      <c r="D1608" s="102" t="s">
        <v>265</v>
      </c>
      <c r="E1608" s="258">
        <f>Table6[[#This Row],[Date]]-DAY(Table6[[#This Row],[Date]])+1</f>
        <v>45839</v>
      </c>
      <c r="F1608" s="259">
        <v>45863</v>
      </c>
      <c r="G1608" s="35" t="s">
        <v>115</v>
      </c>
      <c r="H1608" s="35" t="str">
        <f>IFERROR(_xlfn.XLOOKUP(Table6[[#This Row],[Affected WTG]],'Basic Data'!$A:$A,'Basic Data'!$B:$B),"")</f>
        <v>TQGXIIPL</v>
      </c>
      <c r="I1608" s="35" t="str">
        <f>IFERROR(_xlfn.XLOOKUP(Table6[[#This Row],[Affected WTG]],'Basic Data'!$A:$A,'Basic Data'!$C:$C),"")</f>
        <v>GEDA</v>
      </c>
      <c r="J1608" s="260">
        <f>IFERROR(_xlfn.XLOOKUP(Table6[[#This Row],[Affected WTG]],'Basic Data'!$A:$A,'Basic Data'!$E:$E),"")</f>
        <v>3.846153846153845E-2</v>
      </c>
      <c r="K1608" s="102">
        <v>55</v>
      </c>
      <c r="L1608" s="35" t="str">
        <f>IFERROR(_xlfn.XLOOKUP(Table6[[#This Row],[Error Code]],'Basic Data'!$AA:$AA,'Basic Data'!$AB:$AB),"Incorrect Error Code")</f>
        <v>WTG shut down</v>
      </c>
      <c r="M1608" s="35" t="s">
        <v>266</v>
      </c>
      <c r="N1608" s="264"/>
      <c r="O1608" s="265">
        <v>0.56458333333333333</v>
      </c>
      <c r="P1608" s="265">
        <v>0.56458333333333333</v>
      </c>
      <c r="Q1608" s="266">
        <v>0.56944444444444442</v>
      </c>
      <c r="R1608" s="261">
        <f>IF(Table6[[#This Row],[Work Start TimeStamp]]="","",(Table6[[#This Row],[Work Start TimeStamp]]-Table6[[#This Row],[Fault Start TimeStamp]])*24)</f>
        <v>0</v>
      </c>
      <c r="S1608" s="261">
        <f>(Table6[[#This Row],[Fault Clearance time]]-Table6[[#This Row],[Work Start TimeStamp]])*24</f>
        <v>0.11666666666666625</v>
      </c>
      <c r="T1608" s="261">
        <f>(Table6[[#This Row],[Fault Clearance time]]-Table6[[#This Row],[Fault Start TimeStamp]])*24</f>
        <v>0.11666666666666625</v>
      </c>
      <c r="U1608" s="35" t="s">
        <v>627</v>
      </c>
      <c r="V1608" s="102" t="s">
        <v>268</v>
      </c>
      <c r="W1608" s="290">
        <f>IFERROR(Table6[[#This Row],[Breakdown Time]]*Table6[[#This Row],[Plant Equivalent Weightage]],"")</f>
        <v>4.4871794871794695E-3</v>
      </c>
      <c r="X1608" s="262" t="s">
        <v>296</v>
      </c>
      <c r="Y1608" s="263" t="s">
        <v>140</v>
      </c>
      <c r="Z1608" s="102">
        <v>13413</v>
      </c>
      <c r="AA1608" s="257">
        <f>(Table6[[#This Row],[Paired WTG Generation for loss calculation]]/24)*Table6[[#This Row],[Breakdown Time]]</f>
        <v>65.202083333333107</v>
      </c>
      <c r="AB1608" s="102"/>
      <c r="AC1608" s="35"/>
      <c r="AD1608" s="35"/>
    </row>
    <row r="1609" spans="1:30">
      <c r="A1609" s="102">
        <f t="shared" si="25"/>
        <v>1608</v>
      </c>
      <c r="B1609" s="257">
        <f>YEAR(Table6[[#This Row],[Date]])+IF(MONTH(Table6[[#This Row],[Date]])&gt;=4,1,0)</f>
        <v>2026</v>
      </c>
      <c r="C1609" s="102">
        <f>YEAR(Table6[[#This Row],[Date]])</f>
        <v>2025</v>
      </c>
      <c r="D1609" s="102" t="s">
        <v>265</v>
      </c>
      <c r="E1609" s="258">
        <f>Table6[[#This Row],[Date]]-DAY(Table6[[#This Row],[Date]])+1</f>
        <v>45839</v>
      </c>
      <c r="F1609" s="259">
        <v>45863</v>
      </c>
      <c r="G1609" s="35" t="s">
        <v>116</v>
      </c>
      <c r="H1609" s="35" t="str">
        <f>IFERROR(_xlfn.XLOOKUP(Table6[[#This Row],[Affected WTG]],'Basic Data'!$A:$A,'Basic Data'!$B:$B),"")</f>
        <v>TQGXIIPL</v>
      </c>
      <c r="I1609" s="35" t="str">
        <f>IFERROR(_xlfn.XLOOKUP(Table6[[#This Row],[Affected WTG]],'Basic Data'!$A:$A,'Basic Data'!$C:$C),"")</f>
        <v>GEDA</v>
      </c>
      <c r="J1609" s="260">
        <f>IFERROR(_xlfn.XLOOKUP(Table6[[#This Row],[Affected WTG]],'Basic Data'!$A:$A,'Basic Data'!$E:$E),"")</f>
        <v>3.846153846153845E-2</v>
      </c>
      <c r="K1609" s="102">
        <v>55</v>
      </c>
      <c r="L1609" s="35" t="str">
        <f>IFERROR(_xlfn.XLOOKUP(Table6[[#This Row],[Error Code]],'Basic Data'!$AA:$AA,'Basic Data'!$AB:$AB),"Incorrect Error Code")</f>
        <v>WTG shut down</v>
      </c>
      <c r="M1609" s="35" t="s">
        <v>266</v>
      </c>
      <c r="N1609" s="264"/>
      <c r="O1609" s="265">
        <v>0.47986111111111113</v>
      </c>
      <c r="P1609" s="265">
        <v>0.47986111111111113</v>
      </c>
      <c r="Q1609" s="266">
        <v>0.48333333333333334</v>
      </c>
      <c r="R1609" s="261">
        <f>IF(Table6[[#This Row],[Work Start TimeStamp]]="","",(Table6[[#This Row],[Work Start TimeStamp]]-Table6[[#This Row],[Fault Start TimeStamp]])*24)</f>
        <v>0</v>
      </c>
      <c r="S1609" s="261">
        <f>(Table6[[#This Row],[Fault Clearance time]]-Table6[[#This Row],[Work Start TimeStamp]])*24</f>
        <v>8.3333333333333037E-2</v>
      </c>
      <c r="T1609" s="261">
        <f>(Table6[[#This Row],[Fault Clearance time]]-Table6[[#This Row],[Fault Start TimeStamp]])*24</f>
        <v>8.3333333333333037E-2</v>
      </c>
      <c r="U1609" s="35" t="s">
        <v>627</v>
      </c>
      <c r="V1609" s="102" t="s">
        <v>268</v>
      </c>
      <c r="W1609" s="290">
        <f>IFERROR(Table6[[#This Row],[Breakdown Time]]*Table6[[#This Row],[Plant Equivalent Weightage]],"")</f>
        <v>3.2051282051281929E-3</v>
      </c>
      <c r="X1609" s="262" t="s">
        <v>296</v>
      </c>
      <c r="Y1609" s="263" t="s">
        <v>119</v>
      </c>
      <c r="Z1609" s="102">
        <v>15744</v>
      </c>
      <c r="AA1609" s="257">
        <f>(Table6[[#This Row],[Paired WTG Generation for loss calculation]]/24)*Table6[[#This Row],[Breakdown Time]]</f>
        <v>54.666666666666472</v>
      </c>
      <c r="AB1609" s="102"/>
      <c r="AC1609" s="35"/>
      <c r="AD1609" s="35"/>
    </row>
    <row r="1610" spans="1:30">
      <c r="A1610" s="102">
        <f t="shared" si="25"/>
        <v>1609</v>
      </c>
      <c r="B1610" s="257">
        <f>YEAR(Table6[[#This Row],[Date]])+IF(MONTH(Table6[[#This Row],[Date]])&gt;=4,1,0)</f>
        <v>2026</v>
      </c>
      <c r="C1610" s="102">
        <f>YEAR(Table6[[#This Row],[Date]])</f>
        <v>2025</v>
      </c>
      <c r="D1610" s="102" t="s">
        <v>265</v>
      </c>
      <c r="E1610" s="258">
        <f>Table6[[#This Row],[Date]]-DAY(Table6[[#This Row],[Date]])+1</f>
        <v>45839</v>
      </c>
      <c r="F1610" s="259">
        <v>45863</v>
      </c>
      <c r="G1610" s="35" t="s">
        <v>117</v>
      </c>
      <c r="H1610" s="35" t="str">
        <f>IFERROR(_xlfn.XLOOKUP(Table6[[#This Row],[Affected WTG]],'Basic Data'!$A:$A,'Basic Data'!$B:$B),"")</f>
        <v>TQGXIIPL</v>
      </c>
      <c r="I1610" s="35" t="str">
        <f>IFERROR(_xlfn.XLOOKUP(Table6[[#This Row],[Affected WTG]],'Basic Data'!$A:$A,'Basic Data'!$C:$C),"")</f>
        <v>GEDA</v>
      </c>
      <c r="J1610" s="260">
        <f>IFERROR(_xlfn.XLOOKUP(Table6[[#This Row],[Affected WTG]],'Basic Data'!$A:$A,'Basic Data'!$E:$E),"")</f>
        <v>3.846153846153845E-2</v>
      </c>
      <c r="K1610" s="102">
        <v>55</v>
      </c>
      <c r="L1610" s="35" t="str">
        <f>IFERROR(_xlfn.XLOOKUP(Table6[[#This Row],[Error Code]],'Basic Data'!$AA:$AA,'Basic Data'!$AB:$AB),"Incorrect Error Code")</f>
        <v>WTG shut down</v>
      </c>
      <c r="M1610" s="35" t="s">
        <v>266</v>
      </c>
      <c r="N1610" s="264"/>
      <c r="O1610" s="265">
        <v>0.48194444444444445</v>
      </c>
      <c r="P1610" s="265">
        <v>0.48194444444444445</v>
      </c>
      <c r="Q1610" s="266">
        <v>0.48541666666666666</v>
      </c>
      <c r="R1610" s="261">
        <f>IF(Table6[[#This Row],[Work Start TimeStamp]]="","",(Table6[[#This Row],[Work Start TimeStamp]]-Table6[[#This Row],[Fault Start TimeStamp]])*24)</f>
        <v>0</v>
      </c>
      <c r="S1610" s="261">
        <f>(Table6[[#This Row],[Fault Clearance time]]-Table6[[#This Row],[Work Start TimeStamp]])*24</f>
        <v>8.3333333333333037E-2</v>
      </c>
      <c r="T1610" s="261">
        <f>(Table6[[#This Row],[Fault Clearance time]]-Table6[[#This Row],[Fault Start TimeStamp]])*24</f>
        <v>8.3333333333333037E-2</v>
      </c>
      <c r="U1610" s="35" t="s">
        <v>627</v>
      </c>
      <c r="V1610" s="102" t="s">
        <v>268</v>
      </c>
      <c r="W1610" s="290">
        <f>IFERROR(Table6[[#This Row],[Breakdown Time]]*Table6[[#This Row],[Plant Equivalent Weightage]],"")</f>
        <v>3.2051282051281929E-3</v>
      </c>
      <c r="X1610" s="262" t="s">
        <v>296</v>
      </c>
      <c r="Y1610" s="263" t="s">
        <v>123</v>
      </c>
      <c r="Z1610" s="102">
        <v>11688</v>
      </c>
      <c r="AA1610" s="257">
        <f>(Table6[[#This Row],[Paired WTG Generation for loss calculation]]/24)*Table6[[#This Row],[Breakdown Time]]</f>
        <v>40.583333333333186</v>
      </c>
      <c r="AB1610" s="102"/>
      <c r="AC1610" s="35"/>
      <c r="AD1610" s="35"/>
    </row>
    <row r="1611" spans="1:30">
      <c r="A1611" s="102">
        <f t="shared" si="25"/>
        <v>1610</v>
      </c>
      <c r="B1611" s="257">
        <f>YEAR(Table6[[#This Row],[Date]])+IF(MONTH(Table6[[#This Row],[Date]])&gt;=4,1,0)</f>
        <v>2026</v>
      </c>
      <c r="C1611" s="102">
        <f>YEAR(Table6[[#This Row],[Date]])</f>
        <v>2025</v>
      </c>
      <c r="D1611" s="102" t="s">
        <v>265</v>
      </c>
      <c r="E1611" s="258">
        <f>Table6[[#This Row],[Date]]-DAY(Table6[[#This Row],[Date]])+1</f>
        <v>45839</v>
      </c>
      <c r="F1611" s="259">
        <v>45863</v>
      </c>
      <c r="G1611" s="35" t="s">
        <v>120</v>
      </c>
      <c r="H1611" s="35" t="str">
        <f>IFERROR(_xlfn.XLOOKUP(Table6[[#This Row],[Affected WTG]],'Basic Data'!$A:$A,'Basic Data'!$B:$B),"")</f>
        <v>TQGXIIPL</v>
      </c>
      <c r="I1611" s="35" t="str">
        <f>IFERROR(_xlfn.XLOOKUP(Table6[[#This Row],[Affected WTG]],'Basic Data'!$A:$A,'Basic Data'!$C:$C),"")</f>
        <v>GEDA</v>
      </c>
      <c r="J1611" s="260">
        <f>IFERROR(_xlfn.XLOOKUP(Table6[[#This Row],[Affected WTG]],'Basic Data'!$A:$A,'Basic Data'!$E:$E),"")</f>
        <v>3.846153846153845E-2</v>
      </c>
      <c r="K1611" s="102">
        <v>55</v>
      </c>
      <c r="L1611" s="35" t="str">
        <f>IFERROR(_xlfn.XLOOKUP(Table6[[#This Row],[Error Code]],'Basic Data'!$AA:$AA,'Basic Data'!$AB:$AB),"Incorrect Error Code")</f>
        <v>WTG shut down</v>
      </c>
      <c r="M1611" s="35" t="s">
        <v>266</v>
      </c>
      <c r="N1611" s="264"/>
      <c r="O1611" s="265">
        <v>0.51875000000000004</v>
      </c>
      <c r="P1611" s="265">
        <v>0.51875000000000004</v>
      </c>
      <c r="Q1611" s="266">
        <v>0.52361111111111114</v>
      </c>
      <c r="R1611" s="261">
        <f>IF(Table6[[#This Row],[Work Start TimeStamp]]="","",(Table6[[#This Row],[Work Start TimeStamp]]-Table6[[#This Row],[Fault Start TimeStamp]])*24)</f>
        <v>0</v>
      </c>
      <c r="S1611" s="261">
        <f>(Table6[[#This Row],[Fault Clearance time]]-Table6[[#This Row],[Work Start TimeStamp]])*24</f>
        <v>0.11666666666666625</v>
      </c>
      <c r="T1611" s="261">
        <f>(Table6[[#This Row],[Fault Clearance time]]-Table6[[#This Row],[Fault Start TimeStamp]])*24</f>
        <v>0.11666666666666625</v>
      </c>
      <c r="U1611" s="35" t="s">
        <v>627</v>
      </c>
      <c r="V1611" s="102" t="s">
        <v>268</v>
      </c>
      <c r="W1611" s="290">
        <f>IFERROR(Table6[[#This Row],[Breakdown Time]]*Table6[[#This Row],[Plant Equivalent Weightage]],"")</f>
        <v>4.4871794871794695E-3</v>
      </c>
      <c r="X1611" s="262" t="s">
        <v>296</v>
      </c>
      <c r="Y1611" s="263" t="s">
        <v>135</v>
      </c>
      <c r="Z1611" s="102">
        <v>17684</v>
      </c>
      <c r="AA1611" s="257">
        <f>(Table6[[#This Row],[Paired WTG Generation for loss calculation]]/24)*Table6[[#This Row],[Breakdown Time]]</f>
        <v>85.96388888888859</v>
      </c>
      <c r="AB1611" s="102"/>
      <c r="AC1611" s="35"/>
      <c r="AD1611" s="35"/>
    </row>
    <row r="1612" spans="1:30">
      <c r="A1612" s="102">
        <f t="shared" si="25"/>
        <v>1611</v>
      </c>
      <c r="B1612" s="257">
        <f>YEAR(Table6[[#This Row],[Date]])+IF(MONTH(Table6[[#This Row],[Date]])&gt;=4,1,0)</f>
        <v>2026</v>
      </c>
      <c r="C1612" s="102">
        <f>YEAR(Table6[[#This Row],[Date]])</f>
        <v>2025</v>
      </c>
      <c r="D1612" s="102" t="s">
        <v>265</v>
      </c>
      <c r="E1612" s="258">
        <f>Table6[[#This Row],[Date]]-DAY(Table6[[#This Row],[Date]])+1</f>
        <v>45839</v>
      </c>
      <c r="F1612" s="259">
        <v>45863</v>
      </c>
      <c r="G1612" s="35" t="s">
        <v>121</v>
      </c>
      <c r="H1612" s="35" t="str">
        <f>IFERROR(_xlfn.XLOOKUP(Table6[[#This Row],[Affected WTG]],'Basic Data'!$A:$A,'Basic Data'!$B:$B),"")</f>
        <v>TQGXIIPL</v>
      </c>
      <c r="I1612" s="35" t="str">
        <f>IFERROR(_xlfn.XLOOKUP(Table6[[#This Row],[Affected WTG]],'Basic Data'!$A:$A,'Basic Data'!$C:$C),"")</f>
        <v>GEDA</v>
      </c>
      <c r="J1612" s="260">
        <f>IFERROR(_xlfn.XLOOKUP(Table6[[#This Row],[Affected WTG]],'Basic Data'!$A:$A,'Basic Data'!$E:$E),"")</f>
        <v>3.846153846153845E-2</v>
      </c>
      <c r="K1612" s="102">
        <v>55</v>
      </c>
      <c r="L1612" s="35" t="str">
        <f>IFERROR(_xlfn.XLOOKUP(Table6[[#This Row],[Error Code]],'Basic Data'!$AA:$AA,'Basic Data'!$AB:$AB),"Incorrect Error Code")</f>
        <v>WTG shut down</v>
      </c>
      <c r="M1612" s="35" t="s">
        <v>266</v>
      </c>
      <c r="N1612" s="264"/>
      <c r="O1612" s="265">
        <v>0.42777777777777776</v>
      </c>
      <c r="P1612" s="265">
        <v>0.42777777777777776</v>
      </c>
      <c r="Q1612" s="266">
        <v>0.43055555555555558</v>
      </c>
      <c r="R1612" s="261">
        <f>IF(Table6[[#This Row],[Work Start TimeStamp]]="","",(Table6[[#This Row],[Work Start TimeStamp]]-Table6[[#This Row],[Fault Start TimeStamp]])*24)</f>
        <v>0</v>
      </c>
      <c r="S1612" s="261">
        <f>(Table6[[#This Row],[Fault Clearance time]]-Table6[[#This Row],[Work Start TimeStamp]])*24</f>
        <v>6.6666666666667762E-2</v>
      </c>
      <c r="T1612" s="261">
        <f>(Table6[[#This Row],[Fault Clearance time]]-Table6[[#This Row],[Fault Start TimeStamp]])*24</f>
        <v>6.6666666666667762E-2</v>
      </c>
      <c r="U1612" s="35" t="s">
        <v>627</v>
      </c>
      <c r="V1612" s="102" t="s">
        <v>268</v>
      </c>
      <c r="W1612" s="290">
        <f>IFERROR(Table6[[#This Row],[Breakdown Time]]*Table6[[#This Row],[Plant Equivalent Weightage]],"")</f>
        <v>2.5641025641026053E-3</v>
      </c>
      <c r="X1612" s="262" t="s">
        <v>296</v>
      </c>
      <c r="Y1612" s="263" t="s">
        <v>118</v>
      </c>
      <c r="Z1612" s="102">
        <v>15084</v>
      </c>
      <c r="AA1612" s="257">
        <f>(Table6[[#This Row],[Paired WTG Generation for loss calculation]]/24)*Table6[[#This Row],[Breakdown Time]]</f>
        <v>41.900000000000688</v>
      </c>
      <c r="AB1612" s="102"/>
      <c r="AC1612" s="35"/>
      <c r="AD1612" s="35"/>
    </row>
    <row r="1613" spans="1:30">
      <c r="A1613" s="102">
        <f t="shared" si="25"/>
        <v>1612</v>
      </c>
      <c r="B1613" s="257">
        <f>YEAR(Table6[[#This Row],[Date]])+IF(MONTH(Table6[[#This Row],[Date]])&gt;=4,1,0)</f>
        <v>2026</v>
      </c>
      <c r="C1613" s="102">
        <f>YEAR(Table6[[#This Row],[Date]])</f>
        <v>2025</v>
      </c>
      <c r="D1613" s="102" t="s">
        <v>265</v>
      </c>
      <c r="E1613" s="258">
        <f>Table6[[#This Row],[Date]]-DAY(Table6[[#This Row],[Date]])+1</f>
        <v>45839</v>
      </c>
      <c r="F1613" s="259">
        <v>45863</v>
      </c>
      <c r="G1613" s="35" t="s">
        <v>122</v>
      </c>
      <c r="H1613" s="35" t="str">
        <f>IFERROR(_xlfn.XLOOKUP(Table6[[#This Row],[Affected WTG]],'Basic Data'!$A:$A,'Basic Data'!$B:$B),"")</f>
        <v>TQGXIIPL</v>
      </c>
      <c r="I1613" s="35" t="str">
        <f>IFERROR(_xlfn.XLOOKUP(Table6[[#This Row],[Affected WTG]],'Basic Data'!$A:$A,'Basic Data'!$C:$C),"")</f>
        <v>GEDA</v>
      </c>
      <c r="J1613" s="260">
        <f>IFERROR(_xlfn.XLOOKUP(Table6[[#This Row],[Affected WTG]],'Basic Data'!$A:$A,'Basic Data'!$E:$E),"")</f>
        <v>3.846153846153845E-2</v>
      </c>
      <c r="K1613" s="102">
        <v>55</v>
      </c>
      <c r="L1613" s="35" t="str">
        <f>IFERROR(_xlfn.XLOOKUP(Table6[[#This Row],[Error Code]],'Basic Data'!$AA:$AA,'Basic Data'!$AB:$AB),"Incorrect Error Code")</f>
        <v>WTG shut down</v>
      </c>
      <c r="M1613" s="35" t="s">
        <v>266</v>
      </c>
      <c r="N1613" s="264"/>
      <c r="O1613" s="265">
        <v>0.55138888888888893</v>
      </c>
      <c r="P1613" s="265">
        <v>0.55138888888888893</v>
      </c>
      <c r="Q1613" s="266">
        <v>0.55486111111111114</v>
      </c>
      <c r="R1613" s="261">
        <f>IF(Table6[[#This Row],[Work Start TimeStamp]]="","",(Table6[[#This Row],[Work Start TimeStamp]]-Table6[[#This Row],[Fault Start TimeStamp]])*24)</f>
        <v>0</v>
      </c>
      <c r="S1613" s="261">
        <f>(Table6[[#This Row],[Fault Clearance time]]-Table6[[#This Row],[Work Start TimeStamp]])*24</f>
        <v>8.3333333333333037E-2</v>
      </c>
      <c r="T1613" s="261">
        <f>(Table6[[#This Row],[Fault Clearance time]]-Table6[[#This Row],[Fault Start TimeStamp]])*24</f>
        <v>8.3333333333333037E-2</v>
      </c>
      <c r="U1613" s="35" t="s">
        <v>627</v>
      </c>
      <c r="V1613" s="102" t="s">
        <v>268</v>
      </c>
      <c r="W1613" s="290">
        <f>IFERROR(Table6[[#This Row],[Breakdown Time]]*Table6[[#This Row],[Plant Equivalent Weightage]],"")</f>
        <v>3.2051282051281929E-3</v>
      </c>
      <c r="X1613" s="262" t="s">
        <v>296</v>
      </c>
      <c r="Y1613" s="263" t="s">
        <v>140</v>
      </c>
      <c r="Z1613" s="102">
        <v>13413</v>
      </c>
      <c r="AA1613" s="257">
        <f>(Table6[[#This Row],[Paired WTG Generation for loss calculation]]/24)*Table6[[#This Row],[Breakdown Time]]</f>
        <v>46.572916666666501</v>
      </c>
      <c r="AB1613" s="102"/>
      <c r="AC1613" s="35"/>
      <c r="AD1613" s="35"/>
    </row>
    <row r="1614" spans="1:30">
      <c r="A1614" s="102">
        <f t="shared" si="25"/>
        <v>1613</v>
      </c>
      <c r="B1614" s="257">
        <f>YEAR(Table6[[#This Row],[Date]])+IF(MONTH(Table6[[#This Row],[Date]])&gt;=4,1,0)</f>
        <v>2026</v>
      </c>
      <c r="C1614" s="102">
        <f>YEAR(Table6[[#This Row],[Date]])</f>
        <v>2025</v>
      </c>
      <c r="D1614" s="102" t="s">
        <v>265</v>
      </c>
      <c r="E1614" s="258">
        <f>Table6[[#This Row],[Date]]-DAY(Table6[[#This Row],[Date]])+1</f>
        <v>45839</v>
      </c>
      <c r="F1614" s="259">
        <v>45863</v>
      </c>
      <c r="G1614" s="35" t="s">
        <v>124</v>
      </c>
      <c r="H1614" s="35" t="str">
        <f>IFERROR(_xlfn.XLOOKUP(Table6[[#This Row],[Affected WTG]],'Basic Data'!$A:$A,'Basic Data'!$B:$B),"")</f>
        <v>TQGXIIPL</v>
      </c>
      <c r="I1614" s="35" t="str">
        <f>IFERROR(_xlfn.XLOOKUP(Table6[[#This Row],[Affected WTG]],'Basic Data'!$A:$A,'Basic Data'!$C:$C),"")</f>
        <v>GEDA</v>
      </c>
      <c r="J1614" s="260">
        <f>IFERROR(_xlfn.XLOOKUP(Table6[[#This Row],[Affected WTG]],'Basic Data'!$A:$A,'Basic Data'!$E:$E),"")</f>
        <v>3.846153846153845E-2</v>
      </c>
      <c r="K1614" s="102">
        <v>55</v>
      </c>
      <c r="L1614" s="35" t="str">
        <f>IFERROR(_xlfn.XLOOKUP(Table6[[#This Row],[Error Code]],'Basic Data'!$AA:$AA,'Basic Data'!$AB:$AB),"Incorrect Error Code")</f>
        <v>WTG shut down</v>
      </c>
      <c r="M1614" s="35" t="s">
        <v>266</v>
      </c>
      <c r="N1614" s="264"/>
      <c r="O1614" s="265">
        <v>0.43611111111111112</v>
      </c>
      <c r="P1614" s="265">
        <v>0.43611111111111112</v>
      </c>
      <c r="Q1614" s="266">
        <v>0.43958333333333333</v>
      </c>
      <c r="R1614" s="261">
        <f>IF(Table6[[#This Row],[Work Start TimeStamp]]="","",(Table6[[#This Row],[Work Start TimeStamp]]-Table6[[#This Row],[Fault Start TimeStamp]])*24)</f>
        <v>0</v>
      </c>
      <c r="S1614" s="261">
        <f>(Table6[[#This Row],[Fault Clearance time]]-Table6[[#This Row],[Work Start TimeStamp]])*24</f>
        <v>8.3333333333333037E-2</v>
      </c>
      <c r="T1614" s="261">
        <f>(Table6[[#This Row],[Fault Clearance time]]-Table6[[#This Row],[Fault Start TimeStamp]])*24</f>
        <v>8.3333333333333037E-2</v>
      </c>
      <c r="U1614" s="35" t="s">
        <v>627</v>
      </c>
      <c r="V1614" s="102" t="s">
        <v>268</v>
      </c>
      <c r="W1614" s="290">
        <f>IFERROR(Table6[[#This Row],[Breakdown Time]]*Table6[[#This Row],[Plant Equivalent Weightage]],"")</f>
        <v>3.2051282051281929E-3</v>
      </c>
      <c r="X1614" s="262" t="s">
        <v>296</v>
      </c>
      <c r="Y1614" s="263" t="s">
        <v>129</v>
      </c>
      <c r="Z1614" s="102">
        <v>12269</v>
      </c>
      <c r="AA1614" s="257">
        <f>(Table6[[#This Row],[Paired WTG Generation for loss calculation]]/24)*Table6[[#This Row],[Breakdown Time]]</f>
        <v>42.600694444444294</v>
      </c>
      <c r="AB1614" s="102"/>
      <c r="AC1614" s="35"/>
      <c r="AD1614" s="35"/>
    </row>
    <row r="1615" spans="1:30">
      <c r="A1615" s="102">
        <f t="shared" ref="A1615:A1636" si="26">A1614+1</f>
        <v>1614</v>
      </c>
      <c r="B1615" s="257">
        <f>YEAR(Table6[[#This Row],[Date]])+IF(MONTH(Table6[[#This Row],[Date]])&gt;=4,1,0)</f>
        <v>2026</v>
      </c>
      <c r="C1615" s="102">
        <f>YEAR(Table6[[#This Row],[Date]])</f>
        <v>2025</v>
      </c>
      <c r="D1615" s="102" t="s">
        <v>265</v>
      </c>
      <c r="E1615" s="258">
        <f>Table6[[#This Row],[Date]]-DAY(Table6[[#This Row],[Date]])+1</f>
        <v>45839</v>
      </c>
      <c r="F1615" s="259">
        <v>45863</v>
      </c>
      <c r="G1615" s="35" t="s">
        <v>126</v>
      </c>
      <c r="H1615" s="35" t="str">
        <f>IFERROR(_xlfn.XLOOKUP(Table6[[#This Row],[Affected WTG]],'Basic Data'!$A:$A,'Basic Data'!$B:$B),"")</f>
        <v>TQGXIIPL</v>
      </c>
      <c r="I1615" s="35" t="str">
        <f>IFERROR(_xlfn.XLOOKUP(Table6[[#This Row],[Affected WTG]],'Basic Data'!$A:$A,'Basic Data'!$C:$C),"")</f>
        <v>GEDA</v>
      </c>
      <c r="J1615" s="260">
        <f>IFERROR(_xlfn.XLOOKUP(Table6[[#This Row],[Affected WTG]],'Basic Data'!$A:$A,'Basic Data'!$E:$E),"")</f>
        <v>3.846153846153845E-2</v>
      </c>
      <c r="K1615" s="102">
        <v>55</v>
      </c>
      <c r="L1615" s="35" t="str">
        <f>IFERROR(_xlfn.XLOOKUP(Table6[[#This Row],[Error Code]],'Basic Data'!$AA:$AA,'Basic Data'!$AB:$AB),"Incorrect Error Code")</f>
        <v>WTG shut down</v>
      </c>
      <c r="M1615" s="35" t="s">
        <v>266</v>
      </c>
      <c r="N1615" s="264"/>
      <c r="O1615" s="265">
        <v>0.60277777777777775</v>
      </c>
      <c r="P1615" s="265">
        <v>0.60277777777777775</v>
      </c>
      <c r="Q1615" s="266">
        <v>0.60624999999999996</v>
      </c>
      <c r="R1615" s="261">
        <f>IF(Table6[[#This Row],[Work Start TimeStamp]]="","",(Table6[[#This Row],[Work Start TimeStamp]]-Table6[[#This Row],[Fault Start TimeStamp]])*24)</f>
        <v>0</v>
      </c>
      <c r="S1615" s="261">
        <f>(Table6[[#This Row],[Fault Clearance time]]-Table6[[#This Row],[Work Start TimeStamp]])*24</f>
        <v>8.3333333333333037E-2</v>
      </c>
      <c r="T1615" s="261">
        <f>(Table6[[#This Row],[Fault Clearance time]]-Table6[[#This Row],[Fault Start TimeStamp]])*24</f>
        <v>8.3333333333333037E-2</v>
      </c>
      <c r="U1615" s="35" t="s">
        <v>627</v>
      </c>
      <c r="V1615" s="102" t="s">
        <v>268</v>
      </c>
      <c r="W1615" s="290">
        <f>IFERROR(Table6[[#This Row],[Breakdown Time]]*Table6[[#This Row],[Plant Equivalent Weightage]],"")</f>
        <v>3.2051282051281929E-3</v>
      </c>
      <c r="X1615" s="262" t="s">
        <v>296</v>
      </c>
      <c r="Y1615" s="263" t="s">
        <v>128</v>
      </c>
      <c r="Z1615" s="102">
        <v>13386</v>
      </c>
      <c r="AA1615" s="257">
        <f>(Table6[[#This Row],[Paired WTG Generation for loss calculation]]/24)*Table6[[#This Row],[Breakdown Time]]</f>
        <v>46.479166666666501</v>
      </c>
      <c r="AB1615" s="102"/>
      <c r="AC1615" s="35"/>
      <c r="AD1615" s="35"/>
    </row>
    <row r="1616" spans="1:30">
      <c r="A1616" s="102">
        <f t="shared" si="26"/>
        <v>1615</v>
      </c>
      <c r="B1616" s="257">
        <f>YEAR(Table6[[#This Row],[Date]])+IF(MONTH(Table6[[#This Row],[Date]])&gt;=4,1,0)</f>
        <v>2026</v>
      </c>
      <c r="C1616" s="102">
        <f>YEAR(Table6[[#This Row],[Date]])</f>
        <v>2025</v>
      </c>
      <c r="D1616" s="102" t="s">
        <v>265</v>
      </c>
      <c r="E1616" s="258">
        <f>Table6[[#This Row],[Date]]-DAY(Table6[[#This Row],[Date]])+1</f>
        <v>45839</v>
      </c>
      <c r="F1616" s="259">
        <v>45863</v>
      </c>
      <c r="G1616" s="35" t="s">
        <v>128</v>
      </c>
      <c r="H1616" s="35" t="str">
        <f>IFERROR(_xlfn.XLOOKUP(Table6[[#This Row],[Affected WTG]],'Basic Data'!$A:$A,'Basic Data'!$B:$B),"")</f>
        <v>TQGXIIPL</v>
      </c>
      <c r="I1616" s="35" t="str">
        <f>IFERROR(_xlfn.XLOOKUP(Table6[[#This Row],[Affected WTG]],'Basic Data'!$A:$A,'Basic Data'!$C:$C),"")</f>
        <v>GEDA</v>
      </c>
      <c r="J1616" s="260">
        <f>IFERROR(_xlfn.XLOOKUP(Table6[[#This Row],[Affected WTG]],'Basic Data'!$A:$A,'Basic Data'!$E:$E),"")</f>
        <v>3.846153846153845E-2</v>
      </c>
      <c r="K1616" s="102">
        <v>55</v>
      </c>
      <c r="L1616" s="35" t="str">
        <f>IFERROR(_xlfn.XLOOKUP(Table6[[#This Row],[Error Code]],'Basic Data'!$AA:$AA,'Basic Data'!$AB:$AB),"Incorrect Error Code")</f>
        <v>WTG shut down</v>
      </c>
      <c r="M1616" s="35" t="s">
        <v>266</v>
      </c>
      <c r="N1616" s="264"/>
      <c r="O1616" s="265">
        <v>0.47083333333333333</v>
      </c>
      <c r="P1616" s="265">
        <v>0.47083333333333333</v>
      </c>
      <c r="Q1616" s="266">
        <v>0.47430555555555554</v>
      </c>
      <c r="R1616" s="261">
        <f>IF(Table6[[#This Row],[Work Start TimeStamp]]="","",(Table6[[#This Row],[Work Start TimeStamp]]-Table6[[#This Row],[Fault Start TimeStamp]])*24)</f>
        <v>0</v>
      </c>
      <c r="S1616" s="261">
        <f>(Table6[[#This Row],[Fault Clearance time]]-Table6[[#This Row],[Work Start TimeStamp]])*24</f>
        <v>8.3333333333333037E-2</v>
      </c>
      <c r="T1616" s="261">
        <f>(Table6[[#This Row],[Fault Clearance time]]-Table6[[#This Row],[Fault Start TimeStamp]])*24</f>
        <v>8.3333333333333037E-2</v>
      </c>
      <c r="U1616" s="35" t="s">
        <v>627</v>
      </c>
      <c r="V1616" s="102" t="s">
        <v>268</v>
      </c>
      <c r="W1616" s="290">
        <f>IFERROR(Table6[[#This Row],[Breakdown Time]]*Table6[[#This Row],[Plant Equivalent Weightage]],"")</f>
        <v>3.2051282051281929E-3</v>
      </c>
      <c r="X1616" s="262" t="s">
        <v>296</v>
      </c>
      <c r="Y1616" s="263" t="s">
        <v>126</v>
      </c>
      <c r="Z1616" s="102">
        <v>13718</v>
      </c>
      <c r="AA1616" s="257">
        <f>(Table6[[#This Row],[Paired WTG Generation for loss calculation]]/24)*Table6[[#This Row],[Breakdown Time]]</f>
        <v>47.631944444444279</v>
      </c>
      <c r="AB1616" s="102"/>
      <c r="AC1616" s="35"/>
      <c r="AD1616" s="35"/>
    </row>
    <row r="1617" spans="1:30">
      <c r="A1617" s="102">
        <f t="shared" si="26"/>
        <v>1616</v>
      </c>
      <c r="B1617" s="257">
        <f>YEAR(Table6[[#This Row],[Date]])+IF(MONTH(Table6[[#This Row],[Date]])&gt;=4,1,0)</f>
        <v>2026</v>
      </c>
      <c r="C1617" s="102">
        <f>YEAR(Table6[[#This Row],[Date]])</f>
        <v>2025</v>
      </c>
      <c r="D1617" s="102" t="s">
        <v>265</v>
      </c>
      <c r="E1617" s="258">
        <f>Table6[[#This Row],[Date]]-DAY(Table6[[#This Row],[Date]])+1</f>
        <v>45839</v>
      </c>
      <c r="F1617" s="259">
        <v>45863</v>
      </c>
      <c r="G1617" s="35" t="s">
        <v>130</v>
      </c>
      <c r="H1617" s="35" t="str">
        <f>IFERROR(_xlfn.XLOOKUP(Table6[[#This Row],[Affected WTG]],'Basic Data'!$A:$A,'Basic Data'!$B:$B),"")</f>
        <v>TQGXIIPL</v>
      </c>
      <c r="I1617" s="35" t="str">
        <f>IFERROR(_xlfn.XLOOKUP(Table6[[#This Row],[Affected WTG]],'Basic Data'!$A:$A,'Basic Data'!$C:$C),"")</f>
        <v>GEDA</v>
      </c>
      <c r="J1617" s="260">
        <f>IFERROR(_xlfn.XLOOKUP(Table6[[#This Row],[Affected WTG]],'Basic Data'!$A:$A,'Basic Data'!$E:$E),"")</f>
        <v>3.846153846153845E-2</v>
      </c>
      <c r="K1617" s="102">
        <v>55</v>
      </c>
      <c r="L1617" s="35" t="str">
        <f>IFERROR(_xlfn.XLOOKUP(Table6[[#This Row],[Error Code]],'Basic Data'!$AA:$AA,'Basic Data'!$AB:$AB),"Incorrect Error Code")</f>
        <v>WTG shut down</v>
      </c>
      <c r="M1617" s="35" t="s">
        <v>266</v>
      </c>
      <c r="N1617" s="264"/>
      <c r="O1617" s="265">
        <v>0.47569444444444442</v>
      </c>
      <c r="P1617" s="265">
        <v>0.47569444444444442</v>
      </c>
      <c r="Q1617" s="266">
        <v>0.47847222222222224</v>
      </c>
      <c r="R1617" s="261">
        <f>IF(Table6[[#This Row],[Work Start TimeStamp]]="","",(Table6[[#This Row],[Work Start TimeStamp]]-Table6[[#This Row],[Fault Start TimeStamp]])*24)</f>
        <v>0</v>
      </c>
      <c r="S1617" s="261">
        <f>(Table6[[#This Row],[Fault Clearance time]]-Table6[[#This Row],[Work Start TimeStamp]])*24</f>
        <v>6.6666666666667762E-2</v>
      </c>
      <c r="T1617" s="261">
        <f>(Table6[[#This Row],[Fault Clearance time]]-Table6[[#This Row],[Fault Start TimeStamp]])*24</f>
        <v>6.6666666666667762E-2</v>
      </c>
      <c r="U1617" s="35" t="s">
        <v>627</v>
      </c>
      <c r="V1617" s="102" t="s">
        <v>268</v>
      </c>
      <c r="W1617" s="290">
        <f>IFERROR(Table6[[#This Row],[Breakdown Time]]*Table6[[#This Row],[Plant Equivalent Weightage]],"")</f>
        <v>2.5641025641026053E-3</v>
      </c>
      <c r="X1617" s="262" t="s">
        <v>296</v>
      </c>
      <c r="Y1617" s="263" t="s">
        <v>135</v>
      </c>
      <c r="Z1617" s="102">
        <v>17684</v>
      </c>
      <c r="AA1617" s="257">
        <f>(Table6[[#This Row],[Paired WTG Generation for loss calculation]]/24)*Table6[[#This Row],[Breakdown Time]]</f>
        <v>49.12222222222303</v>
      </c>
      <c r="AB1617" s="102"/>
      <c r="AC1617" s="35"/>
      <c r="AD1617" s="35"/>
    </row>
    <row r="1618" spans="1:30">
      <c r="A1618" s="102">
        <f t="shared" si="26"/>
        <v>1617</v>
      </c>
      <c r="B1618" s="257">
        <f>YEAR(Table6[[#This Row],[Date]])+IF(MONTH(Table6[[#This Row],[Date]])&gt;=4,1,0)</f>
        <v>2026</v>
      </c>
      <c r="C1618" s="102">
        <f>YEAR(Table6[[#This Row],[Date]])</f>
        <v>2025</v>
      </c>
      <c r="D1618" s="102" t="s">
        <v>265</v>
      </c>
      <c r="E1618" s="258">
        <f>Table6[[#This Row],[Date]]-DAY(Table6[[#This Row],[Date]])+1</f>
        <v>45839</v>
      </c>
      <c r="F1618" s="259">
        <v>45863</v>
      </c>
      <c r="G1618" s="35" t="s">
        <v>134</v>
      </c>
      <c r="H1618" s="35" t="str">
        <f>IFERROR(_xlfn.XLOOKUP(Table6[[#This Row],[Affected WTG]],'Basic Data'!$A:$A,'Basic Data'!$B:$B),"")</f>
        <v>TQGXIIPL</v>
      </c>
      <c r="I1618" s="35" t="str">
        <f>IFERROR(_xlfn.XLOOKUP(Table6[[#This Row],[Affected WTG]],'Basic Data'!$A:$A,'Basic Data'!$C:$C),"")</f>
        <v>GEDA</v>
      </c>
      <c r="J1618" s="260">
        <f>IFERROR(_xlfn.XLOOKUP(Table6[[#This Row],[Affected WTG]],'Basic Data'!$A:$A,'Basic Data'!$E:$E),"")</f>
        <v>3.846153846153845E-2</v>
      </c>
      <c r="K1618" s="102">
        <v>55</v>
      </c>
      <c r="L1618" s="35" t="str">
        <f>IFERROR(_xlfn.XLOOKUP(Table6[[#This Row],[Error Code]],'Basic Data'!$AA:$AA,'Basic Data'!$AB:$AB),"Incorrect Error Code")</f>
        <v>WTG shut down</v>
      </c>
      <c r="M1618" s="35" t="s">
        <v>266</v>
      </c>
      <c r="N1618" s="264"/>
      <c r="O1618" s="265">
        <v>0.49652777777777779</v>
      </c>
      <c r="P1618" s="265">
        <v>0.49652777777777779</v>
      </c>
      <c r="Q1618" s="266">
        <v>0.50624999999999998</v>
      </c>
      <c r="R1618" s="261">
        <f>IF(Table6[[#This Row],[Work Start TimeStamp]]="","",(Table6[[#This Row],[Work Start TimeStamp]]-Table6[[#This Row],[Fault Start TimeStamp]])*24)</f>
        <v>0</v>
      </c>
      <c r="S1618" s="261">
        <f>(Table6[[#This Row],[Fault Clearance time]]-Table6[[#This Row],[Work Start TimeStamp]])*24</f>
        <v>0.2333333333333325</v>
      </c>
      <c r="T1618" s="261">
        <f>(Table6[[#This Row],[Fault Clearance time]]-Table6[[#This Row],[Fault Start TimeStamp]])*24</f>
        <v>0.2333333333333325</v>
      </c>
      <c r="U1618" s="35" t="s">
        <v>627</v>
      </c>
      <c r="V1618" s="102" t="s">
        <v>268</v>
      </c>
      <c r="W1618" s="290">
        <f>IFERROR(Table6[[#This Row],[Breakdown Time]]*Table6[[#This Row],[Plant Equivalent Weightage]],"")</f>
        <v>8.974358974358939E-3</v>
      </c>
      <c r="X1618" s="262" t="s">
        <v>296</v>
      </c>
      <c r="Y1618" s="263" t="s">
        <v>138</v>
      </c>
      <c r="Z1618" s="102">
        <v>15668</v>
      </c>
      <c r="AA1618" s="257">
        <f>(Table6[[#This Row],[Paired WTG Generation for loss calculation]]/24)*Table6[[#This Row],[Breakdown Time]]</f>
        <v>152.32777777777724</v>
      </c>
      <c r="AB1618" s="102"/>
      <c r="AC1618" s="35"/>
      <c r="AD1618" s="35"/>
    </row>
    <row r="1619" spans="1:30">
      <c r="A1619" s="102">
        <f t="shared" si="26"/>
        <v>1618</v>
      </c>
      <c r="B1619" s="257">
        <f>YEAR(Table6[[#This Row],[Date]])+IF(MONTH(Table6[[#This Row],[Date]])&gt;=4,1,0)</f>
        <v>2026</v>
      </c>
      <c r="C1619" s="102">
        <f>YEAR(Table6[[#This Row],[Date]])</f>
        <v>2025</v>
      </c>
      <c r="D1619" s="102" t="s">
        <v>265</v>
      </c>
      <c r="E1619" s="258">
        <f>Table6[[#This Row],[Date]]-DAY(Table6[[#This Row],[Date]])+1</f>
        <v>45839</v>
      </c>
      <c r="F1619" s="259">
        <v>45863</v>
      </c>
      <c r="G1619" s="35" t="s">
        <v>135</v>
      </c>
      <c r="H1619" s="35" t="str">
        <f>IFERROR(_xlfn.XLOOKUP(Table6[[#This Row],[Affected WTG]],'Basic Data'!$A:$A,'Basic Data'!$B:$B),"")</f>
        <v>TQGXIIPL</v>
      </c>
      <c r="I1619" s="35" t="str">
        <f>IFERROR(_xlfn.XLOOKUP(Table6[[#This Row],[Affected WTG]],'Basic Data'!$A:$A,'Basic Data'!$C:$C),"")</f>
        <v>GEDA</v>
      </c>
      <c r="J1619" s="260">
        <f>IFERROR(_xlfn.XLOOKUP(Table6[[#This Row],[Affected WTG]],'Basic Data'!$A:$A,'Basic Data'!$E:$E),"")</f>
        <v>3.846153846153845E-2</v>
      </c>
      <c r="K1619" s="102">
        <v>55</v>
      </c>
      <c r="L1619" s="35" t="str">
        <f>IFERROR(_xlfn.XLOOKUP(Table6[[#This Row],[Error Code]],'Basic Data'!$AA:$AA,'Basic Data'!$AB:$AB),"Incorrect Error Code")</f>
        <v>WTG shut down</v>
      </c>
      <c r="M1619" s="35" t="s">
        <v>266</v>
      </c>
      <c r="N1619" s="264"/>
      <c r="O1619" s="265">
        <v>0.63124999999999998</v>
      </c>
      <c r="P1619" s="265">
        <v>0.63124999999999998</v>
      </c>
      <c r="Q1619" s="266">
        <v>0.63541666666666663</v>
      </c>
      <c r="R1619" s="261">
        <f>IF(Table6[[#This Row],[Work Start TimeStamp]]="","",(Table6[[#This Row],[Work Start TimeStamp]]-Table6[[#This Row],[Fault Start TimeStamp]])*24)</f>
        <v>0</v>
      </c>
      <c r="S1619" s="261">
        <f>(Table6[[#This Row],[Fault Clearance time]]-Table6[[#This Row],[Work Start TimeStamp]])*24</f>
        <v>9.9999999999999645E-2</v>
      </c>
      <c r="T1619" s="261">
        <f>(Table6[[#This Row],[Fault Clearance time]]-Table6[[#This Row],[Fault Start TimeStamp]])*24</f>
        <v>9.9999999999999645E-2</v>
      </c>
      <c r="U1619" s="35" t="s">
        <v>627</v>
      </c>
      <c r="V1619" s="102" t="s">
        <v>268</v>
      </c>
      <c r="W1619" s="290">
        <f>IFERROR(Table6[[#This Row],[Breakdown Time]]*Table6[[#This Row],[Plant Equivalent Weightage]],"")</f>
        <v>3.8461538461538312E-3</v>
      </c>
      <c r="X1619" s="262" t="s">
        <v>296</v>
      </c>
      <c r="Y1619" s="263" t="s">
        <v>120</v>
      </c>
      <c r="Z1619" s="102">
        <v>17958</v>
      </c>
      <c r="AA1619" s="257">
        <f>(Table6[[#This Row],[Paired WTG Generation for loss calculation]]/24)*Table6[[#This Row],[Breakdown Time]]</f>
        <v>74.824999999999733</v>
      </c>
      <c r="AB1619" s="102"/>
      <c r="AC1619" s="35"/>
      <c r="AD1619" s="35"/>
    </row>
    <row r="1620" spans="1:30">
      <c r="A1620" s="102">
        <f t="shared" si="26"/>
        <v>1619</v>
      </c>
      <c r="B1620" s="257">
        <f>YEAR(Table6[[#This Row],[Date]])+IF(MONTH(Table6[[#This Row],[Date]])&gt;=4,1,0)</f>
        <v>2026</v>
      </c>
      <c r="C1620" s="102">
        <f>YEAR(Table6[[#This Row],[Date]])</f>
        <v>2025</v>
      </c>
      <c r="D1620" s="102" t="s">
        <v>265</v>
      </c>
      <c r="E1620" s="258">
        <f>Table6[[#This Row],[Date]]-DAY(Table6[[#This Row],[Date]])+1</f>
        <v>45839</v>
      </c>
      <c r="F1620" s="259">
        <v>45863</v>
      </c>
      <c r="G1620" s="35" t="s">
        <v>136</v>
      </c>
      <c r="H1620" s="35" t="str">
        <f>IFERROR(_xlfn.XLOOKUP(Table6[[#This Row],[Affected WTG]],'Basic Data'!$A:$A,'Basic Data'!$B:$B),"")</f>
        <v>TQGXIIPL</v>
      </c>
      <c r="I1620" s="35" t="str">
        <f>IFERROR(_xlfn.XLOOKUP(Table6[[#This Row],[Affected WTG]],'Basic Data'!$A:$A,'Basic Data'!$C:$C),"")</f>
        <v>GEDA</v>
      </c>
      <c r="J1620" s="260">
        <f>IFERROR(_xlfn.XLOOKUP(Table6[[#This Row],[Affected WTG]],'Basic Data'!$A:$A,'Basic Data'!$E:$E),"")</f>
        <v>3.846153846153845E-2</v>
      </c>
      <c r="K1620" s="102">
        <v>55</v>
      </c>
      <c r="L1620" s="35" t="str">
        <f>IFERROR(_xlfn.XLOOKUP(Table6[[#This Row],[Error Code]],'Basic Data'!$AA:$AA,'Basic Data'!$AB:$AB),"Incorrect Error Code")</f>
        <v>WTG shut down</v>
      </c>
      <c r="M1620" s="35" t="s">
        <v>266</v>
      </c>
      <c r="N1620" s="264"/>
      <c r="O1620" s="265">
        <v>0.57777777777777772</v>
      </c>
      <c r="P1620" s="265">
        <v>0.57777777777777772</v>
      </c>
      <c r="Q1620" s="266">
        <v>0.5805555555555556</v>
      </c>
      <c r="R1620" s="261">
        <f>IF(Table6[[#This Row],[Work Start TimeStamp]]="","",(Table6[[#This Row],[Work Start TimeStamp]]-Table6[[#This Row],[Fault Start TimeStamp]])*24)</f>
        <v>0</v>
      </c>
      <c r="S1620" s="261">
        <f>(Table6[[#This Row],[Fault Clearance time]]-Table6[[#This Row],[Work Start TimeStamp]])*24</f>
        <v>6.6666666666669094E-2</v>
      </c>
      <c r="T1620" s="261">
        <f>(Table6[[#This Row],[Fault Clearance time]]-Table6[[#This Row],[Fault Start TimeStamp]])*24</f>
        <v>6.6666666666669094E-2</v>
      </c>
      <c r="U1620" s="35" t="s">
        <v>627</v>
      </c>
      <c r="V1620" s="102" t="s">
        <v>268</v>
      </c>
      <c r="W1620" s="290">
        <f>IFERROR(Table6[[#This Row],[Breakdown Time]]*Table6[[#This Row],[Plant Equivalent Weightage]],"")</f>
        <v>2.5641025641026569E-3</v>
      </c>
      <c r="X1620" s="262" t="s">
        <v>296</v>
      </c>
      <c r="Y1620" s="263" t="s">
        <v>120</v>
      </c>
      <c r="Z1620" s="102">
        <v>17958</v>
      </c>
      <c r="AA1620" s="257">
        <f>(Table6[[#This Row],[Paired WTG Generation for loss calculation]]/24)*Table6[[#This Row],[Breakdown Time]]</f>
        <v>49.883333333335152</v>
      </c>
      <c r="AB1620" s="102"/>
      <c r="AC1620" s="35"/>
      <c r="AD1620" s="35"/>
    </row>
    <row r="1621" spans="1:30">
      <c r="A1621" s="102">
        <f t="shared" si="26"/>
        <v>1620</v>
      </c>
      <c r="B1621" s="257">
        <f>YEAR(Table6[[#This Row],[Date]])+IF(MONTH(Table6[[#This Row],[Date]])&gt;=4,1,0)</f>
        <v>2026</v>
      </c>
      <c r="C1621" s="102">
        <f>YEAR(Table6[[#This Row],[Date]])</f>
        <v>2025</v>
      </c>
      <c r="D1621" s="102" t="s">
        <v>265</v>
      </c>
      <c r="E1621" s="258">
        <f>Table6[[#This Row],[Date]]-DAY(Table6[[#This Row],[Date]])+1</f>
        <v>45839</v>
      </c>
      <c r="F1621" s="259">
        <v>45863</v>
      </c>
      <c r="G1621" s="35" t="s">
        <v>137</v>
      </c>
      <c r="H1621" s="35" t="str">
        <f>IFERROR(_xlfn.XLOOKUP(Table6[[#This Row],[Affected WTG]],'Basic Data'!$A:$A,'Basic Data'!$B:$B),"")</f>
        <v>TQGXIIPL</v>
      </c>
      <c r="I1621" s="35" t="str">
        <f>IFERROR(_xlfn.XLOOKUP(Table6[[#This Row],[Affected WTG]],'Basic Data'!$A:$A,'Basic Data'!$C:$C),"")</f>
        <v>GEDA</v>
      </c>
      <c r="J1621" s="260">
        <f>IFERROR(_xlfn.XLOOKUP(Table6[[#This Row],[Affected WTG]],'Basic Data'!$A:$A,'Basic Data'!$E:$E),"")</f>
        <v>3.846153846153845E-2</v>
      </c>
      <c r="K1621" s="102">
        <v>55</v>
      </c>
      <c r="L1621" s="35" t="str">
        <f>IFERROR(_xlfn.XLOOKUP(Table6[[#This Row],[Error Code]],'Basic Data'!$AA:$AA,'Basic Data'!$AB:$AB),"Incorrect Error Code")</f>
        <v>WTG shut down</v>
      </c>
      <c r="M1621" s="35" t="s">
        <v>266</v>
      </c>
      <c r="N1621" s="264"/>
      <c r="O1621" s="265">
        <v>0.55625000000000002</v>
      </c>
      <c r="P1621" s="265">
        <v>0.55625000000000002</v>
      </c>
      <c r="Q1621" s="266">
        <v>0.56111111111111112</v>
      </c>
      <c r="R1621" s="261">
        <f>IF(Table6[[#This Row],[Work Start TimeStamp]]="","",(Table6[[#This Row],[Work Start TimeStamp]]-Table6[[#This Row],[Fault Start TimeStamp]])*24)</f>
        <v>0</v>
      </c>
      <c r="S1621" s="261">
        <f>(Table6[[#This Row],[Fault Clearance time]]-Table6[[#This Row],[Work Start TimeStamp]])*24</f>
        <v>0.11666666666666625</v>
      </c>
      <c r="T1621" s="261">
        <f>(Table6[[#This Row],[Fault Clearance time]]-Table6[[#This Row],[Fault Start TimeStamp]])*24</f>
        <v>0.11666666666666625</v>
      </c>
      <c r="U1621" s="35" t="s">
        <v>627</v>
      </c>
      <c r="V1621" s="102" t="s">
        <v>268</v>
      </c>
      <c r="W1621" s="290">
        <f>IFERROR(Table6[[#This Row],[Breakdown Time]]*Table6[[#This Row],[Plant Equivalent Weightage]],"")</f>
        <v>4.4871794871794695E-3</v>
      </c>
      <c r="X1621" s="262" t="s">
        <v>296</v>
      </c>
      <c r="Y1621" s="263" t="s">
        <v>125</v>
      </c>
      <c r="Z1621" s="102">
        <v>12562</v>
      </c>
      <c r="AA1621" s="257">
        <f>(Table6[[#This Row],[Paired WTG Generation for loss calculation]]/24)*Table6[[#This Row],[Breakdown Time]]</f>
        <v>61.06527777777756</v>
      </c>
      <c r="AB1621" s="102"/>
      <c r="AC1621" s="35"/>
      <c r="AD1621" s="35"/>
    </row>
    <row r="1622" spans="1:30">
      <c r="A1622" s="102">
        <f t="shared" si="26"/>
        <v>1621</v>
      </c>
      <c r="B1622" s="257">
        <f>YEAR(Table6[[#This Row],[Date]])+IF(MONTH(Table6[[#This Row],[Date]])&gt;=4,1,0)</f>
        <v>2026</v>
      </c>
      <c r="C1622" s="102">
        <f>YEAR(Table6[[#This Row],[Date]])</f>
        <v>2025</v>
      </c>
      <c r="D1622" s="102" t="s">
        <v>265</v>
      </c>
      <c r="E1622" s="258">
        <f>Table6[[#This Row],[Date]]-DAY(Table6[[#This Row],[Date]])+1</f>
        <v>45839</v>
      </c>
      <c r="F1622" s="259">
        <v>45863</v>
      </c>
      <c r="G1622" s="35" t="s">
        <v>119</v>
      </c>
      <c r="H1622" s="35" t="str">
        <f>IFERROR(_xlfn.XLOOKUP(Table6[[#This Row],[Affected WTG]],'Basic Data'!$A:$A,'Basic Data'!$B:$B),"")</f>
        <v>TQGXIIPL</v>
      </c>
      <c r="I1622" s="35" t="str">
        <f>IFERROR(_xlfn.XLOOKUP(Table6[[#This Row],[Affected WTG]],'Basic Data'!$A:$A,'Basic Data'!$C:$C),"")</f>
        <v>GEDA</v>
      </c>
      <c r="J1622" s="260">
        <f>IFERROR(_xlfn.XLOOKUP(Table6[[#This Row],[Affected WTG]],'Basic Data'!$A:$A,'Basic Data'!$E:$E),"")</f>
        <v>3.846153846153845E-2</v>
      </c>
      <c r="K1622" s="102">
        <v>3110</v>
      </c>
      <c r="L1622" s="35" t="str">
        <f>IFERROR(_xlfn.XLOOKUP(Table6[[#This Row],[Error Code]],'Basic Data'!$AA:$AA,'Basic Data'!$AB:$AB),"Incorrect Error Code")</f>
        <v>Frequency converter error</v>
      </c>
      <c r="M1622" s="35" t="s">
        <v>278</v>
      </c>
      <c r="N1622" s="264"/>
      <c r="O1622" s="265">
        <v>2.4305555555555556E-2</v>
      </c>
      <c r="P1622" s="265">
        <v>2.4305555555555556E-2</v>
      </c>
      <c r="Q1622" s="266">
        <v>2.6388888888888889E-2</v>
      </c>
      <c r="R1622" s="261">
        <f>IF(Table6[[#This Row],[Work Start TimeStamp]]="","",(Table6[[#This Row],[Work Start TimeStamp]]-Table6[[#This Row],[Fault Start TimeStamp]])*24)</f>
        <v>0</v>
      </c>
      <c r="S1622" s="261">
        <f>(Table6[[#This Row],[Fault Clearance time]]-Table6[[#This Row],[Work Start TimeStamp]])*24</f>
        <v>4.9999999999999989E-2</v>
      </c>
      <c r="T1622" s="261">
        <f>(Table6[[#This Row],[Fault Clearance time]]-Table6[[#This Row],[Fault Start TimeStamp]])*24</f>
        <v>4.9999999999999989E-2</v>
      </c>
      <c r="U1622" s="35" t="s">
        <v>277</v>
      </c>
      <c r="V1622" s="102" t="s">
        <v>268</v>
      </c>
      <c r="W1622" s="290">
        <f>IFERROR(Table6[[#This Row],[Breakdown Time]]*Table6[[#This Row],[Plant Equivalent Weightage]],"")</f>
        <v>1.9230769230769221E-3</v>
      </c>
      <c r="X1622" s="262" t="s">
        <v>269</v>
      </c>
      <c r="Y1622" s="263" t="s">
        <v>116</v>
      </c>
      <c r="Z1622" s="102">
        <v>15874</v>
      </c>
      <c r="AA1622" s="257">
        <f>(Table6[[#This Row],[Paired WTG Generation for loss calculation]]/24)*Table6[[#This Row],[Breakdown Time]]</f>
        <v>33.070833333333326</v>
      </c>
      <c r="AB1622" s="102"/>
      <c r="AC1622" s="35"/>
      <c r="AD1622" s="35"/>
    </row>
    <row r="1623" spans="1:30">
      <c r="A1623" s="102">
        <f t="shared" si="26"/>
        <v>1622</v>
      </c>
      <c r="B1623" s="257">
        <f>YEAR(Table6[[#This Row],[Date]])+IF(MONTH(Table6[[#This Row],[Date]])&gt;=4,1,0)</f>
        <v>2026</v>
      </c>
      <c r="C1623" s="102">
        <f>YEAR(Table6[[#This Row],[Date]])</f>
        <v>2025</v>
      </c>
      <c r="D1623" s="102" t="s">
        <v>265</v>
      </c>
      <c r="E1623" s="258">
        <f>Table6[[#This Row],[Date]]-DAY(Table6[[#This Row],[Date]])+1</f>
        <v>45839</v>
      </c>
      <c r="F1623" s="259">
        <v>45863</v>
      </c>
      <c r="G1623" s="35" t="s">
        <v>119</v>
      </c>
      <c r="H1623" s="35" t="str">
        <f>IFERROR(_xlfn.XLOOKUP(Table6[[#This Row],[Affected WTG]],'Basic Data'!$A:$A,'Basic Data'!$B:$B),"")</f>
        <v>TQGXIIPL</v>
      </c>
      <c r="I1623" s="35" t="str">
        <f>IFERROR(_xlfn.XLOOKUP(Table6[[#This Row],[Affected WTG]],'Basic Data'!$A:$A,'Basic Data'!$C:$C),"")</f>
        <v>GEDA</v>
      </c>
      <c r="J1623" s="260">
        <f>IFERROR(_xlfn.XLOOKUP(Table6[[#This Row],[Affected WTG]],'Basic Data'!$A:$A,'Basic Data'!$E:$E),"")</f>
        <v>3.846153846153845E-2</v>
      </c>
      <c r="K1623" s="102">
        <v>3110</v>
      </c>
      <c r="L1623" s="35" t="str">
        <f>IFERROR(_xlfn.XLOOKUP(Table6[[#This Row],[Error Code]],'Basic Data'!$AA:$AA,'Basic Data'!$AB:$AB),"Incorrect Error Code")</f>
        <v>Frequency converter error</v>
      </c>
      <c r="M1623" s="35" t="s">
        <v>278</v>
      </c>
      <c r="N1623" s="264"/>
      <c r="O1623" s="265">
        <v>0.55277777777777781</v>
      </c>
      <c r="P1623" s="265">
        <v>0.55277777777777781</v>
      </c>
      <c r="Q1623" s="266">
        <v>0.5541666666666667</v>
      </c>
      <c r="R1623" s="261">
        <f>IF(Table6[[#This Row],[Work Start TimeStamp]]="","",(Table6[[#This Row],[Work Start TimeStamp]]-Table6[[#This Row],[Fault Start TimeStamp]])*24)</f>
        <v>0</v>
      </c>
      <c r="S1623" s="261">
        <f>(Table6[[#This Row],[Fault Clearance time]]-Table6[[#This Row],[Work Start TimeStamp]])*24</f>
        <v>3.3333333333333215E-2</v>
      </c>
      <c r="T1623" s="261">
        <f>(Table6[[#This Row],[Fault Clearance time]]-Table6[[#This Row],[Fault Start TimeStamp]])*24</f>
        <v>3.3333333333333215E-2</v>
      </c>
      <c r="U1623" s="35" t="s">
        <v>277</v>
      </c>
      <c r="V1623" s="102" t="s">
        <v>268</v>
      </c>
      <c r="W1623" s="290">
        <f>IFERROR(Table6[[#This Row],[Breakdown Time]]*Table6[[#This Row],[Plant Equivalent Weightage]],"")</f>
        <v>1.2820512820512771E-3</v>
      </c>
      <c r="X1623" s="262" t="s">
        <v>269</v>
      </c>
      <c r="Y1623" s="263" t="s">
        <v>116</v>
      </c>
      <c r="Z1623" s="102">
        <v>15874</v>
      </c>
      <c r="AA1623" s="257">
        <f>(Table6[[#This Row],[Paired WTG Generation for loss calculation]]/24)*Table6[[#This Row],[Breakdown Time]]</f>
        <v>22.047222222222143</v>
      </c>
      <c r="AB1623" s="102"/>
      <c r="AC1623" s="35"/>
      <c r="AD1623" s="35"/>
    </row>
    <row r="1624" spans="1:30">
      <c r="A1624" s="102">
        <f t="shared" si="26"/>
        <v>1623</v>
      </c>
      <c r="B1624" s="257">
        <f>YEAR(Table6[[#This Row],[Date]])+IF(MONTH(Table6[[#This Row],[Date]])&gt;=4,1,0)</f>
        <v>2026</v>
      </c>
      <c r="C1624" s="102">
        <f>YEAR(Table6[[#This Row],[Date]])</f>
        <v>2025</v>
      </c>
      <c r="D1624" s="102" t="s">
        <v>265</v>
      </c>
      <c r="E1624" s="258">
        <f>Table6[[#This Row],[Date]]-DAY(Table6[[#This Row],[Date]])+1</f>
        <v>45839</v>
      </c>
      <c r="F1624" s="259">
        <v>45863</v>
      </c>
      <c r="G1624" s="35" t="s">
        <v>124</v>
      </c>
      <c r="H1624" s="35" t="str">
        <f>IFERROR(_xlfn.XLOOKUP(Table6[[#This Row],[Affected WTG]],'Basic Data'!$A:$A,'Basic Data'!$B:$B),"")</f>
        <v>TQGXIIPL</v>
      </c>
      <c r="I1624" s="35" t="str">
        <f>IFERROR(_xlfn.XLOOKUP(Table6[[#This Row],[Affected WTG]],'Basic Data'!$A:$A,'Basic Data'!$C:$C),"")</f>
        <v>GEDA</v>
      </c>
      <c r="J1624" s="260">
        <f>IFERROR(_xlfn.XLOOKUP(Table6[[#This Row],[Affected WTG]],'Basic Data'!$A:$A,'Basic Data'!$E:$E),"")</f>
        <v>3.846153846153845E-2</v>
      </c>
      <c r="K1624" s="102">
        <v>656</v>
      </c>
      <c r="L1624" s="35" t="str">
        <f>IFERROR(_xlfn.XLOOKUP(Table6[[#This Row],[Error Code]],'Basic Data'!$AA:$AA,'Basic Data'!$AB:$AB),"Incorrect Error Code")</f>
        <v>Error pitch converter 1</v>
      </c>
      <c r="M1624" s="35" t="s">
        <v>278</v>
      </c>
      <c r="N1624" s="264"/>
      <c r="O1624" s="265">
        <v>0.37291666666666667</v>
      </c>
      <c r="P1624" s="265">
        <v>0.37291666666666667</v>
      </c>
      <c r="Q1624" s="266">
        <v>0.37361111111111112</v>
      </c>
      <c r="R1624" s="261">
        <f>IF(Table6[[#This Row],[Work Start TimeStamp]]="","",(Table6[[#This Row],[Work Start TimeStamp]]-Table6[[#This Row],[Fault Start TimeStamp]])*24)</f>
        <v>0</v>
      </c>
      <c r="S1624" s="261">
        <f>(Table6[[#This Row],[Fault Clearance time]]-Table6[[#This Row],[Work Start TimeStamp]])*24</f>
        <v>1.6666666666666607E-2</v>
      </c>
      <c r="T1624" s="261">
        <f>(Table6[[#This Row],[Fault Clearance time]]-Table6[[#This Row],[Fault Start TimeStamp]])*24</f>
        <v>1.6666666666666607E-2</v>
      </c>
      <c r="U1624" s="35" t="s">
        <v>277</v>
      </c>
      <c r="V1624" s="102" t="s">
        <v>268</v>
      </c>
      <c r="W1624" s="290">
        <f>IFERROR(Table6[[#This Row],[Breakdown Time]]*Table6[[#This Row],[Plant Equivalent Weightage]],"")</f>
        <v>6.4102564102563853E-4</v>
      </c>
      <c r="X1624" s="262" t="s">
        <v>269</v>
      </c>
      <c r="Y1624" s="263" t="s">
        <v>129</v>
      </c>
      <c r="Z1624" s="102">
        <v>12269</v>
      </c>
      <c r="AA1624" s="257">
        <f>(Table6[[#This Row],[Paired WTG Generation for loss calculation]]/24)*Table6[[#This Row],[Breakdown Time]]</f>
        <v>8.5201388888888587</v>
      </c>
      <c r="AB1624" s="102"/>
      <c r="AC1624" s="35"/>
      <c r="AD1624" s="35"/>
    </row>
    <row r="1625" spans="1:30">
      <c r="A1625" s="102">
        <f t="shared" si="26"/>
        <v>1624</v>
      </c>
      <c r="B1625" s="257">
        <f>YEAR(Table6[[#This Row],[Date]])+IF(MONTH(Table6[[#This Row],[Date]])&gt;=4,1,0)</f>
        <v>2026</v>
      </c>
      <c r="C1625" s="102">
        <f>YEAR(Table6[[#This Row],[Date]])</f>
        <v>2025</v>
      </c>
      <c r="D1625" s="102" t="s">
        <v>265</v>
      </c>
      <c r="E1625" s="258">
        <f>Table6[[#This Row],[Date]]-DAY(Table6[[#This Row],[Date]])+1</f>
        <v>45839</v>
      </c>
      <c r="F1625" s="259">
        <v>45864</v>
      </c>
      <c r="G1625" s="35" t="s">
        <v>115</v>
      </c>
      <c r="H1625" s="35" t="str">
        <f>IFERROR(_xlfn.XLOOKUP(Table6[[#This Row],[Affected WTG]],'Basic Data'!$A:$A,'Basic Data'!$B:$B),"")</f>
        <v>TQGXIIPL</v>
      </c>
      <c r="I1625" s="35" t="str">
        <f>IFERROR(_xlfn.XLOOKUP(Table6[[#This Row],[Affected WTG]],'Basic Data'!$A:$A,'Basic Data'!$C:$C),"")</f>
        <v>GEDA</v>
      </c>
      <c r="J1625" s="260">
        <f>IFERROR(_xlfn.XLOOKUP(Table6[[#This Row],[Affected WTG]],'Basic Data'!$A:$A,'Basic Data'!$E:$E),"")</f>
        <v>3.846153846153845E-2</v>
      </c>
      <c r="K1625" s="102">
        <v>6130</v>
      </c>
      <c r="L1625" s="35" t="str">
        <f>IFERROR(_xlfn.XLOOKUP(Table6[[#This Row],[Error Code]],'Basic Data'!$AA:$AA,'Basic Data'!$AB:$AB),"Incorrect Error Code")</f>
        <v>Yaw speed high</v>
      </c>
      <c r="M1625" s="35" t="s">
        <v>266</v>
      </c>
      <c r="N1625" s="264"/>
      <c r="O1625" s="265">
        <v>0.58819444444444446</v>
      </c>
      <c r="P1625" s="265">
        <v>0.58819444444444446</v>
      </c>
      <c r="Q1625" s="266">
        <v>0.58958333333333335</v>
      </c>
      <c r="R1625" s="261">
        <f>IF(Table6[[#This Row],[Work Start TimeStamp]]="","",(Table6[[#This Row],[Work Start TimeStamp]]-Table6[[#This Row],[Fault Start TimeStamp]])*24)</f>
        <v>0</v>
      </c>
      <c r="S1625" s="261">
        <f>(Table6[[#This Row],[Fault Clearance time]]-Table6[[#This Row],[Work Start TimeStamp]])*24</f>
        <v>3.3333333333333215E-2</v>
      </c>
      <c r="T1625" s="261">
        <f>(Table6[[#This Row],[Fault Clearance time]]-Table6[[#This Row],[Fault Start TimeStamp]])*24</f>
        <v>3.3333333333333215E-2</v>
      </c>
      <c r="U1625" s="35" t="s">
        <v>483</v>
      </c>
      <c r="V1625" s="102" t="s">
        <v>268</v>
      </c>
      <c r="W1625" s="290">
        <f>IFERROR(Table6[[#This Row],[Breakdown Time]]*Table6[[#This Row],[Plant Equivalent Weightage]],"")</f>
        <v>1.2820512820512771E-3</v>
      </c>
      <c r="X1625" s="262" t="s">
        <v>269</v>
      </c>
      <c r="Y1625" s="263" t="s">
        <v>140</v>
      </c>
      <c r="Z1625" s="102">
        <v>36554</v>
      </c>
      <c r="AA1625" s="257">
        <f>(Table6[[#This Row],[Paired WTG Generation for loss calculation]]/24)*Table6[[#This Row],[Breakdown Time]]</f>
        <v>50.769444444444261</v>
      </c>
      <c r="AB1625" s="102"/>
      <c r="AC1625" s="35"/>
      <c r="AD1625" s="35"/>
    </row>
    <row r="1626" spans="1:30">
      <c r="A1626" s="102">
        <f t="shared" si="26"/>
        <v>1625</v>
      </c>
      <c r="B1626" s="257">
        <f>YEAR(Table6[[#This Row],[Date]])+IF(MONTH(Table6[[#This Row],[Date]])&gt;=4,1,0)</f>
        <v>2026</v>
      </c>
      <c r="C1626" s="102">
        <f>YEAR(Table6[[#This Row],[Date]])</f>
        <v>2025</v>
      </c>
      <c r="D1626" s="102" t="s">
        <v>265</v>
      </c>
      <c r="E1626" s="258">
        <f>Table6[[#This Row],[Date]]-DAY(Table6[[#This Row],[Date]])+1</f>
        <v>45839</v>
      </c>
      <c r="F1626" s="259">
        <v>45864</v>
      </c>
      <c r="G1626" s="35" t="s">
        <v>115</v>
      </c>
      <c r="H1626" s="35" t="str">
        <f>IFERROR(_xlfn.XLOOKUP(Table6[[#This Row],[Affected WTG]],'Basic Data'!$A:$A,'Basic Data'!$B:$B),"")</f>
        <v>TQGXIIPL</v>
      </c>
      <c r="I1626" s="35" t="str">
        <f>IFERROR(_xlfn.XLOOKUP(Table6[[#This Row],[Affected WTG]],'Basic Data'!$A:$A,'Basic Data'!$C:$C),"")</f>
        <v>GEDA</v>
      </c>
      <c r="J1626" s="260">
        <f>IFERROR(_xlfn.XLOOKUP(Table6[[#This Row],[Affected WTG]],'Basic Data'!$A:$A,'Basic Data'!$E:$E),"")</f>
        <v>3.846153846153845E-2</v>
      </c>
      <c r="K1626" s="102">
        <v>6130</v>
      </c>
      <c r="L1626" s="35" t="str">
        <f>IFERROR(_xlfn.XLOOKUP(Table6[[#This Row],[Error Code]],'Basic Data'!$AA:$AA,'Basic Data'!$AB:$AB),"Incorrect Error Code")</f>
        <v>Yaw speed high</v>
      </c>
      <c r="M1626" s="35" t="s">
        <v>266</v>
      </c>
      <c r="N1626" s="264"/>
      <c r="O1626" s="265">
        <v>0.71597222222222223</v>
      </c>
      <c r="P1626" s="265">
        <v>0.71597222222222223</v>
      </c>
      <c r="Q1626" s="266">
        <v>0.72222222222222221</v>
      </c>
      <c r="R1626" s="261">
        <f>IF(Table6[[#This Row],[Work Start TimeStamp]]="","",(Table6[[#This Row],[Work Start TimeStamp]]-Table6[[#This Row],[Fault Start TimeStamp]])*24)</f>
        <v>0</v>
      </c>
      <c r="S1626" s="261">
        <f>(Table6[[#This Row],[Fault Clearance time]]-Table6[[#This Row],[Work Start TimeStamp]])*24</f>
        <v>0.14999999999999947</v>
      </c>
      <c r="T1626" s="261">
        <f>(Table6[[#This Row],[Fault Clearance time]]-Table6[[#This Row],[Fault Start TimeStamp]])*24</f>
        <v>0.14999999999999947</v>
      </c>
      <c r="U1626" s="35" t="s">
        <v>483</v>
      </c>
      <c r="V1626" s="102" t="s">
        <v>268</v>
      </c>
      <c r="W1626" s="290">
        <f>IFERROR(Table6[[#This Row],[Breakdown Time]]*Table6[[#This Row],[Plant Equivalent Weightage]],"")</f>
        <v>5.769230769230747E-3</v>
      </c>
      <c r="X1626" s="262" t="s">
        <v>269</v>
      </c>
      <c r="Y1626" s="263" t="s">
        <v>140</v>
      </c>
      <c r="Z1626" s="102">
        <v>36554</v>
      </c>
      <c r="AA1626" s="257">
        <f>(Table6[[#This Row],[Paired WTG Generation for loss calculation]]/24)*Table6[[#This Row],[Breakdown Time]]</f>
        <v>228.46249999999918</v>
      </c>
      <c r="AB1626" s="102"/>
      <c r="AC1626" s="35"/>
      <c r="AD1626" s="35"/>
    </row>
    <row r="1627" spans="1:30">
      <c r="A1627" s="102">
        <f t="shared" si="26"/>
        <v>1626</v>
      </c>
      <c r="B1627" s="257">
        <f>YEAR(Table6[[#This Row],[Date]])+IF(MONTH(Table6[[#This Row],[Date]])&gt;=4,1,0)</f>
        <v>2026</v>
      </c>
      <c r="C1627" s="102">
        <f>YEAR(Table6[[#This Row],[Date]])</f>
        <v>2025</v>
      </c>
      <c r="D1627" s="102" t="s">
        <v>265</v>
      </c>
      <c r="E1627" s="258">
        <f>Table6[[#This Row],[Date]]-DAY(Table6[[#This Row],[Date]])+1</f>
        <v>45839</v>
      </c>
      <c r="F1627" s="259">
        <v>45864</v>
      </c>
      <c r="G1627" s="35" t="s">
        <v>118</v>
      </c>
      <c r="H1627" s="35" t="str">
        <f>IFERROR(_xlfn.XLOOKUP(Table6[[#This Row],[Affected WTG]],'Basic Data'!$A:$A,'Basic Data'!$B:$B),"")</f>
        <v>TQGXIIPL</v>
      </c>
      <c r="I1627" s="35" t="str">
        <f>IFERROR(_xlfn.XLOOKUP(Table6[[#This Row],[Affected WTG]],'Basic Data'!$A:$A,'Basic Data'!$C:$C),"")</f>
        <v>GEDA</v>
      </c>
      <c r="J1627" s="260">
        <f>IFERROR(_xlfn.XLOOKUP(Table6[[#This Row],[Affected WTG]],'Basic Data'!$A:$A,'Basic Data'!$E:$E),"")</f>
        <v>3.846153846153845E-2</v>
      </c>
      <c r="K1627" s="102">
        <v>6130</v>
      </c>
      <c r="L1627" s="35" t="str">
        <f>IFERROR(_xlfn.XLOOKUP(Table6[[#This Row],[Error Code]],'Basic Data'!$AA:$AA,'Basic Data'!$AB:$AB),"Incorrect Error Code")</f>
        <v>Yaw speed high</v>
      </c>
      <c r="M1627" s="35" t="s">
        <v>266</v>
      </c>
      <c r="N1627" s="264"/>
      <c r="O1627" s="265">
        <v>0.48194444444444445</v>
      </c>
      <c r="P1627" s="265">
        <v>0.48194444444444445</v>
      </c>
      <c r="Q1627" s="266">
        <v>0.48333333333333334</v>
      </c>
      <c r="R1627" s="261">
        <f>IF(Table6[[#This Row],[Work Start TimeStamp]]="","",(Table6[[#This Row],[Work Start TimeStamp]]-Table6[[#This Row],[Fault Start TimeStamp]])*24)</f>
        <v>0</v>
      </c>
      <c r="S1627" s="261">
        <f>(Table6[[#This Row],[Fault Clearance time]]-Table6[[#This Row],[Work Start TimeStamp]])*24</f>
        <v>3.3333333333333215E-2</v>
      </c>
      <c r="T1627" s="261">
        <f>(Table6[[#This Row],[Fault Clearance time]]-Table6[[#This Row],[Fault Start TimeStamp]])*24</f>
        <v>3.3333333333333215E-2</v>
      </c>
      <c r="U1627" s="35" t="s">
        <v>483</v>
      </c>
      <c r="V1627" s="102" t="s">
        <v>268</v>
      </c>
      <c r="W1627" s="290">
        <f>IFERROR(Table6[[#This Row],[Breakdown Time]]*Table6[[#This Row],[Plant Equivalent Weightage]],"")</f>
        <v>1.2820512820512771E-3</v>
      </c>
      <c r="X1627" s="262" t="s">
        <v>269</v>
      </c>
      <c r="Y1627" s="263" t="s">
        <v>121</v>
      </c>
      <c r="Z1627" s="102">
        <v>35002</v>
      </c>
      <c r="AA1627" s="257">
        <f>(Table6[[#This Row],[Paired WTG Generation for loss calculation]]/24)*Table6[[#This Row],[Breakdown Time]]</f>
        <v>48.613888888888717</v>
      </c>
      <c r="AB1627" s="102"/>
      <c r="AC1627" s="35"/>
      <c r="AD1627" s="35"/>
    </row>
    <row r="1628" spans="1:30">
      <c r="A1628" s="102">
        <f t="shared" si="26"/>
        <v>1627</v>
      </c>
      <c r="B1628" s="257">
        <f>YEAR(Table6[[#This Row],[Date]])+IF(MONTH(Table6[[#This Row],[Date]])&gt;=4,1,0)</f>
        <v>2026</v>
      </c>
      <c r="C1628" s="102">
        <f>YEAR(Table6[[#This Row],[Date]])</f>
        <v>2025</v>
      </c>
      <c r="D1628" s="102" t="s">
        <v>265</v>
      </c>
      <c r="E1628" s="258">
        <f>Table6[[#This Row],[Date]]-DAY(Table6[[#This Row],[Date]])+1</f>
        <v>45839</v>
      </c>
      <c r="F1628" s="259">
        <v>45864</v>
      </c>
      <c r="G1628" s="35" t="s">
        <v>118</v>
      </c>
      <c r="H1628" s="35" t="str">
        <f>IFERROR(_xlfn.XLOOKUP(Table6[[#This Row],[Affected WTG]],'Basic Data'!$A:$A,'Basic Data'!$B:$B),"")</f>
        <v>TQGXIIPL</v>
      </c>
      <c r="I1628" s="35" t="str">
        <f>IFERROR(_xlfn.XLOOKUP(Table6[[#This Row],[Affected WTG]],'Basic Data'!$A:$A,'Basic Data'!$C:$C),"")</f>
        <v>GEDA</v>
      </c>
      <c r="J1628" s="260">
        <f>IFERROR(_xlfn.XLOOKUP(Table6[[#This Row],[Affected WTG]],'Basic Data'!$A:$A,'Basic Data'!$E:$E),"")</f>
        <v>3.846153846153845E-2</v>
      </c>
      <c r="K1628" s="102">
        <v>6130</v>
      </c>
      <c r="L1628" s="35" t="str">
        <f>IFERROR(_xlfn.XLOOKUP(Table6[[#This Row],[Error Code]],'Basic Data'!$AA:$AA,'Basic Data'!$AB:$AB),"Incorrect Error Code")</f>
        <v>Yaw speed high</v>
      </c>
      <c r="M1628" s="35" t="s">
        <v>266</v>
      </c>
      <c r="N1628" s="264"/>
      <c r="O1628" s="265">
        <v>0.71388888888888891</v>
      </c>
      <c r="P1628" s="265">
        <v>0.71388888888888891</v>
      </c>
      <c r="Q1628" s="266">
        <v>0.72222222222222221</v>
      </c>
      <c r="R1628" s="261">
        <f>IF(Table6[[#This Row],[Work Start TimeStamp]]="","",(Table6[[#This Row],[Work Start TimeStamp]]-Table6[[#This Row],[Fault Start TimeStamp]])*24)</f>
        <v>0</v>
      </c>
      <c r="S1628" s="261">
        <f>(Table6[[#This Row],[Fault Clearance time]]-Table6[[#This Row],[Work Start TimeStamp]])*24</f>
        <v>0.19999999999999929</v>
      </c>
      <c r="T1628" s="261">
        <f>(Table6[[#This Row],[Fault Clearance time]]-Table6[[#This Row],[Fault Start TimeStamp]])*24</f>
        <v>0.19999999999999929</v>
      </c>
      <c r="U1628" s="35" t="s">
        <v>483</v>
      </c>
      <c r="V1628" s="102" t="s">
        <v>268</v>
      </c>
      <c r="W1628" s="290">
        <f>IFERROR(Table6[[#This Row],[Breakdown Time]]*Table6[[#This Row],[Plant Equivalent Weightage]],"")</f>
        <v>7.6923076923076624E-3</v>
      </c>
      <c r="X1628" s="262" t="s">
        <v>269</v>
      </c>
      <c r="Y1628" s="263" t="s">
        <v>121</v>
      </c>
      <c r="Z1628" s="102">
        <v>35002</v>
      </c>
      <c r="AA1628" s="257">
        <f>(Table6[[#This Row],[Paired WTG Generation for loss calculation]]/24)*Table6[[#This Row],[Breakdown Time]]</f>
        <v>291.68333333333231</v>
      </c>
      <c r="AB1628" s="102"/>
      <c r="AC1628" s="35"/>
      <c r="AD1628" s="35"/>
    </row>
    <row r="1629" spans="1:30">
      <c r="A1629" s="102">
        <f t="shared" si="26"/>
        <v>1628</v>
      </c>
      <c r="B1629" s="257">
        <f>YEAR(Table6[[#This Row],[Date]])+IF(MONTH(Table6[[#This Row],[Date]])&gt;=4,1,0)</f>
        <v>2026</v>
      </c>
      <c r="C1629" s="102">
        <f>YEAR(Table6[[#This Row],[Date]])</f>
        <v>2025</v>
      </c>
      <c r="D1629" s="102" t="s">
        <v>265</v>
      </c>
      <c r="E1629" s="258">
        <f>Table6[[#This Row],[Date]]-DAY(Table6[[#This Row],[Date]])+1</f>
        <v>45839</v>
      </c>
      <c r="F1629" s="259">
        <v>45864</v>
      </c>
      <c r="G1629" s="35" t="s">
        <v>126</v>
      </c>
      <c r="H1629" s="35" t="str">
        <f>IFERROR(_xlfn.XLOOKUP(Table6[[#This Row],[Affected WTG]],'Basic Data'!$A:$A,'Basic Data'!$B:$B),"")</f>
        <v>TQGXIIPL</v>
      </c>
      <c r="I1629" s="35" t="str">
        <f>IFERROR(_xlfn.XLOOKUP(Table6[[#This Row],[Affected WTG]],'Basic Data'!$A:$A,'Basic Data'!$C:$C),"")</f>
        <v>GEDA</v>
      </c>
      <c r="J1629" s="260">
        <f>IFERROR(_xlfn.XLOOKUP(Table6[[#This Row],[Affected WTG]],'Basic Data'!$A:$A,'Basic Data'!$E:$E),"")</f>
        <v>3.846153846153845E-2</v>
      </c>
      <c r="K1629" s="102">
        <v>55</v>
      </c>
      <c r="L1629" s="35" t="str">
        <f>IFERROR(_xlfn.XLOOKUP(Table6[[#This Row],[Error Code]],'Basic Data'!$AA:$AA,'Basic Data'!$AB:$AB),"Incorrect Error Code")</f>
        <v>WTG shut down</v>
      </c>
      <c r="M1629" s="35" t="s">
        <v>266</v>
      </c>
      <c r="N1629" s="264"/>
      <c r="O1629" s="265">
        <v>0.47430555555555554</v>
      </c>
      <c r="P1629" s="265">
        <v>0.47430555555555554</v>
      </c>
      <c r="Q1629" s="266">
        <v>0.4826388888888889</v>
      </c>
      <c r="R1629" s="261">
        <f>IF(Table6[[#This Row],[Work Start TimeStamp]]="","",(Table6[[#This Row],[Work Start TimeStamp]]-Table6[[#This Row],[Fault Start TimeStamp]])*24)</f>
        <v>0</v>
      </c>
      <c r="S1629" s="261">
        <f>(Table6[[#This Row],[Fault Clearance time]]-Table6[[#This Row],[Work Start TimeStamp]])*24</f>
        <v>0.20000000000000062</v>
      </c>
      <c r="T1629" s="261">
        <f>(Table6[[#This Row],[Fault Clearance time]]-Table6[[#This Row],[Fault Start TimeStamp]])*24</f>
        <v>0.20000000000000062</v>
      </c>
      <c r="U1629" s="35" t="s">
        <v>628</v>
      </c>
      <c r="V1629" s="102" t="s">
        <v>268</v>
      </c>
      <c r="W1629" s="290">
        <f>IFERROR(Table6[[#This Row],[Breakdown Time]]*Table6[[#This Row],[Plant Equivalent Weightage]],"")</f>
        <v>7.6923076923077136E-3</v>
      </c>
      <c r="X1629" s="262" t="s">
        <v>296</v>
      </c>
      <c r="Y1629" s="263" t="s">
        <v>118</v>
      </c>
      <c r="Z1629" s="102">
        <v>33848</v>
      </c>
      <c r="AA1629" s="257">
        <f>(Table6[[#This Row],[Paired WTG Generation for loss calculation]]/24)*Table6[[#This Row],[Breakdown Time]]</f>
        <v>282.06666666666752</v>
      </c>
      <c r="AB1629" s="102"/>
      <c r="AC1629" s="35"/>
      <c r="AD1629" s="35"/>
    </row>
    <row r="1630" spans="1:30">
      <c r="A1630" s="102">
        <f t="shared" si="26"/>
        <v>1629</v>
      </c>
      <c r="B1630" s="257">
        <f>YEAR(Table6[[#This Row],[Date]])+IF(MONTH(Table6[[#This Row],[Date]])&gt;=4,1,0)</f>
        <v>2026</v>
      </c>
      <c r="C1630" s="102">
        <f>YEAR(Table6[[#This Row],[Date]])</f>
        <v>2025</v>
      </c>
      <c r="D1630" s="102" t="s">
        <v>265</v>
      </c>
      <c r="E1630" s="258">
        <f>Table6[[#This Row],[Date]]-DAY(Table6[[#This Row],[Date]])+1</f>
        <v>45839</v>
      </c>
      <c r="F1630" s="259">
        <v>45865</v>
      </c>
      <c r="G1630" s="35" t="s">
        <v>115</v>
      </c>
      <c r="H1630" s="35" t="str">
        <f>IFERROR(_xlfn.XLOOKUP(Table6[[#This Row],[Affected WTG]],'Basic Data'!$A:$A,'Basic Data'!$B:$B),"")</f>
        <v>TQGXIIPL</v>
      </c>
      <c r="I1630" s="35" t="str">
        <f>IFERROR(_xlfn.XLOOKUP(Table6[[#This Row],[Affected WTG]],'Basic Data'!$A:$A,'Basic Data'!$C:$C),"")</f>
        <v>GEDA</v>
      </c>
      <c r="J1630" s="260">
        <f>IFERROR(_xlfn.XLOOKUP(Table6[[#This Row],[Affected WTG]],'Basic Data'!$A:$A,'Basic Data'!$E:$E),"")</f>
        <v>3.846153846153845E-2</v>
      </c>
      <c r="K1630" s="102">
        <v>3211</v>
      </c>
      <c r="L1630" s="35" t="str">
        <f>IFERROR(_xlfn.XLOOKUP(Table6[[#This Row],[Error Code]],'Basic Data'!$AA:$AA,'Basic Data'!$AB:$AB),"Incorrect Error Code")</f>
        <v>Conv. load shedding (CAN)</v>
      </c>
      <c r="M1630" s="35" t="s">
        <v>266</v>
      </c>
      <c r="N1630" s="264"/>
      <c r="O1630" s="265">
        <v>0.25138888888888888</v>
      </c>
      <c r="P1630" s="265">
        <v>0.25138888888888888</v>
      </c>
      <c r="Q1630" s="266">
        <v>0.25416666666666665</v>
      </c>
      <c r="R1630" s="261">
        <f>IF(Table6[[#This Row],[Work Start TimeStamp]]="","",(Table6[[#This Row],[Work Start TimeStamp]]-Table6[[#This Row],[Fault Start TimeStamp]])*24)</f>
        <v>0</v>
      </c>
      <c r="S1630" s="261">
        <f>(Table6[[#This Row],[Fault Clearance time]]-Table6[[#This Row],[Work Start TimeStamp]])*24</f>
        <v>6.666666666666643E-2</v>
      </c>
      <c r="T1630" s="261">
        <f>(Table6[[#This Row],[Fault Clearance time]]-Table6[[#This Row],[Fault Start TimeStamp]])*24</f>
        <v>6.666666666666643E-2</v>
      </c>
      <c r="U1630" s="35" t="s">
        <v>483</v>
      </c>
      <c r="V1630" s="102" t="s">
        <v>268</v>
      </c>
      <c r="W1630" s="290">
        <f>IFERROR(Table6[[#This Row],[Breakdown Time]]*Table6[[#This Row],[Plant Equivalent Weightage]],"")</f>
        <v>2.5641025641025541E-3</v>
      </c>
      <c r="X1630" s="262" t="s">
        <v>269</v>
      </c>
      <c r="Y1630" s="263" t="s">
        <v>140</v>
      </c>
      <c r="Z1630" s="102">
        <v>55024</v>
      </c>
      <c r="AA1630" s="257">
        <f>(Table6[[#This Row],[Paired WTG Generation for loss calculation]]/24)*Table6[[#This Row],[Breakdown Time]]</f>
        <v>152.84444444444389</v>
      </c>
      <c r="AB1630" s="102"/>
      <c r="AC1630" s="35"/>
      <c r="AD1630" s="35"/>
    </row>
    <row r="1631" spans="1:30">
      <c r="A1631" s="102">
        <f t="shared" si="26"/>
        <v>1630</v>
      </c>
      <c r="B1631" s="257">
        <f>YEAR(Table6[[#This Row],[Date]])+IF(MONTH(Table6[[#This Row],[Date]])&gt;=4,1,0)</f>
        <v>2026</v>
      </c>
      <c r="C1631" s="102">
        <f>YEAR(Table6[[#This Row],[Date]])</f>
        <v>2025</v>
      </c>
      <c r="D1631" s="102" t="s">
        <v>265</v>
      </c>
      <c r="E1631" s="258">
        <f>Table6[[#This Row],[Date]]-DAY(Table6[[#This Row],[Date]])+1</f>
        <v>45839</v>
      </c>
      <c r="F1631" s="259">
        <v>45865</v>
      </c>
      <c r="G1631" s="35" t="s">
        <v>115</v>
      </c>
      <c r="H1631" s="35" t="str">
        <f>IFERROR(_xlfn.XLOOKUP(Table6[[#This Row],[Affected WTG]],'Basic Data'!$A:$A,'Basic Data'!$B:$B),"")</f>
        <v>TQGXIIPL</v>
      </c>
      <c r="I1631" s="35" t="str">
        <f>IFERROR(_xlfn.XLOOKUP(Table6[[#This Row],[Affected WTG]],'Basic Data'!$A:$A,'Basic Data'!$C:$C),"")</f>
        <v>GEDA</v>
      </c>
      <c r="J1631" s="260">
        <f>IFERROR(_xlfn.XLOOKUP(Table6[[#This Row],[Affected WTG]],'Basic Data'!$A:$A,'Basic Data'!$E:$E),"")</f>
        <v>3.846153846153845E-2</v>
      </c>
      <c r="K1631" s="102">
        <v>6130</v>
      </c>
      <c r="L1631" s="35" t="str">
        <f>IFERROR(_xlfn.XLOOKUP(Table6[[#This Row],[Error Code]],'Basic Data'!$AA:$AA,'Basic Data'!$AB:$AB),"Incorrect Error Code")</f>
        <v>Yaw speed high</v>
      </c>
      <c r="M1631" s="35" t="s">
        <v>266</v>
      </c>
      <c r="N1631" s="264"/>
      <c r="O1631" s="265">
        <v>0.62638888888888888</v>
      </c>
      <c r="P1631" s="265">
        <v>0.62638888888888888</v>
      </c>
      <c r="Q1631" s="266">
        <v>0.62708333333333333</v>
      </c>
      <c r="R1631" s="261">
        <f>IF(Table6[[#This Row],[Work Start TimeStamp]]="","",(Table6[[#This Row],[Work Start TimeStamp]]-Table6[[#This Row],[Fault Start TimeStamp]])*24)</f>
        <v>0</v>
      </c>
      <c r="S1631" s="261">
        <f>(Table6[[#This Row],[Fault Clearance time]]-Table6[[#This Row],[Work Start TimeStamp]])*24</f>
        <v>1.6666666666666607E-2</v>
      </c>
      <c r="T1631" s="261">
        <f>(Table6[[#This Row],[Fault Clearance time]]-Table6[[#This Row],[Fault Start TimeStamp]])*24</f>
        <v>1.6666666666666607E-2</v>
      </c>
      <c r="U1631" s="35" t="s">
        <v>483</v>
      </c>
      <c r="V1631" s="102" t="s">
        <v>268</v>
      </c>
      <c r="W1631" s="290">
        <f>IFERROR(Table6[[#This Row],[Breakdown Time]]*Table6[[#This Row],[Plant Equivalent Weightage]],"")</f>
        <v>6.4102564102563853E-4</v>
      </c>
      <c r="X1631" s="262" t="s">
        <v>269</v>
      </c>
      <c r="Y1631" s="263" t="s">
        <v>140</v>
      </c>
      <c r="Z1631" s="102">
        <v>55024</v>
      </c>
      <c r="AA1631" s="257">
        <f>(Table6[[#This Row],[Paired WTG Generation for loss calculation]]/24)*Table6[[#This Row],[Breakdown Time]]</f>
        <v>38.211111111110974</v>
      </c>
      <c r="AB1631" s="102"/>
      <c r="AC1631" s="35"/>
      <c r="AD1631" s="35"/>
    </row>
    <row r="1632" spans="1:30">
      <c r="A1632" s="102">
        <f t="shared" si="26"/>
        <v>1631</v>
      </c>
      <c r="B1632" s="257">
        <f>YEAR(Table6[[#This Row],[Date]])+IF(MONTH(Table6[[#This Row],[Date]])&gt;=4,1,0)</f>
        <v>2026</v>
      </c>
      <c r="C1632" s="102">
        <f>YEAR(Table6[[#This Row],[Date]])</f>
        <v>2025</v>
      </c>
      <c r="D1632" s="102" t="s">
        <v>265</v>
      </c>
      <c r="E1632" s="258">
        <f>Table6[[#This Row],[Date]]-DAY(Table6[[#This Row],[Date]])+1</f>
        <v>45839</v>
      </c>
      <c r="F1632" s="259">
        <v>45865</v>
      </c>
      <c r="G1632" s="35" t="s">
        <v>116</v>
      </c>
      <c r="H1632" s="35" t="str">
        <f>IFERROR(_xlfn.XLOOKUP(Table6[[#This Row],[Affected WTG]],'Basic Data'!$A:$A,'Basic Data'!$B:$B),"")</f>
        <v>TQGXIIPL</v>
      </c>
      <c r="I1632" s="35" t="str">
        <f>IFERROR(_xlfn.XLOOKUP(Table6[[#This Row],[Affected WTG]],'Basic Data'!$A:$A,'Basic Data'!$C:$C),"")</f>
        <v>GEDA</v>
      </c>
      <c r="J1632" s="260">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266</v>
      </c>
      <c r="N1632" s="264"/>
      <c r="O1632" s="265">
        <v>0.24374999999999999</v>
      </c>
      <c r="P1632" s="265">
        <v>0.24374999999999999</v>
      </c>
      <c r="Q1632" s="266">
        <v>0.24444444444444444</v>
      </c>
      <c r="R1632" s="261">
        <f>IF(Table6[[#This Row],[Work Start TimeStamp]]="","",(Table6[[#This Row],[Work Start TimeStamp]]-Table6[[#This Row],[Fault Start TimeStamp]])*24)</f>
        <v>0</v>
      </c>
      <c r="S1632" s="261">
        <f>(Table6[[#This Row],[Fault Clearance time]]-Table6[[#This Row],[Work Start TimeStamp]])*24</f>
        <v>1.6666666666666607E-2</v>
      </c>
      <c r="T1632" s="261">
        <f>(Table6[[#This Row],[Fault Clearance time]]-Table6[[#This Row],[Fault Start TimeStamp]])*24</f>
        <v>1.6666666666666607E-2</v>
      </c>
      <c r="U1632" s="35" t="s">
        <v>483</v>
      </c>
      <c r="V1632" s="102" t="s">
        <v>268</v>
      </c>
      <c r="W1632" s="290">
        <f>IFERROR(Table6[[#This Row],[Breakdown Time]]*Table6[[#This Row],[Plant Equivalent Weightage]],"")</f>
        <v>6.4102564102563853E-4</v>
      </c>
      <c r="X1632" s="262" t="s">
        <v>269</v>
      </c>
      <c r="Y1632" s="263" t="s">
        <v>119</v>
      </c>
      <c r="Z1632" s="102">
        <v>54125</v>
      </c>
      <c r="AA1632" s="257">
        <f>(Table6[[#This Row],[Paired WTG Generation for loss calculation]]/24)*Table6[[#This Row],[Breakdown Time]]</f>
        <v>37.586805555555422</v>
      </c>
      <c r="AB1632" s="102"/>
      <c r="AC1632" s="35"/>
      <c r="AD1632" s="35"/>
    </row>
    <row r="1633" spans="1:30">
      <c r="A1633" s="102">
        <f t="shared" si="26"/>
        <v>1632</v>
      </c>
      <c r="B1633" s="257">
        <f>YEAR(Table6[[#This Row],[Date]])+IF(MONTH(Table6[[#This Row],[Date]])&gt;=4,1,0)</f>
        <v>2026</v>
      </c>
      <c r="C1633" s="102">
        <f>YEAR(Table6[[#This Row],[Date]])</f>
        <v>2025</v>
      </c>
      <c r="D1633" s="102" t="s">
        <v>265</v>
      </c>
      <c r="E1633" s="258">
        <f>Table6[[#This Row],[Date]]-DAY(Table6[[#This Row],[Date]])+1</f>
        <v>45839</v>
      </c>
      <c r="F1633" s="259">
        <v>45865</v>
      </c>
      <c r="G1633" s="35" t="s">
        <v>116</v>
      </c>
      <c r="H1633" s="35" t="str">
        <f>IFERROR(_xlfn.XLOOKUP(Table6[[#This Row],[Affected WTG]],'Basic Data'!$A:$A,'Basic Data'!$B:$B),"")</f>
        <v>TQGXIIPL</v>
      </c>
      <c r="I1633" s="35" t="str">
        <f>IFERROR(_xlfn.XLOOKUP(Table6[[#This Row],[Affected WTG]],'Basic Data'!$A:$A,'Basic Data'!$C:$C),"")</f>
        <v>GEDA</v>
      </c>
      <c r="J1633" s="260">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266</v>
      </c>
      <c r="N1633" s="264"/>
      <c r="O1633" s="265">
        <v>0.26111111111111113</v>
      </c>
      <c r="P1633" s="265">
        <v>0.26111111111111113</v>
      </c>
      <c r="Q1633" s="266">
        <v>0.26180555555555557</v>
      </c>
      <c r="R1633" s="261">
        <f>IF(Table6[[#This Row],[Work Start TimeStamp]]="","",(Table6[[#This Row],[Work Start TimeStamp]]-Table6[[#This Row],[Fault Start TimeStamp]])*24)</f>
        <v>0</v>
      </c>
      <c r="S1633" s="261">
        <f>(Table6[[#This Row],[Fault Clearance time]]-Table6[[#This Row],[Work Start TimeStamp]])*24</f>
        <v>1.6666666666666607E-2</v>
      </c>
      <c r="T1633" s="261">
        <f>(Table6[[#This Row],[Fault Clearance time]]-Table6[[#This Row],[Fault Start TimeStamp]])*24</f>
        <v>1.6666666666666607E-2</v>
      </c>
      <c r="U1633" s="35" t="s">
        <v>483</v>
      </c>
      <c r="V1633" s="102" t="s">
        <v>268</v>
      </c>
      <c r="W1633" s="290">
        <f>IFERROR(Table6[[#This Row],[Breakdown Time]]*Table6[[#This Row],[Plant Equivalent Weightage]],"")</f>
        <v>6.4102564102563853E-4</v>
      </c>
      <c r="X1633" s="262" t="s">
        <v>269</v>
      </c>
      <c r="Y1633" s="263" t="s">
        <v>119</v>
      </c>
      <c r="Z1633" s="102">
        <v>54125</v>
      </c>
      <c r="AA1633" s="257">
        <f>(Table6[[#This Row],[Paired WTG Generation for loss calculation]]/24)*Table6[[#This Row],[Breakdown Time]]</f>
        <v>37.586805555555422</v>
      </c>
      <c r="AB1633" s="102"/>
      <c r="AC1633" s="35"/>
      <c r="AD1633" s="35"/>
    </row>
    <row r="1634" spans="1:30">
      <c r="A1634" s="102">
        <f t="shared" si="26"/>
        <v>1633</v>
      </c>
      <c r="B1634" s="257">
        <f>YEAR(Table6[[#This Row],[Date]])+IF(MONTH(Table6[[#This Row],[Date]])&gt;=4,1,0)</f>
        <v>2026</v>
      </c>
      <c r="C1634" s="102">
        <f>YEAR(Table6[[#This Row],[Date]])</f>
        <v>2025</v>
      </c>
      <c r="D1634" s="102" t="s">
        <v>265</v>
      </c>
      <c r="E1634" s="258">
        <f>Table6[[#This Row],[Date]]-DAY(Table6[[#This Row],[Date]])+1</f>
        <v>45839</v>
      </c>
      <c r="F1634" s="259">
        <v>45865</v>
      </c>
      <c r="G1634" s="35" t="s">
        <v>127</v>
      </c>
      <c r="H1634" s="35" t="str">
        <f>IFERROR(_xlfn.XLOOKUP(Table6[[#This Row],[Affected WTG]],'Basic Data'!$A:$A,'Basic Data'!$B:$B),"")</f>
        <v>TQGXIIPL</v>
      </c>
      <c r="I1634" s="35" t="str">
        <f>IFERROR(_xlfn.XLOOKUP(Table6[[#This Row],[Affected WTG]],'Basic Data'!$A:$A,'Basic Data'!$C:$C),"")</f>
        <v>GEDA</v>
      </c>
      <c r="J1634" s="260">
        <f>IFERROR(_xlfn.XLOOKUP(Table6[[#This Row],[Affected WTG]],'Basic Data'!$A:$A,'Basic Data'!$E:$E),"")</f>
        <v>3.846153846153845E-2</v>
      </c>
      <c r="K1634" s="102">
        <v>6130</v>
      </c>
      <c r="L1634" s="35" t="str">
        <f>IFERROR(_xlfn.XLOOKUP(Table6[[#This Row],[Error Code]],'Basic Data'!$AA:$AA,'Basic Data'!$AB:$AB),"Incorrect Error Code")</f>
        <v>Yaw speed high</v>
      </c>
      <c r="M1634" s="35" t="s">
        <v>266</v>
      </c>
      <c r="N1634" s="264"/>
      <c r="O1634" s="265">
        <v>0.31527777777777777</v>
      </c>
      <c r="P1634" s="265">
        <v>0.31527777777777777</v>
      </c>
      <c r="Q1634" s="266">
        <v>0.31805555555555554</v>
      </c>
      <c r="R1634" s="261">
        <f>IF(Table6[[#This Row],[Work Start TimeStamp]]="","",(Table6[[#This Row],[Work Start TimeStamp]]-Table6[[#This Row],[Fault Start TimeStamp]])*24)</f>
        <v>0</v>
      </c>
      <c r="S1634" s="261">
        <f>(Table6[[#This Row],[Fault Clearance time]]-Table6[[#This Row],[Work Start TimeStamp]])*24</f>
        <v>6.666666666666643E-2</v>
      </c>
      <c r="T1634" s="261">
        <f>(Table6[[#This Row],[Fault Clearance time]]-Table6[[#This Row],[Fault Start TimeStamp]])*24</f>
        <v>6.666666666666643E-2</v>
      </c>
      <c r="U1634" s="35" t="s">
        <v>483</v>
      </c>
      <c r="V1634" s="102" t="s">
        <v>268</v>
      </c>
      <c r="W1634" s="290">
        <f>IFERROR(Table6[[#This Row],[Breakdown Time]]*Table6[[#This Row],[Plant Equivalent Weightage]],"")</f>
        <v>2.5641025641025541E-3</v>
      </c>
      <c r="X1634" s="262" t="s">
        <v>269</v>
      </c>
      <c r="Y1634" s="263" t="s">
        <v>125</v>
      </c>
      <c r="Z1634" s="102">
        <v>52738</v>
      </c>
      <c r="AA1634" s="257">
        <f>(Table6[[#This Row],[Paired WTG Generation for loss calculation]]/24)*Table6[[#This Row],[Breakdown Time]]</f>
        <v>146.4944444444439</v>
      </c>
      <c r="AB1634" s="102"/>
      <c r="AC1634" s="35"/>
      <c r="AD1634" s="35"/>
    </row>
    <row r="1635" spans="1:30">
      <c r="A1635" s="102">
        <f t="shared" si="26"/>
        <v>1634</v>
      </c>
      <c r="B1635" s="257">
        <f>YEAR(Table6[[#This Row],[Date]])+IF(MONTH(Table6[[#This Row],[Date]])&gt;=4,1,0)</f>
        <v>2026</v>
      </c>
      <c r="C1635" s="102">
        <f>YEAR(Table6[[#This Row],[Date]])</f>
        <v>2025</v>
      </c>
      <c r="D1635" s="102" t="s">
        <v>265</v>
      </c>
      <c r="E1635" s="258">
        <f>Table6[[#This Row],[Date]]-DAY(Table6[[#This Row],[Date]])+1</f>
        <v>45839</v>
      </c>
      <c r="F1635" s="259">
        <v>45865</v>
      </c>
      <c r="G1635" s="35" t="s">
        <v>139</v>
      </c>
      <c r="H1635" s="35" t="str">
        <f>IFERROR(_xlfn.XLOOKUP(Table6[[#This Row],[Affected WTG]],'Basic Data'!$A:$A,'Basic Data'!$B:$B),"")</f>
        <v>TQGXIIPL</v>
      </c>
      <c r="I1635" s="35" t="str">
        <f>IFERROR(_xlfn.XLOOKUP(Table6[[#This Row],[Affected WTG]],'Basic Data'!$A:$A,'Basic Data'!$C:$C),"")</f>
        <v>GEDA</v>
      </c>
      <c r="J1635" s="260">
        <f>IFERROR(_xlfn.XLOOKUP(Table6[[#This Row],[Affected WTG]],'Basic Data'!$A:$A,'Basic Data'!$E:$E),"")</f>
        <v>3.846153846153845E-2</v>
      </c>
      <c r="K1635" s="102">
        <v>3211</v>
      </c>
      <c r="L1635" s="35" t="str">
        <f>IFERROR(_xlfn.XLOOKUP(Table6[[#This Row],[Error Code]],'Basic Data'!$AA:$AA,'Basic Data'!$AB:$AB),"Incorrect Error Code")</f>
        <v>Conv. load shedding (CAN)</v>
      </c>
      <c r="M1635" s="35" t="s">
        <v>266</v>
      </c>
      <c r="N1635" s="264"/>
      <c r="O1635" s="265">
        <v>0.17291666666666666</v>
      </c>
      <c r="P1635" s="265">
        <v>0.17291666666666666</v>
      </c>
      <c r="Q1635" s="266">
        <v>0.20833333333333334</v>
      </c>
      <c r="R1635" s="261">
        <f>IF(Table6[[#This Row],[Work Start TimeStamp]]="","",(Table6[[#This Row],[Work Start TimeStamp]]-Table6[[#This Row],[Fault Start TimeStamp]])*24)</f>
        <v>0</v>
      </c>
      <c r="S1635" s="261">
        <f>(Table6[[#This Row],[Fault Clearance time]]-Table6[[#This Row],[Work Start TimeStamp]])*24</f>
        <v>0.85000000000000031</v>
      </c>
      <c r="T1635" s="261">
        <f>(Table6[[#This Row],[Fault Clearance time]]-Table6[[#This Row],[Fault Start TimeStamp]])*24</f>
        <v>0.85000000000000031</v>
      </c>
      <c r="U1635" s="35" t="s">
        <v>629</v>
      </c>
      <c r="V1635" s="102" t="s">
        <v>268</v>
      </c>
      <c r="W1635" s="290">
        <f>IFERROR(Table6[[#This Row],[Breakdown Time]]*Table6[[#This Row],[Plant Equivalent Weightage]],"")</f>
        <v>3.2692307692307694E-2</v>
      </c>
      <c r="X1635" s="262" t="s">
        <v>269</v>
      </c>
      <c r="Y1635" s="263" t="s">
        <v>115</v>
      </c>
      <c r="Z1635" s="102">
        <v>51896</v>
      </c>
      <c r="AA1635" s="257">
        <f>(Table6[[#This Row],[Paired WTG Generation for loss calculation]]/24)*Table6[[#This Row],[Breakdown Time]]</f>
        <v>1837.983333333334</v>
      </c>
      <c r="AB1635" s="102"/>
      <c r="AC1635" s="35"/>
      <c r="AD1635" s="35"/>
    </row>
    <row r="1636" spans="1:30">
      <c r="A1636" s="102">
        <f t="shared" si="26"/>
        <v>1635</v>
      </c>
      <c r="B1636" s="257">
        <f>YEAR(Table6[[#This Row],[Date]])+IF(MONTH(Table6[[#This Row],[Date]])&gt;=4,1,0)</f>
        <v>2026</v>
      </c>
      <c r="C1636" s="102">
        <f>YEAR(Table6[[#This Row],[Date]])</f>
        <v>2025</v>
      </c>
      <c r="D1636" s="102" t="s">
        <v>265</v>
      </c>
      <c r="E1636" s="258">
        <f>Table6[[#This Row],[Date]]-DAY(Table6[[#This Row],[Date]])+1</f>
        <v>45839</v>
      </c>
      <c r="F1636" s="259">
        <v>45865</v>
      </c>
      <c r="G1636" s="35" t="s">
        <v>118</v>
      </c>
      <c r="H1636" s="35" t="str">
        <f>IFERROR(_xlfn.XLOOKUP(Table6[[#This Row],[Affected WTG]],'Basic Data'!$A:$A,'Basic Data'!$B:$B),"")</f>
        <v>TQGXIIPL</v>
      </c>
      <c r="I1636" s="35" t="str">
        <f>IFERROR(_xlfn.XLOOKUP(Table6[[#This Row],[Affected WTG]],'Basic Data'!$A:$A,'Basic Data'!$C:$C),"")</f>
        <v>GEDA</v>
      </c>
      <c r="J1636" s="260">
        <f>IFERROR(_xlfn.XLOOKUP(Table6[[#This Row],[Affected WTG]],'Basic Data'!$A:$A,'Basic Data'!$E:$E),"")</f>
        <v>3.846153846153845E-2</v>
      </c>
      <c r="K1636" s="102">
        <v>6130</v>
      </c>
      <c r="L1636" s="35" t="str">
        <f>IFERROR(_xlfn.XLOOKUP(Table6[[#This Row],[Error Code]],'Basic Data'!$AA:$AA,'Basic Data'!$AB:$AB),"Incorrect Error Code")</f>
        <v>Yaw speed high</v>
      </c>
      <c r="M1636" s="35" t="s">
        <v>278</v>
      </c>
      <c r="N1636" s="264"/>
      <c r="O1636" s="265">
        <v>0.81736111111111109</v>
      </c>
      <c r="P1636" s="265">
        <v>0.81736111111111109</v>
      </c>
      <c r="Q1636" s="266">
        <v>0.82152777777777775</v>
      </c>
      <c r="R1636" s="261">
        <f>IF(Table6[[#This Row],[Work Start TimeStamp]]="","",(Table6[[#This Row],[Work Start TimeStamp]]-Table6[[#This Row],[Fault Start TimeStamp]])*24)</f>
        <v>0</v>
      </c>
      <c r="S1636" s="261">
        <f>(Table6[[#This Row],[Fault Clearance time]]-Table6[[#This Row],[Work Start TimeStamp]])*24</f>
        <v>9.9999999999999645E-2</v>
      </c>
      <c r="T1636" s="261">
        <f>(Table6[[#This Row],[Fault Clearance time]]-Table6[[#This Row],[Fault Start TimeStamp]])*24</f>
        <v>9.9999999999999645E-2</v>
      </c>
      <c r="U1636" s="35" t="s">
        <v>277</v>
      </c>
      <c r="V1636" s="102" t="s">
        <v>268</v>
      </c>
      <c r="W1636" s="290">
        <f>IFERROR(Table6[[#This Row],[Breakdown Time]]*Table6[[#This Row],[Plant Equivalent Weightage]],"")</f>
        <v>3.8461538461538312E-3</v>
      </c>
      <c r="X1636" s="262" t="s">
        <v>269</v>
      </c>
      <c r="Y1636" s="263" t="s">
        <v>118</v>
      </c>
      <c r="Z1636" s="102">
        <v>54678</v>
      </c>
      <c r="AA1636" s="257">
        <f>(Table6[[#This Row],[Paired WTG Generation for loss calculation]]/24)*Table6[[#This Row],[Breakdown Time]]</f>
        <v>227.82499999999919</v>
      </c>
      <c r="AB1636" s="102"/>
      <c r="AC1636" s="35"/>
      <c r="AD1636" s="35"/>
    </row>
  </sheetData>
  <phoneticPr fontId="10" type="noConversion"/>
  <conditionalFormatting sqref="L1:L1636">
    <cfRule type="containsText" dxfId="155" priority="1" operator="containsText" text="Incorrect Error Code">
      <formula>NOT(ISERROR(SEARCH("Incorrect Error Code",L1)))</formula>
    </cfRule>
  </conditionalFormatting>
  <pageMargins left="0.7" right="0.7" top="0.75" bottom="0.75" header="0.3" footer="0.3"/>
  <ignoredErrors>
    <ignoredError sqref="Y1637: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7"/>
  <sheetViews>
    <sheetView zoomScale="80" workbookViewId="0">
      <pane xSplit="6" ySplit="1" topLeftCell="G138" activePane="bottomRight" state="frozen"/>
      <selection pane="bottomRight" activeCell="K162" sqref="K162"/>
      <selection pane="bottomLeft" activeCell="A2" sqref="A2"/>
      <selection pane="topRight" activeCell="G1" sqref="G1"/>
    </sheetView>
  </sheetViews>
  <sheetFormatPr defaultRowHeight="14.45"/>
  <cols>
    <col min="2" max="3" width="12.42578125" customWidth="1"/>
    <col min="4" max="4" width="13" customWidth="1"/>
    <col min="6" max="6" width="11.42578125" customWidth="1"/>
    <col min="7" max="7" width="14.140625" customWidth="1"/>
    <col min="9" max="9" width="9.5703125" customWidth="1"/>
    <col min="10" max="10" width="21.5703125" customWidth="1"/>
    <col min="11" max="11" width="50.5703125" customWidth="1"/>
    <col min="12" max="12" width="18" customWidth="1"/>
    <col min="13" max="13" width="18.42578125" customWidth="1"/>
    <col min="14" max="14" width="16.5703125" customWidth="1"/>
    <col min="15" max="15" width="13.140625" customWidth="1"/>
    <col min="16" max="16" width="13.5703125" customWidth="1"/>
    <col min="17" max="17" width="14.42578125" customWidth="1"/>
    <col min="18" max="18" width="129.42578125" style="283" customWidth="1"/>
    <col min="20" max="20" width="22.42578125" customWidth="1"/>
    <col min="21" max="21" width="28.42578125" customWidth="1"/>
    <col min="22" max="22" width="10" customWidth="1"/>
    <col min="23" max="23" width="12.5703125" customWidth="1"/>
    <col min="24" max="24" width="26" bestFit="1" customWidth="1"/>
    <col min="25" max="25" width="9.5703125" bestFit="1" customWidth="1"/>
    <col min="26" max="26" width="8.5703125" customWidth="1"/>
    <col min="27" max="27" width="11.5703125" customWidth="1"/>
  </cols>
  <sheetData>
    <row r="1" spans="1:27" s="102" customFormat="1" ht="49.5" customHeight="1" thickBot="1">
      <c r="A1" s="268" t="s">
        <v>7</v>
      </c>
      <c r="B1" s="269" t="s">
        <v>3</v>
      </c>
      <c r="C1" s="269" t="s">
        <v>72</v>
      </c>
      <c r="D1" s="269" t="s">
        <v>239</v>
      </c>
      <c r="E1" s="269" t="s">
        <v>240</v>
      </c>
      <c r="F1" s="270" t="s">
        <v>71</v>
      </c>
      <c r="G1" s="270" t="s">
        <v>630</v>
      </c>
      <c r="H1" s="270" t="s">
        <v>242</v>
      </c>
      <c r="I1" s="270" t="s">
        <v>243</v>
      </c>
      <c r="J1" s="270" t="s">
        <v>244</v>
      </c>
      <c r="K1" s="270" t="s">
        <v>247</v>
      </c>
      <c r="L1" s="270" t="s">
        <v>249</v>
      </c>
      <c r="M1" s="270" t="s">
        <v>250</v>
      </c>
      <c r="N1" s="270" t="s">
        <v>251</v>
      </c>
      <c r="O1" s="270" t="s">
        <v>252</v>
      </c>
      <c r="P1" s="270" t="s">
        <v>253</v>
      </c>
      <c r="Q1" s="270" t="s">
        <v>254</v>
      </c>
      <c r="R1" s="270" t="s">
        <v>255</v>
      </c>
      <c r="S1" s="270" t="s">
        <v>256</v>
      </c>
      <c r="T1" s="270" t="s">
        <v>257</v>
      </c>
      <c r="U1" s="270" t="s">
        <v>258</v>
      </c>
      <c r="V1" s="254" t="s">
        <v>631</v>
      </c>
      <c r="W1" s="21" t="s">
        <v>632</v>
      </c>
      <c r="X1" s="270" t="s">
        <v>261</v>
      </c>
      <c r="Y1" s="270" t="s">
        <v>633</v>
      </c>
      <c r="Z1" s="270" t="s">
        <v>263</v>
      </c>
      <c r="AA1" s="270" t="s">
        <v>264</v>
      </c>
    </row>
    <row r="2" spans="1:27" ht="15" thickTop="1">
      <c r="A2" s="102">
        <v>1</v>
      </c>
      <c r="B2" s="102">
        <f>YEAR(Table10[[#This Row],[Date]])+IF(MONTH(Table10[[#This Row],[Date]])&gt;=4,1,0)</f>
        <v>2026</v>
      </c>
      <c r="C2" s="102">
        <f>YEAR(Table10[[#This Row],[Date]])</f>
        <v>2025</v>
      </c>
      <c r="D2" s="102" t="s">
        <v>634</v>
      </c>
      <c r="E2" s="258">
        <f>Table10[[#This Row],[Date]]-DAY(Table10[[#This Row],[Date]])+1</f>
        <v>45748</v>
      </c>
      <c r="F2" s="259">
        <v>45750</v>
      </c>
      <c r="G2" s="102" t="s">
        <v>124</v>
      </c>
      <c r="H2" s="102" t="str">
        <f>IFERROR(_xlfn.XLOOKUP(Table10[[#This Row],[Affected Feeder ]],'Basic Data'!$A$43:$A$70,'Basic Data'!$B$43:$B$70),"")</f>
        <v>TQGXIIPL</v>
      </c>
      <c r="I2" s="102" t="str">
        <f>IFERROR(_xlfn.XLOOKUP(Table10[[#This Row],[Affected Feeder ]],'Basic Data'!$A$43:$A$70,'Basic Data'!$C$43:$C$70),"")</f>
        <v>GEDA</v>
      </c>
      <c r="J2" s="271">
        <f>IFERROR(_xlfn.XLOOKUP(Table10[[#This Row],[Affected Feeder ]],'Basic Data'!$A$43:$A$70,'Basic Data'!$E$43:$E$70),"")</f>
        <v>3.846153846153845E-2</v>
      </c>
      <c r="K2" s="272" t="s">
        <v>635</v>
      </c>
      <c r="L2" s="273">
        <v>0.7416666666666667</v>
      </c>
      <c r="M2" s="273">
        <v>0.7416666666666667</v>
      </c>
      <c r="N2" s="273">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272" t="s">
        <v>636</v>
      </c>
      <c r="S2" s="102" t="s">
        <v>268</v>
      </c>
      <c r="T2" s="274">
        <f>IFERROR(Table10[[#This Row],[Breakdown Time]]*Table10[[#This Row],[Plant Equivalent Weightage]],"")</f>
        <v>1.346153846153841E-2</v>
      </c>
      <c r="U2" s="102" t="s">
        <v>637</v>
      </c>
      <c r="V2" s="288">
        <f>IFERROR(_xlfn.XLOOKUP(Table10[[#This Row],[Date]],'Daily KPI'!$A:$A,'Daily KPI'!$M:$M),"")</f>
        <v>4.848190264908002</v>
      </c>
      <c r="W2" s="102">
        <v>362</v>
      </c>
      <c r="X2" s="102">
        <f>Table10[[#This Row],[WTG Loss]]*1*Table10[[#This Row],[Breakdown Time]]</f>
        <v>126.69999999999955</v>
      </c>
      <c r="Y2" s="102" t="s">
        <v>638</v>
      </c>
      <c r="Z2" s="102"/>
      <c r="AA2" s="102"/>
    </row>
    <row r="3" spans="1:27">
      <c r="A3" s="102">
        <f t="shared" ref="A3:A38" si="0">A2+1</f>
        <v>2</v>
      </c>
      <c r="B3" s="102">
        <f>YEAR(Table10[[#This Row],[Date]])+IF(MONTH(Table10[[#This Row],[Date]])&gt;=4,1,0)</f>
        <v>2026</v>
      </c>
      <c r="C3" s="102">
        <f>YEAR(Table10[[#This Row],[Date]])</f>
        <v>2025</v>
      </c>
      <c r="D3" s="102" t="s">
        <v>634</v>
      </c>
      <c r="E3" s="258">
        <f>Table10[[#This Row],[Date]]-DAY(Table10[[#This Row],[Date]])+1</f>
        <v>45748</v>
      </c>
      <c r="F3" s="259">
        <v>45752</v>
      </c>
      <c r="G3" s="102" t="s">
        <v>639</v>
      </c>
      <c r="H3" s="102" t="str">
        <f>IFERROR(_xlfn.XLOOKUP(Table10[[#This Row],[Affected Feeder ]],'Basic Data'!$A$43:$A$70,'Basic Data'!$B$43:$B$70),"")</f>
        <v>TQGXIIPL</v>
      </c>
      <c r="I3" s="102" t="str">
        <f>IFERROR(_xlfn.XLOOKUP(Table10[[#This Row],[Affected Feeder ]],'Basic Data'!$A$43:$A$70,'Basic Data'!$C$43:$C$70),"")</f>
        <v>GEDA</v>
      </c>
      <c r="J3" s="271">
        <f>IFERROR(_xlfn.XLOOKUP(Table10[[#This Row],[Affected Feeder ]],'Basic Data'!$A$43:$A$70,'Basic Data'!$E$43:$E$70),"")</f>
        <v>0.49999999999999978</v>
      </c>
      <c r="K3" s="272" t="s">
        <v>640</v>
      </c>
      <c r="L3" s="273">
        <v>0.32291666666666669</v>
      </c>
      <c r="M3" s="273">
        <v>0.32291666666666669</v>
      </c>
      <c r="N3" s="273">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272" t="s">
        <v>641</v>
      </c>
      <c r="S3" s="102" t="s">
        <v>268</v>
      </c>
      <c r="T3" s="274">
        <f>IFERROR(Table10[[#This Row],[Breakdown Time]]*Table10[[#This Row],[Plant Equivalent Weightage]],"")</f>
        <v>0.29166666666666619</v>
      </c>
      <c r="U3" s="102" t="s">
        <v>637</v>
      </c>
      <c r="V3" s="288">
        <f>IFERROR(_xlfn.XLOOKUP(Table10[[#This Row],[Date]],'Daily KPI'!$A:$A,'Daily KPI'!$M:$M),"")</f>
        <v>4.3638956124082213</v>
      </c>
      <c r="W3" s="102">
        <v>274</v>
      </c>
      <c r="X3" s="102">
        <f>Table10[[#This Row],[WTG Loss]]*13*Table10[[#This Row],[Breakdown Time]]</f>
        <v>2077.8333333333308</v>
      </c>
      <c r="Y3" s="102" t="s">
        <v>638</v>
      </c>
      <c r="Z3" s="102"/>
      <c r="AA3" s="102"/>
    </row>
    <row r="4" spans="1:27">
      <c r="A4" s="102">
        <f t="shared" si="0"/>
        <v>3</v>
      </c>
      <c r="B4" s="102">
        <f>YEAR(Table10[[#This Row],[Date]])+IF(MONTH(Table10[[#This Row],[Date]])&gt;=4,1,0)</f>
        <v>2026</v>
      </c>
      <c r="C4" s="102">
        <f>YEAR(Table10[[#This Row],[Date]])</f>
        <v>2025</v>
      </c>
      <c r="D4" s="102" t="s">
        <v>634</v>
      </c>
      <c r="E4" s="258">
        <f>Table10[[#This Row],[Date]]-DAY(Table10[[#This Row],[Date]])+1</f>
        <v>45748</v>
      </c>
      <c r="F4" s="259">
        <v>45754</v>
      </c>
      <c r="G4" s="102" t="s">
        <v>639</v>
      </c>
      <c r="H4" s="102" t="str">
        <f>IFERROR(_xlfn.XLOOKUP(Table10[[#This Row],[Affected Feeder ]],'Basic Data'!$A$43:$A$70,'Basic Data'!$B$43:$B$70),"")</f>
        <v>TQGXIIPL</v>
      </c>
      <c r="I4" s="102" t="str">
        <f>IFERROR(_xlfn.XLOOKUP(Table10[[#This Row],[Affected Feeder ]],'Basic Data'!$A$43:$A$70,'Basic Data'!$C$43:$C$70),"")</f>
        <v>GEDA</v>
      </c>
      <c r="J4" s="271">
        <f>IFERROR(_xlfn.XLOOKUP(Table10[[#This Row],[Affected Feeder ]],'Basic Data'!$A$43:$A$70,'Basic Data'!$E$43:$E$70),"")</f>
        <v>0.49999999999999978</v>
      </c>
      <c r="K4" s="272" t="s">
        <v>640</v>
      </c>
      <c r="L4" s="273">
        <v>0.30902777777777779</v>
      </c>
      <c r="M4" s="273">
        <v>0.30902777777777779</v>
      </c>
      <c r="N4" s="273">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272" t="s">
        <v>642</v>
      </c>
      <c r="S4" s="102" t="s">
        <v>268</v>
      </c>
      <c r="T4" s="274">
        <f>IFERROR(Table10[[#This Row],[Breakdown Time]]*Table10[[#This Row],[Plant Equivalent Weightage]],"")</f>
        <v>0.19166666666666657</v>
      </c>
      <c r="U4" s="102" t="s">
        <v>637</v>
      </c>
      <c r="V4" s="288">
        <f>IFERROR(_xlfn.XLOOKUP(Table10[[#This Row],[Date]],'Daily KPI'!$A:$A,'Daily KPI'!$M:$M),"")</f>
        <v>7.1744298151518429</v>
      </c>
      <c r="W4" s="102">
        <v>1276</v>
      </c>
      <c r="X4" s="102">
        <f>Table10[[#This Row],[WTG Loss]]*13*Table10[[#This Row],[Breakdown Time]]</f>
        <v>6358.7333333333327</v>
      </c>
      <c r="Y4" s="102" t="s">
        <v>638</v>
      </c>
      <c r="Z4" s="102"/>
      <c r="AA4" s="102"/>
    </row>
    <row r="5" spans="1:27">
      <c r="A5" s="102">
        <f t="shared" si="0"/>
        <v>4</v>
      </c>
      <c r="B5" s="102">
        <f>YEAR(Table10[[#This Row],[Date]])+IF(MONTH(Table10[[#This Row],[Date]])&gt;=4,1,0)</f>
        <v>2026</v>
      </c>
      <c r="C5" s="102">
        <f>YEAR(Table10[[#This Row],[Date]])</f>
        <v>2025</v>
      </c>
      <c r="D5" s="102" t="s">
        <v>634</v>
      </c>
      <c r="E5" s="258">
        <f>Table10[[#This Row],[Date]]-DAY(Table10[[#This Row],[Date]])+1</f>
        <v>45748</v>
      </c>
      <c r="F5" s="259">
        <v>45759</v>
      </c>
      <c r="G5" s="102" t="s">
        <v>639</v>
      </c>
      <c r="H5" s="102" t="str">
        <f>IFERROR(_xlfn.XLOOKUP(Table10[[#This Row],[Affected Feeder ]],'Basic Data'!$A$43:$A$70,'Basic Data'!$B$43:$B$70),"")</f>
        <v>TQGXIIPL</v>
      </c>
      <c r="I5" s="102" t="str">
        <f>IFERROR(_xlfn.XLOOKUP(Table10[[#This Row],[Affected Feeder ]],'Basic Data'!$A$43:$A$70,'Basic Data'!$C$43:$C$70),"")</f>
        <v>GEDA</v>
      </c>
      <c r="J5" s="271">
        <f>IFERROR(_xlfn.XLOOKUP(Table10[[#This Row],[Affected Feeder ]],'Basic Data'!$A$43:$A$70,'Basic Data'!$E$43:$E$70),"")</f>
        <v>0.49999999999999978</v>
      </c>
      <c r="K5" s="272" t="s">
        <v>643</v>
      </c>
      <c r="L5" s="273">
        <v>0.30555555555555558</v>
      </c>
      <c r="M5" s="273">
        <v>0.30555555555555558</v>
      </c>
      <c r="N5" s="273">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272" t="s">
        <v>644</v>
      </c>
      <c r="S5" s="102" t="s">
        <v>268</v>
      </c>
      <c r="T5" s="274">
        <f>IFERROR(Table10[[#This Row],[Breakdown Time]]*Table10[[#This Row],[Plant Equivalent Weightage]],"")</f>
        <v>9.9999999999999603E-2</v>
      </c>
      <c r="U5" s="102" t="s">
        <v>637</v>
      </c>
      <c r="V5" s="288">
        <f>IFERROR(_xlfn.XLOOKUP(Table10[[#This Row],[Date]],'Daily KPI'!$A:$A,'Daily KPI'!$M:$M),"")</f>
        <v>4.983076923076923</v>
      </c>
      <c r="W5" s="102">
        <v>406</v>
      </c>
      <c r="X5" s="102">
        <f>Table10[[#This Row],[WTG Loss]]*13*Table10[[#This Row],[Breakdown Time]]</f>
        <v>1055.5999999999963</v>
      </c>
      <c r="Y5" s="102" t="s">
        <v>638</v>
      </c>
      <c r="Z5" s="102"/>
      <c r="AA5" s="102"/>
    </row>
    <row r="6" spans="1:27">
      <c r="A6" s="102">
        <f t="shared" si="0"/>
        <v>5</v>
      </c>
      <c r="B6" s="102">
        <f>YEAR(Table10[[#This Row],[Date]])+IF(MONTH(Table10[[#This Row],[Date]])&gt;=4,1,0)</f>
        <v>2026</v>
      </c>
      <c r="C6" s="102">
        <f>YEAR(Table10[[#This Row],[Date]])</f>
        <v>2025</v>
      </c>
      <c r="D6" s="102" t="s">
        <v>634</v>
      </c>
      <c r="E6" s="258">
        <f>Table10[[#This Row],[Date]]-DAY(Table10[[#This Row],[Date]])+1</f>
        <v>45748</v>
      </c>
      <c r="F6" s="259">
        <v>45759</v>
      </c>
      <c r="G6" s="102" t="s">
        <v>639</v>
      </c>
      <c r="H6" s="102" t="str">
        <f>IFERROR(_xlfn.XLOOKUP(Table10[[#This Row],[Affected Feeder ]],'Basic Data'!$A$43:$A$70,'Basic Data'!$B$43:$B$70),"")</f>
        <v>TQGXIIPL</v>
      </c>
      <c r="I6" s="102" t="str">
        <f>IFERROR(_xlfn.XLOOKUP(Table10[[#This Row],[Affected Feeder ]],'Basic Data'!$A$43:$A$70,'Basic Data'!$C$43:$C$70),"")</f>
        <v>GEDA</v>
      </c>
      <c r="J6" s="271">
        <f>IFERROR(_xlfn.XLOOKUP(Table10[[#This Row],[Affected Feeder ]],'Basic Data'!$A$43:$A$70,'Basic Data'!$E$43:$E$70),"")</f>
        <v>0.49999999999999978</v>
      </c>
      <c r="K6" s="272" t="s">
        <v>645</v>
      </c>
      <c r="L6" s="273">
        <v>0.5180555555555556</v>
      </c>
      <c r="M6" s="273">
        <v>0.5180555555555556</v>
      </c>
      <c r="N6" s="273">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272" t="s">
        <v>646</v>
      </c>
      <c r="S6" s="102" t="s">
        <v>549</v>
      </c>
      <c r="T6" s="274">
        <f>IFERROR(Table10[[#This Row],[Breakdown Time]]*Table10[[#This Row],[Plant Equivalent Weightage]],"")</f>
        <v>5.7833333333333306</v>
      </c>
      <c r="U6" s="102" t="s">
        <v>637</v>
      </c>
      <c r="V6" s="288">
        <f>IFERROR(_xlfn.XLOOKUP(Table10[[#This Row],[Date]],'Daily KPI'!$A:$A,'Daily KPI'!$M:$M),"")</f>
        <v>4.983076923076923</v>
      </c>
      <c r="W6" s="102">
        <v>406</v>
      </c>
      <c r="X6" s="102">
        <f>Table10[[#This Row],[WTG Loss]]*13*Table10[[#This Row],[Breakdown Time]]</f>
        <v>61048.866666666669</v>
      </c>
      <c r="Y6" s="102" t="s">
        <v>638</v>
      </c>
      <c r="Z6" s="102"/>
      <c r="AA6" s="102"/>
    </row>
    <row r="7" spans="1:27">
      <c r="A7" s="102">
        <f t="shared" si="0"/>
        <v>6</v>
      </c>
      <c r="B7" s="102">
        <f>YEAR(Table10[[#This Row],[Date]])+IF(MONTH(Table10[[#This Row],[Date]])&gt;=4,1,0)</f>
        <v>2026</v>
      </c>
      <c r="C7" s="102">
        <f>YEAR(Table10[[#This Row],[Date]])</f>
        <v>2025</v>
      </c>
      <c r="D7" s="102" t="s">
        <v>634</v>
      </c>
      <c r="E7" s="258">
        <f>Table10[[#This Row],[Date]]-DAY(Table10[[#This Row],[Date]])+1</f>
        <v>45748</v>
      </c>
      <c r="F7" s="259">
        <v>45759</v>
      </c>
      <c r="G7" s="102" t="s">
        <v>647</v>
      </c>
      <c r="H7" s="102" t="str">
        <f>IFERROR(_xlfn.XLOOKUP(Table10[[#This Row],[Affected Feeder ]],'Basic Data'!$A$43:$A$70,'Basic Data'!$B$43:$B$70),"")</f>
        <v>TQGXIIPL</v>
      </c>
      <c r="I7" s="102" t="str">
        <f>IFERROR(_xlfn.XLOOKUP(Table10[[#This Row],[Affected Feeder ]],'Basic Data'!$A$43:$A$70,'Basic Data'!$C$43:$C$70),"")</f>
        <v>GEDA</v>
      </c>
      <c r="J7" s="271">
        <f>IFERROR(_xlfn.XLOOKUP(Table10[[#This Row],[Affected Feeder ]],'Basic Data'!$A$43:$A$70,'Basic Data'!$E$43:$E$70),"")</f>
        <v>0.49999999999999978</v>
      </c>
      <c r="K7" s="272" t="s">
        <v>648</v>
      </c>
      <c r="L7" s="273">
        <v>0.5180555555555556</v>
      </c>
      <c r="M7" s="273">
        <v>0.5180555555555556</v>
      </c>
      <c r="N7" s="273">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272" t="s">
        <v>646</v>
      </c>
      <c r="S7" s="102" t="s">
        <v>549</v>
      </c>
      <c r="T7" s="274">
        <f>IFERROR(Table10[[#This Row],[Breakdown Time]]*Table10[[#This Row],[Plant Equivalent Weightage]],"")</f>
        <v>5.7833333333333306</v>
      </c>
      <c r="U7" s="102" t="s">
        <v>637</v>
      </c>
      <c r="V7" s="288">
        <f>IFERROR(_xlfn.XLOOKUP(Table10[[#This Row],[Date]],'Daily KPI'!$A:$A,'Daily KPI'!$M:$M),"")</f>
        <v>4.983076923076923</v>
      </c>
      <c r="W7" s="102">
        <v>406</v>
      </c>
      <c r="X7" s="102">
        <f>Table10[[#This Row],[WTG Loss]]*13*Table10[[#This Row],[Breakdown Time]]</f>
        <v>61048.866666666669</v>
      </c>
      <c r="Y7" s="102" t="s">
        <v>638</v>
      </c>
      <c r="Z7" s="102"/>
      <c r="AA7" s="102"/>
    </row>
    <row r="8" spans="1:27">
      <c r="A8" s="102">
        <f t="shared" si="0"/>
        <v>7</v>
      </c>
      <c r="B8" s="102">
        <f>YEAR(Table10[[#This Row],[Date]])+IF(MONTH(Table10[[#This Row],[Date]])&gt;=4,1,0)</f>
        <v>2026</v>
      </c>
      <c r="C8" s="102">
        <f>YEAR(Table10[[#This Row],[Date]])</f>
        <v>2025</v>
      </c>
      <c r="D8" s="102" t="s">
        <v>634</v>
      </c>
      <c r="E8" s="258">
        <f>Table10[[#This Row],[Date]]-DAY(Table10[[#This Row],[Date]])+1</f>
        <v>45748</v>
      </c>
      <c r="F8" s="259">
        <v>45760</v>
      </c>
      <c r="G8" s="102" t="s">
        <v>639</v>
      </c>
      <c r="H8" s="102" t="str">
        <f>IFERROR(_xlfn.XLOOKUP(Table10[[#This Row],[Affected Feeder ]],'Basic Data'!$A$43:$A$70,'Basic Data'!$B$43:$B$70),"")</f>
        <v>TQGXIIPL</v>
      </c>
      <c r="I8" s="102" t="str">
        <f>IFERROR(_xlfn.XLOOKUP(Table10[[#This Row],[Affected Feeder ]],'Basic Data'!$A$43:$A$70,'Basic Data'!$C$43:$C$70),"")</f>
        <v>GEDA</v>
      </c>
      <c r="J8" s="271">
        <f>IFERROR(_xlfn.XLOOKUP(Table10[[#This Row],[Affected Feeder ]],'Basic Data'!$A$43:$A$70,'Basic Data'!$E$43:$E$70),"")</f>
        <v>0.49999999999999978</v>
      </c>
      <c r="K8" s="272" t="s">
        <v>645</v>
      </c>
      <c r="L8" s="273">
        <v>0</v>
      </c>
      <c r="M8" s="273">
        <v>0</v>
      </c>
      <c r="N8" s="273">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272" t="s">
        <v>646</v>
      </c>
      <c r="S8" s="102" t="s">
        <v>268</v>
      </c>
      <c r="T8" s="274">
        <f>IFERROR(Table10[[#This Row],[Breakdown Time]]*Table10[[#This Row],[Plant Equivalent Weightage]],"")</f>
        <v>3.5333333333333314</v>
      </c>
      <c r="U8" s="102" t="s">
        <v>637</v>
      </c>
      <c r="V8" s="288">
        <f>IFERROR(_xlfn.XLOOKUP(Table10[[#This Row],[Date]],'Daily KPI'!$A:$A,'Daily KPI'!$M:$M),"")</f>
        <v>7.6407920586270697</v>
      </c>
      <c r="W8" s="102">
        <v>1490</v>
      </c>
      <c r="X8" s="102">
        <f>Table10[[#This Row],[WTG Loss]]*13*Table10[[#This Row],[Breakdown Time]]</f>
        <v>136881.33333333334</v>
      </c>
      <c r="Y8" s="102" t="s">
        <v>638</v>
      </c>
      <c r="Z8" s="102"/>
      <c r="AA8" s="102"/>
    </row>
    <row r="9" spans="1:27">
      <c r="A9" s="102">
        <f t="shared" si="0"/>
        <v>8</v>
      </c>
      <c r="B9" s="102">
        <f>YEAR(Table10[[#This Row],[Date]])+IF(MONTH(Table10[[#This Row],[Date]])&gt;=4,1,0)</f>
        <v>2026</v>
      </c>
      <c r="C9" s="102">
        <f>YEAR(Table10[[#This Row],[Date]])</f>
        <v>2025</v>
      </c>
      <c r="D9" s="102" t="s">
        <v>634</v>
      </c>
      <c r="E9" s="258">
        <f>Table10[[#This Row],[Date]]-DAY(Table10[[#This Row],[Date]])+1</f>
        <v>45748</v>
      </c>
      <c r="F9" s="259">
        <v>45760</v>
      </c>
      <c r="G9" s="102" t="s">
        <v>647</v>
      </c>
      <c r="H9" s="102" t="str">
        <f>IFERROR(_xlfn.XLOOKUP(Table10[[#This Row],[Affected Feeder ]],'Basic Data'!$A$43:$A$70,'Basic Data'!$B$43:$B$70),"")</f>
        <v>TQGXIIPL</v>
      </c>
      <c r="I9" s="102" t="str">
        <f>IFERROR(_xlfn.XLOOKUP(Table10[[#This Row],[Affected Feeder ]],'Basic Data'!$A$43:$A$70,'Basic Data'!$C$43:$C$70),"")</f>
        <v>GEDA</v>
      </c>
      <c r="J9" s="271">
        <f>IFERROR(_xlfn.XLOOKUP(Table10[[#This Row],[Affected Feeder ]],'Basic Data'!$A$43:$A$70,'Basic Data'!$E$43:$E$70),"")</f>
        <v>0.49999999999999978</v>
      </c>
      <c r="K9" s="272" t="s">
        <v>648</v>
      </c>
      <c r="L9" s="273">
        <v>0</v>
      </c>
      <c r="M9" s="273">
        <v>0</v>
      </c>
      <c r="N9" s="273">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272" t="s">
        <v>646</v>
      </c>
      <c r="S9" s="102" t="s">
        <v>268</v>
      </c>
      <c r="T9" s="274">
        <f>IFERROR(Table10[[#This Row],[Breakdown Time]]*Table10[[#This Row],[Plant Equivalent Weightage]],"")</f>
        <v>3.5333333333333314</v>
      </c>
      <c r="U9" s="102" t="s">
        <v>637</v>
      </c>
      <c r="V9" s="288">
        <f>IFERROR(_xlfn.XLOOKUP(Table10[[#This Row],[Date]],'Daily KPI'!$A:$A,'Daily KPI'!$M:$M),"")</f>
        <v>7.6407920586270697</v>
      </c>
      <c r="W9" s="102">
        <v>1490</v>
      </c>
      <c r="X9" s="102">
        <f>Table10[[#This Row],[WTG Loss]]*13*Table10[[#This Row],[Breakdown Time]]</f>
        <v>136881.33333333334</v>
      </c>
      <c r="Y9" s="102" t="s">
        <v>638</v>
      </c>
      <c r="Z9" s="102"/>
      <c r="AA9" s="102"/>
    </row>
    <row r="10" spans="1:27">
      <c r="A10" s="102">
        <f t="shared" si="0"/>
        <v>9</v>
      </c>
      <c r="B10" s="102">
        <f>YEAR(Table10[[#This Row],[Date]])+IF(MONTH(Table10[[#This Row],[Date]])&gt;=4,1,0)</f>
        <v>2026</v>
      </c>
      <c r="C10" s="102">
        <f>YEAR(Table10[[#This Row],[Date]])</f>
        <v>2025</v>
      </c>
      <c r="D10" s="102" t="s">
        <v>634</v>
      </c>
      <c r="E10" s="258">
        <f>Table10[[#This Row],[Date]]-DAY(Table10[[#This Row],[Date]])+1</f>
        <v>45748</v>
      </c>
      <c r="F10" s="259">
        <v>45763</v>
      </c>
      <c r="G10" s="102" t="s">
        <v>124</v>
      </c>
      <c r="H10" s="102" t="str">
        <f>IFERROR(_xlfn.XLOOKUP(Table10[[#This Row],[Affected Feeder ]],'Basic Data'!$A$43:$A$70,'Basic Data'!$B$43:$B$70),"")</f>
        <v>TQGXIIPL</v>
      </c>
      <c r="I10" s="102" t="str">
        <f>IFERROR(_xlfn.XLOOKUP(Table10[[#This Row],[Affected Feeder ]],'Basic Data'!$A$43:$A$70,'Basic Data'!$C$43:$C$70),"")</f>
        <v>GEDA</v>
      </c>
      <c r="J10" s="271">
        <f>IFERROR(_xlfn.XLOOKUP(Table10[[#This Row],[Affected Feeder ]],'Basic Data'!$A$43:$A$70,'Basic Data'!$E$43:$E$70),"")</f>
        <v>3.846153846153845E-2</v>
      </c>
      <c r="K10" s="272" t="s">
        <v>649</v>
      </c>
      <c r="L10" s="273">
        <v>0.38055555555555554</v>
      </c>
      <c r="M10" s="273">
        <v>0.38055555555555554</v>
      </c>
      <c r="N10" s="273">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272" t="s">
        <v>650</v>
      </c>
      <c r="S10" s="102" t="s">
        <v>268</v>
      </c>
      <c r="T10" s="274">
        <f>IFERROR(Table10[[#This Row],[Breakdown Time]]*Table10[[#This Row],[Plant Equivalent Weightage]],"")</f>
        <v>1.0256410256410269E-2</v>
      </c>
      <c r="U10" s="102" t="s">
        <v>637</v>
      </c>
      <c r="V10" s="288">
        <f>IFERROR(_xlfn.XLOOKUP(Table10[[#This Row],[Date]],'Daily KPI'!$A:$A,'Daily KPI'!$M:$M),"")</f>
        <v>7.9018868801493038</v>
      </c>
      <c r="W10" s="102">
        <v>1650.5</v>
      </c>
      <c r="X10" s="102">
        <f>Table10[[#This Row],[WTG Loss]]*1*Table10[[#This Row],[Breakdown Time]]</f>
        <v>440.13333333333395</v>
      </c>
      <c r="Y10" s="102" t="s">
        <v>638</v>
      </c>
      <c r="Z10" s="102"/>
      <c r="AA10" s="102"/>
    </row>
    <row r="11" spans="1:27">
      <c r="A11" s="102">
        <f t="shared" si="0"/>
        <v>10</v>
      </c>
      <c r="B11" s="102">
        <f>YEAR(Table10[[#This Row],[Date]])+IF(MONTH(Table10[[#This Row],[Date]])&gt;=4,1,0)</f>
        <v>2026</v>
      </c>
      <c r="C11" s="102">
        <f>YEAR(Table10[[#This Row],[Date]])</f>
        <v>2025</v>
      </c>
      <c r="D11" s="102" t="s">
        <v>634</v>
      </c>
      <c r="E11" s="258">
        <f>Table10[[#This Row],[Date]]-DAY(Table10[[#This Row],[Date]])+1</f>
        <v>45748</v>
      </c>
      <c r="F11" s="259">
        <v>45768</v>
      </c>
      <c r="G11" s="102" t="s">
        <v>639</v>
      </c>
      <c r="H11" s="102" t="str">
        <f>IFERROR(_xlfn.XLOOKUP(Table10[[#This Row],[Affected Feeder ]],'Basic Data'!$A$43:$A$70,'Basic Data'!$B$43:$B$70),"")</f>
        <v>TQGXIIPL</v>
      </c>
      <c r="I11" s="102" t="str">
        <f>IFERROR(_xlfn.XLOOKUP(Table10[[#This Row],[Affected Feeder ]],'Basic Data'!$A$43:$A$70,'Basic Data'!$C$43:$C$70),"")</f>
        <v>GEDA</v>
      </c>
      <c r="J11" s="271">
        <f>IFERROR(_xlfn.XLOOKUP(Table10[[#This Row],[Affected Feeder ]],'Basic Data'!$A$43:$A$70,'Basic Data'!$E$43:$E$70),"")</f>
        <v>0.49999999999999978</v>
      </c>
      <c r="K11" s="272" t="s">
        <v>645</v>
      </c>
      <c r="L11" s="273">
        <v>0.37222222222222223</v>
      </c>
      <c r="M11" s="273">
        <v>0.37222222222222223</v>
      </c>
      <c r="N11" s="273">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272" t="s">
        <v>651</v>
      </c>
      <c r="S11" s="102" t="s">
        <v>268</v>
      </c>
      <c r="T11" s="274">
        <f>IFERROR(Table10[[#This Row],[Breakdown Time]]*Table10[[#This Row],[Plant Equivalent Weightage]],"")</f>
        <v>0.29166666666666619</v>
      </c>
      <c r="U11" s="102" t="s">
        <v>637</v>
      </c>
      <c r="V11" s="288">
        <f>IFERROR(_xlfn.XLOOKUP(Table10[[#This Row],[Date]],'Daily KPI'!$A:$A,'Daily KPI'!$M:$M),"")</f>
        <v>4.9753116044268859</v>
      </c>
      <c r="W11" s="102">
        <v>406</v>
      </c>
      <c r="X11" s="102">
        <f>Table10[[#This Row],[WTG Loss]]*6*Table10[[#This Row],[Breakdown Time]]</f>
        <v>1420.9999999999982</v>
      </c>
      <c r="Y11" s="102" t="s">
        <v>638</v>
      </c>
      <c r="Z11" s="102"/>
      <c r="AA11" s="102"/>
    </row>
    <row r="12" spans="1:27">
      <c r="A12" s="102">
        <f t="shared" si="0"/>
        <v>11</v>
      </c>
      <c r="B12" s="102">
        <f>YEAR(Table10[[#This Row],[Date]])+IF(MONTH(Table10[[#This Row],[Date]])&gt;=4,1,0)</f>
        <v>2026</v>
      </c>
      <c r="C12" s="102">
        <f>YEAR(Table10[[#This Row],[Date]])</f>
        <v>2025</v>
      </c>
      <c r="D12" s="102" t="s">
        <v>634</v>
      </c>
      <c r="E12" s="258">
        <f>Table10[[#This Row],[Date]]-DAY(Table10[[#This Row],[Date]])+1</f>
        <v>45748</v>
      </c>
      <c r="F12" s="259">
        <v>45768</v>
      </c>
      <c r="G12" s="102" t="s">
        <v>639</v>
      </c>
      <c r="H12" s="102" t="str">
        <f>IFERROR(_xlfn.XLOOKUP(Table10[[#This Row],[Affected Feeder ]],'Basic Data'!$A$43:$A$70,'Basic Data'!$B$43:$B$70),"")</f>
        <v>TQGXIIPL</v>
      </c>
      <c r="I12" s="102" t="str">
        <f>IFERROR(_xlfn.XLOOKUP(Table10[[#This Row],[Affected Feeder ]],'Basic Data'!$A$43:$A$70,'Basic Data'!$C$43:$C$70),"")</f>
        <v>GEDA</v>
      </c>
      <c r="J12" s="271">
        <f>IFERROR(_xlfn.XLOOKUP(Table10[[#This Row],[Affected Feeder ]],'Basic Data'!$A$43:$A$70,'Basic Data'!$E$43:$E$70),"")</f>
        <v>0.49999999999999978</v>
      </c>
      <c r="K12" s="272" t="s">
        <v>645</v>
      </c>
      <c r="L12" s="273">
        <v>0.78055555555555556</v>
      </c>
      <c r="M12" s="273">
        <v>0.78055555555555556</v>
      </c>
      <c r="N12" s="273">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272" t="s">
        <v>651</v>
      </c>
      <c r="S12" s="102" t="s">
        <v>268</v>
      </c>
      <c r="T12" s="274">
        <f>IFERROR(Table10[[#This Row],[Breakdown Time]]*Table10[[#This Row],[Plant Equivalent Weightage]],"")</f>
        <v>0.21666666666666715</v>
      </c>
      <c r="U12" s="102" t="s">
        <v>637</v>
      </c>
      <c r="V12" s="288">
        <f>IFERROR(_xlfn.XLOOKUP(Table10[[#This Row],[Date]],'Daily KPI'!$A:$A,'Daily KPI'!$M:$M),"")</f>
        <v>4.9753116044268859</v>
      </c>
      <c r="W12" s="102">
        <v>406</v>
      </c>
      <c r="X12" s="102">
        <f>Table10[[#This Row],[WTG Loss]]*6*Table10[[#This Row],[Breakdown Time]]</f>
        <v>1055.6000000000026</v>
      </c>
      <c r="Y12" s="102" t="s">
        <v>638</v>
      </c>
      <c r="Z12" s="102"/>
      <c r="AA12" s="102"/>
    </row>
    <row r="13" spans="1:27">
      <c r="A13" s="102">
        <f t="shared" si="0"/>
        <v>12</v>
      </c>
      <c r="B13" s="102">
        <f>YEAR(Table10[[#This Row],[Date]])+IF(MONTH(Table10[[#This Row],[Date]])&gt;=4,1,0)</f>
        <v>2026</v>
      </c>
      <c r="C13" s="102">
        <f>YEAR(Table10[[#This Row],[Date]])</f>
        <v>2025</v>
      </c>
      <c r="D13" s="102" t="s">
        <v>634</v>
      </c>
      <c r="E13" s="258">
        <f>Table10[[#This Row],[Date]]-DAY(Table10[[#This Row],[Date]])+1</f>
        <v>45748</v>
      </c>
      <c r="F13" s="259">
        <v>45768</v>
      </c>
      <c r="G13" s="102" t="s">
        <v>115</v>
      </c>
      <c r="H13" s="102" t="str">
        <f>IFERROR(_xlfn.XLOOKUP(Table10[[#This Row],[Affected Feeder ]],'Basic Data'!$A$43:$A$70,'Basic Data'!$B$43:$B$70),"")</f>
        <v>TQGXIIPL</v>
      </c>
      <c r="I13" s="102" t="str">
        <f>IFERROR(_xlfn.XLOOKUP(Table10[[#This Row],[Affected Feeder ]],'Basic Data'!$A$43:$A$70,'Basic Data'!$C$43:$C$70),"")</f>
        <v>GEDA</v>
      </c>
      <c r="J13" s="271">
        <f>IFERROR(_xlfn.XLOOKUP(Table10[[#This Row],[Affected Feeder ]],'Basic Data'!$A$43:$A$70,'Basic Data'!$E$43:$E$70),"")</f>
        <v>3.846153846153845E-2</v>
      </c>
      <c r="K13" s="272" t="s">
        <v>652</v>
      </c>
      <c r="L13" s="273">
        <v>0.39652777777777776</v>
      </c>
      <c r="M13" s="273">
        <v>0.39652777777777776</v>
      </c>
      <c r="N13" s="273">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272" t="s">
        <v>651</v>
      </c>
      <c r="S13" s="102" t="s">
        <v>268</v>
      </c>
      <c r="T13" s="274">
        <f>IFERROR(Table10[[#This Row],[Breakdown Time]]*Table10[[#This Row],[Plant Equivalent Weightage]],"")</f>
        <v>0.35448717948717939</v>
      </c>
      <c r="U13" s="102" t="s">
        <v>637</v>
      </c>
      <c r="V13" s="288">
        <f>IFERROR(_xlfn.XLOOKUP(Table10[[#This Row],[Date]],'Daily KPI'!$A:$A,'Daily KPI'!$M:$M),"")</f>
        <v>4.9753116044268859</v>
      </c>
      <c r="W13" s="102">
        <v>406</v>
      </c>
      <c r="X13" s="102">
        <f>Table10[[#This Row],[WTG Loss]]*6*Table10[[#This Row],[Breakdown Time]]</f>
        <v>22451.8</v>
      </c>
      <c r="Y13" s="102" t="s">
        <v>638</v>
      </c>
      <c r="Z13" s="102"/>
      <c r="AA13" s="102"/>
    </row>
    <row r="14" spans="1:27">
      <c r="A14" s="102">
        <f t="shared" si="0"/>
        <v>13</v>
      </c>
      <c r="B14" s="102">
        <f>YEAR(Table10[[#This Row],[Date]])+IF(MONTH(Table10[[#This Row],[Date]])&gt;=4,1,0)</f>
        <v>2026</v>
      </c>
      <c r="C14" s="102">
        <f>YEAR(Table10[[#This Row],[Date]])</f>
        <v>2025</v>
      </c>
      <c r="D14" s="102" t="s">
        <v>634</v>
      </c>
      <c r="E14" s="258">
        <f>Table10[[#This Row],[Date]]-DAY(Table10[[#This Row],[Date]])+1</f>
        <v>45748</v>
      </c>
      <c r="F14" s="259">
        <v>45768</v>
      </c>
      <c r="G14" s="102" t="s">
        <v>116</v>
      </c>
      <c r="H14" s="102" t="str">
        <f>IFERROR(_xlfn.XLOOKUP(Table10[[#This Row],[Affected Feeder ]],'Basic Data'!$A$43:$A$70,'Basic Data'!$B$43:$B$70),"")</f>
        <v>TQGXIIPL</v>
      </c>
      <c r="I14" s="102" t="str">
        <f>IFERROR(_xlfn.XLOOKUP(Table10[[#This Row],[Affected Feeder ]],'Basic Data'!$A$43:$A$70,'Basic Data'!$C$43:$C$70),"")</f>
        <v>GEDA</v>
      </c>
      <c r="J14" s="271">
        <f>IFERROR(_xlfn.XLOOKUP(Table10[[#This Row],[Affected Feeder ]],'Basic Data'!$A$43:$A$70,'Basic Data'!$E$43:$E$70),"")</f>
        <v>3.846153846153845E-2</v>
      </c>
      <c r="K14" s="272" t="s">
        <v>653</v>
      </c>
      <c r="L14" s="273">
        <v>0.39652777777777776</v>
      </c>
      <c r="M14" s="273">
        <v>0.39652777777777776</v>
      </c>
      <c r="N14" s="273">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272" t="s">
        <v>651</v>
      </c>
      <c r="S14" s="102" t="s">
        <v>268</v>
      </c>
      <c r="T14" s="274">
        <f>IFERROR(Table10[[#This Row],[Breakdown Time]]*Table10[[#This Row],[Plant Equivalent Weightage]],"")</f>
        <v>0.35448717948717939</v>
      </c>
      <c r="U14" s="102" t="s">
        <v>637</v>
      </c>
      <c r="V14" s="288">
        <f>IFERROR(_xlfn.XLOOKUP(Table10[[#This Row],[Date]],'Daily KPI'!$A:$A,'Daily KPI'!$M:$M),"")</f>
        <v>4.9753116044268859</v>
      </c>
      <c r="W14" s="102">
        <v>406</v>
      </c>
      <c r="X14" s="102">
        <f>Table10[[#This Row],[WTG Loss]]*6*Table10[[#This Row],[Breakdown Time]]</f>
        <v>22451.8</v>
      </c>
      <c r="Y14" s="102" t="s">
        <v>638</v>
      </c>
      <c r="Z14" s="102"/>
      <c r="AA14" s="102"/>
    </row>
    <row r="15" spans="1:27">
      <c r="A15" s="102">
        <f t="shared" si="0"/>
        <v>14</v>
      </c>
      <c r="B15" s="102">
        <f>YEAR(Table10[[#This Row],[Date]])+IF(MONTH(Table10[[#This Row],[Date]])&gt;=4,1,0)</f>
        <v>2026</v>
      </c>
      <c r="C15" s="102">
        <f>YEAR(Table10[[#This Row],[Date]])</f>
        <v>2025</v>
      </c>
      <c r="D15" s="102" t="s">
        <v>634</v>
      </c>
      <c r="E15" s="258">
        <f>Table10[[#This Row],[Date]]-DAY(Table10[[#This Row],[Date]])+1</f>
        <v>45748</v>
      </c>
      <c r="F15" s="259">
        <v>45768</v>
      </c>
      <c r="G15" s="102" t="s">
        <v>119</v>
      </c>
      <c r="H15" s="102" t="str">
        <f>IFERROR(_xlfn.XLOOKUP(Table10[[#This Row],[Affected Feeder ]],'Basic Data'!$A$43:$A$70,'Basic Data'!$B$43:$B$70),"")</f>
        <v>TQGXIIPL</v>
      </c>
      <c r="I15" s="102" t="str">
        <f>IFERROR(_xlfn.XLOOKUP(Table10[[#This Row],[Affected Feeder ]],'Basic Data'!$A$43:$A$70,'Basic Data'!$C$43:$C$70),"")</f>
        <v>GEDA</v>
      </c>
      <c r="J15" s="271">
        <f>IFERROR(_xlfn.XLOOKUP(Table10[[#This Row],[Affected Feeder ]],'Basic Data'!$A$43:$A$70,'Basic Data'!$E$43:$E$70),"")</f>
        <v>3.846153846153845E-2</v>
      </c>
      <c r="K15" s="272" t="s">
        <v>654</v>
      </c>
      <c r="L15" s="273">
        <v>0.39652777777777776</v>
      </c>
      <c r="M15" s="273">
        <v>0.39652777777777776</v>
      </c>
      <c r="N15" s="273">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272" t="s">
        <v>651</v>
      </c>
      <c r="S15" s="102" t="s">
        <v>268</v>
      </c>
      <c r="T15" s="274">
        <f>IFERROR(Table10[[#This Row],[Breakdown Time]]*Table10[[#This Row],[Plant Equivalent Weightage]],"")</f>
        <v>0.35448717948717939</v>
      </c>
      <c r="U15" s="102" t="s">
        <v>637</v>
      </c>
      <c r="V15" s="288">
        <f>IFERROR(_xlfn.XLOOKUP(Table10[[#This Row],[Date]],'Daily KPI'!$A:$A,'Daily KPI'!$M:$M),"")</f>
        <v>4.9753116044268859</v>
      </c>
      <c r="W15" s="102">
        <v>406</v>
      </c>
      <c r="X15" s="102">
        <f>Table10[[#This Row],[WTG Loss]]*6*Table10[[#This Row],[Breakdown Time]]</f>
        <v>22451.8</v>
      </c>
      <c r="Y15" s="102" t="s">
        <v>638</v>
      </c>
      <c r="Z15" s="102"/>
      <c r="AA15" s="102"/>
    </row>
    <row r="16" spans="1:27">
      <c r="A16" s="102">
        <f t="shared" si="0"/>
        <v>15</v>
      </c>
      <c r="B16" s="102">
        <f>YEAR(Table10[[#This Row],[Date]])+IF(MONTH(Table10[[#This Row],[Date]])&gt;=4,1,0)</f>
        <v>2026</v>
      </c>
      <c r="C16" s="102">
        <f>YEAR(Table10[[#This Row],[Date]])</f>
        <v>2025</v>
      </c>
      <c r="D16" s="102" t="s">
        <v>634</v>
      </c>
      <c r="E16" s="258">
        <f>Table10[[#This Row],[Date]]-DAY(Table10[[#This Row],[Date]])+1</f>
        <v>45748</v>
      </c>
      <c r="F16" s="259">
        <v>45768</v>
      </c>
      <c r="G16" s="102" t="s">
        <v>122</v>
      </c>
      <c r="H16" s="102" t="str">
        <f>IFERROR(_xlfn.XLOOKUP(Table10[[#This Row],[Affected Feeder ]],'Basic Data'!$A$43:$A$70,'Basic Data'!$B$43:$B$70),"")</f>
        <v>TQGXIIPL</v>
      </c>
      <c r="I16" s="102" t="str">
        <f>IFERROR(_xlfn.XLOOKUP(Table10[[#This Row],[Affected Feeder ]],'Basic Data'!$A$43:$A$70,'Basic Data'!$C$43:$C$70),"")</f>
        <v>GEDA</v>
      </c>
      <c r="J16" s="271">
        <f>IFERROR(_xlfn.XLOOKUP(Table10[[#This Row],[Affected Feeder ]],'Basic Data'!$A$43:$A$70,'Basic Data'!$E$43:$E$70),"")</f>
        <v>3.846153846153845E-2</v>
      </c>
      <c r="K16" s="272" t="s">
        <v>655</v>
      </c>
      <c r="L16" s="273">
        <v>0.39652777777777776</v>
      </c>
      <c r="M16" s="273">
        <v>0.39652777777777776</v>
      </c>
      <c r="N16" s="273">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272" t="s">
        <v>651</v>
      </c>
      <c r="S16" s="102" t="s">
        <v>268</v>
      </c>
      <c r="T16" s="274">
        <f>IFERROR(Table10[[#This Row],[Breakdown Time]]*Table10[[#This Row],[Plant Equivalent Weightage]],"")</f>
        <v>0.35448717948717939</v>
      </c>
      <c r="U16" s="102" t="s">
        <v>637</v>
      </c>
      <c r="V16" s="288">
        <f>IFERROR(_xlfn.XLOOKUP(Table10[[#This Row],[Date]],'Daily KPI'!$A:$A,'Daily KPI'!$M:$M),"")</f>
        <v>4.9753116044268859</v>
      </c>
      <c r="W16" s="102">
        <v>406</v>
      </c>
      <c r="X16" s="102">
        <f>Table10[[#This Row],[WTG Loss]]*6*Table10[[#This Row],[Breakdown Time]]</f>
        <v>22451.8</v>
      </c>
      <c r="Y16" s="102" t="s">
        <v>638</v>
      </c>
      <c r="Z16" s="102"/>
      <c r="AA16" s="102"/>
    </row>
    <row r="17" spans="1:27">
      <c r="A17" s="102">
        <f t="shared" si="0"/>
        <v>16</v>
      </c>
      <c r="B17" s="102">
        <f>YEAR(Table10[[#This Row],[Date]])+IF(MONTH(Table10[[#This Row],[Date]])&gt;=4,1,0)</f>
        <v>2026</v>
      </c>
      <c r="C17" s="102">
        <f>YEAR(Table10[[#This Row],[Date]])</f>
        <v>2025</v>
      </c>
      <c r="D17" s="102" t="s">
        <v>634</v>
      </c>
      <c r="E17" s="258">
        <f>Table10[[#This Row],[Date]]-DAY(Table10[[#This Row],[Date]])+1</f>
        <v>45748</v>
      </c>
      <c r="F17" s="259">
        <v>45768</v>
      </c>
      <c r="G17" s="102" t="s">
        <v>139</v>
      </c>
      <c r="H17" s="102" t="str">
        <f>IFERROR(_xlfn.XLOOKUP(Table10[[#This Row],[Affected Feeder ]],'Basic Data'!$A$43:$A$70,'Basic Data'!$B$43:$B$70),"")</f>
        <v>TQGXIIPL</v>
      </c>
      <c r="I17" s="102" t="str">
        <f>IFERROR(_xlfn.XLOOKUP(Table10[[#This Row],[Affected Feeder ]],'Basic Data'!$A$43:$A$70,'Basic Data'!$C$43:$C$70),"")</f>
        <v>GEDA</v>
      </c>
      <c r="J17" s="271">
        <f>IFERROR(_xlfn.XLOOKUP(Table10[[#This Row],[Affected Feeder ]],'Basic Data'!$A$43:$A$70,'Basic Data'!$E$43:$E$70),"")</f>
        <v>3.846153846153845E-2</v>
      </c>
      <c r="K17" s="272" t="s">
        <v>656</v>
      </c>
      <c r="L17" s="273">
        <v>0.39652777777777776</v>
      </c>
      <c r="M17" s="273">
        <v>0.39652777777777776</v>
      </c>
      <c r="N17" s="273">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272" t="s">
        <v>651</v>
      </c>
      <c r="S17" s="102" t="s">
        <v>268</v>
      </c>
      <c r="T17" s="274">
        <f>IFERROR(Table10[[#This Row],[Breakdown Time]]*Table10[[#This Row],[Plant Equivalent Weightage]],"")</f>
        <v>0.35448717948717939</v>
      </c>
      <c r="U17" s="102" t="s">
        <v>637</v>
      </c>
      <c r="V17" s="288">
        <f>IFERROR(_xlfn.XLOOKUP(Table10[[#This Row],[Date]],'Daily KPI'!$A:$A,'Daily KPI'!$M:$M),"")</f>
        <v>4.9753116044268859</v>
      </c>
      <c r="W17" s="102">
        <v>406</v>
      </c>
      <c r="X17" s="102">
        <f>Table10[[#This Row],[WTG Loss]]*6*Table10[[#This Row],[Breakdown Time]]</f>
        <v>22451.8</v>
      </c>
      <c r="Y17" s="102" t="s">
        <v>638</v>
      </c>
      <c r="Z17" s="102"/>
      <c r="AA17" s="102"/>
    </row>
    <row r="18" spans="1:27">
      <c r="A18" s="102">
        <f t="shared" si="0"/>
        <v>17</v>
      </c>
      <c r="B18" s="102">
        <f>YEAR(Table10[[#This Row],[Date]])+IF(MONTH(Table10[[#This Row],[Date]])&gt;=4,1,0)</f>
        <v>2026</v>
      </c>
      <c r="C18" s="102">
        <f>YEAR(Table10[[#This Row],[Date]])</f>
        <v>2025</v>
      </c>
      <c r="D18" s="102" t="s">
        <v>634</v>
      </c>
      <c r="E18" s="258">
        <f>Table10[[#This Row],[Date]]-DAY(Table10[[#This Row],[Date]])+1</f>
        <v>45748</v>
      </c>
      <c r="F18" s="259">
        <v>45768</v>
      </c>
      <c r="G18" s="102" t="s">
        <v>140</v>
      </c>
      <c r="H18" s="102" t="str">
        <f>IFERROR(_xlfn.XLOOKUP(Table10[[#This Row],[Affected Feeder ]],'Basic Data'!$A$43:$A$70,'Basic Data'!$B$43:$B$70),"")</f>
        <v>TQGXIIPL</v>
      </c>
      <c r="I18" s="102" t="str">
        <f>IFERROR(_xlfn.XLOOKUP(Table10[[#This Row],[Affected Feeder ]],'Basic Data'!$A$43:$A$70,'Basic Data'!$C$43:$C$70),"")</f>
        <v>GEDA</v>
      </c>
      <c r="J18" s="271">
        <f>IFERROR(_xlfn.XLOOKUP(Table10[[#This Row],[Affected Feeder ]],'Basic Data'!$A$43:$A$70,'Basic Data'!$E$43:$E$70),"")</f>
        <v>3.846153846153845E-2</v>
      </c>
      <c r="K18" s="272" t="s">
        <v>657</v>
      </c>
      <c r="L18" s="273">
        <v>0.39652777777777776</v>
      </c>
      <c r="M18" s="273">
        <v>0.39652777777777776</v>
      </c>
      <c r="N18" s="273">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272" t="s">
        <v>651</v>
      </c>
      <c r="S18" s="102" t="s">
        <v>268</v>
      </c>
      <c r="T18" s="274">
        <f>IFERROR(Table10[[#This Row],[Breakdown Time]]*Table10[[#This Row],[Plant Equivalent Weightage]],"")</f>
        <v>0.35448717948717939</v>
      </c>
      <c r="U18" s="102" t="s">
        <v>637</v>
      </c>
      <c r="V18" s="288">
        <f>IFERROR(_xlfn.XLOOKUP(Table10[[#This Row],[Date]],'Daily KPI'!$A:$A,'Daily KPI'!$M:$M),"")</f>
        <v>4.9753116044268859</v>
      </c>
      <c r="W18" s="102">
        <v>406</v>
      </c>
      <c r="X18" s="102">
        <f>Table10[[#This Row],[WTG Loss]]*3*Table10[[#This Row],[Breakdown Time]]</f>
        <v>11225.9</v>
      </c>
      <c r="Y18" s="102" t="s">
        <v>638</v>
      </c>
      <c r="Z18" s="102"/>
      <c r="AA18" s="102"/>
    </row>
    <row r="19" spans="1:27">
      <c r="A19" s="102">
        <f t="shared" si="0"/>
        <v>18</v>
      </c>
      <c r="B19" s="102">
        <f>YEAR(Table10[[#This Row],[Date]])+IF(MONTH(Table10[[#This Row],[Date]])&gt;=4,1,0)</f>
        <v>2026</v>
      </c>
      <c r="C19" s="102">
        <f>YEAR(Table10[[#This Row],[Date]])</f>
        <v>2025</v>
      </c>
      <c r="D19" s="102" t="s">
        <v>634</v>
      </c>
      <c r="E19" s="258">
        <f>Table10[[#This Row],[Date]]-DAY(Table10[[#This Row],[Date]])+1</f>
        <v>45748</v>
      </c>
      <c r="F19" s="259">
        <v>45769</v>
      </c>
      <c r="G19" s="102" t="s">
        <v>647</v>
      </c>
      <c r="H19" s="102" t="str">
        <f>IFERROR(_xlfn.XLOOKUP(Table10[[#This Row],[Affected Feeder ]],'Basic Data'!$A$43:$A$70,'Basic Data'!$B$43:$B$70),"")</f>
        <v>TQGXIIPL</v>
      </c>
      <c r="I19" s="102" t="str">
        <f>IFERROR(_xlfn.XLOOKUP(Table10[[#This Row],[Affected Feeder ]],'Basic Data'!$A$43:$A$70,'Basic Data'!$C$43:$C$70),"")</f>
        <v>GEDA</v>
      </c>
      <c r="J19" s="271">
        <f>IFERROR(_xlfn.XLOOKUP(Table10[[#This Row],[Affected Feeder ]],'Basic Data'!$A$43:$A$70,'Basic Data'!$E$43:$E$70),"")</f>
        <v>0.49999999999999978</v>
      </c>
      <c r="K19" s="272" t="s">
        <v>648</v>
      </c>
      <c r="L19" s="273">
        <v>0.6381944444444444</v>
      </c>
      <c r="M19" s="273">
        <v>0.6381944444444444</v>
      </c>
      <c r="N19" s="273">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272" t="s">
        <v>658</v>
      </c>
      <c r="S19" s="102" t="s">
        <v>268</v>
      </c>
      <c r="T19" s="274">
        <f>IFERROR(Table10[[#This Row],[Breakdown Time]]*Table10[[#This Row],[Plant Equivalent Weightage]],"")</f>
        <v>0.24166666666666703</v>
      </c>
      <c r="U19" s="102" t="s">
        <v>637</v>
      </c>
      <c r="V19" s="288">
        <f>IFERROR(_xlfn.XLOOKUP(Table10[[#This Row],[Date]],'Daily KPI'!$A:$A,'Daily KPI'!$M:$M),"")</f>
        <v>5.2119762384735528</v>
      </c>
      <c r="W19" s="102">
        <v>469.4</v>
      </c>
      <c r="X19" s="102">
        <f>Table10[[#This Row],[WTG Loss]]*3*Table10[[#This Row],[Breakdown Time]]</f>
        <v>680.63000000000125</v>
      </c>
      <c r="Y19" s="102" t="s">
        <v>638</v>
      </c>
      <c r="Z19" s="102"/>
      <c r="AA19" s="102"/>
    </row>
    <row r="20" spans="1:27">
      <c r="A20" s="102">
        <f t="shared" si="0"/>
        <v>19</v>
      </c>
      <c r="B20" s="102">
        <f>YEAR(Table10[[#This Row],[Date]])+IF(MONTH(Table10[[#This Row],[Date]])&gt;=4,1,0)</f>
        <v>2026</v>
      </c>
      <c r="C20" s="102">
        <f>YEAR(Table10[[#This Row],[Date]])</f>
        <v>2025</v>
      </c>
      <c r="D20" s="102" t="s">
        <v>634</v>
      </c>
      <c r="E20" s="258">
        <f>Table10[[#This Row],[Date]]-DAY(Table10[[#This Row],[Date]])+1</f>
        <v>45748</v>
      </c>
      <c r="F20" s="259">
        <v>45769</v>
      </c>
      <c r="G20" s="102" t="s">
        <v>118</v>
      </c>
      <c r="H20" s="102" t="str">
        <f>IFERROR(_xlfn.XLOOKUP(Table10[[#This Row],[Affected Feeder ]],'Basic Data'!$A$43:$A$70,'Basic Data'!$B$43:$B$70),"")</f>
        <v>TQGXIIPL</v>
      </c>
      <c r="I20" s="102" t="str">
        <f>IFERROR(_xlfn.XLOOKUP(Table10[[#This Row],[Affected Feeder ]],'Basic Data'!$A$43:$A$70,'Basic Data'!$C$43:$C$70),"")</f>
        <v>GEDA</v>
      </c>
      <c r="J20" s="271">
        <f>IFERROR(_xlfn.XLOOKUP(Table10[[#This Row],[Affected Feeder ]],'Basic Data'!$A$43:$A$70,'Basic Data'!$E$43:$E$70),"")</f>
        <v>3.846153846153845E-2</v>
      </c>
      <c r="K20" s="272" t="s">
        <v>659</v>
      </c>
      <c r="L20" s="273">
        <v>0.52500000000000002</v>
      </c>
      <c r="M20" s="273">
        <v>0.52500000000000002</v>
      </c>
      <c r="N20" s="273">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272" t="s">
        <v>658</v>
      </c>
      <c r="S20" s="102" t="s">
        <v>268</v>
      </c>
      <c r="T20" s="274">
        <f>IFERROR(Table10[[#This Row],[Breakdown Time]]*Table10[[#This Row],[Plant Equivalent Weightage]],"")</f>
        <v>0.10448717948717939</v>
      </c>
      <c r="U20" s="102" t="s">
        <v>637</v>
      </c>
      <c r="V20" s="288">
        <f>IFERROR(_xlfn.XLOOKUP(Table10[[#This Row],[Date]],'Daily KPI'!$A:$A,'Daily KPI'!$M:$M),"")</f>
        <v>5.2119762384735528</v>
      </c>
      <c r="W20" s="102">
        <v>469.4</v>
      </c>
      <c r="X20" s="102">
        <f>Table10[[#This Row],[WTG Loss]]*3*Table10[[#This Row],[Breakdown Time]]</f>
        <v>3825.6099999999969</v>
      </c>
      <c r="Y20" s="102" t="s">
        <v>638</v>
      </c>
      <c r="Z20" s="102"/>
      <c r="AA20" s="102"/>
    </row>
    <row r="21" spans="1:27">
      <c r="A21" s="102">
        <f t="shared" si="0"/>
        <v>20</v>
      </c>
      <c r="B21" s="102">
        <f>YEAR(Table10[[#This Row],[Date]])+IF(MONTH(Table10[[#This Row],[Date]])&gt;=4,1,0)</f>
        <v>2026</v>
      </c>
      <c r="C21" s="102">
        <f>YEAR(Table10[[#This Row],[Date]])</f>
        <v>2025</v>
      </c>
      <c r="D21" s="102" t="s">
        <v>634</v>
      </c>
      <c r="E21" s="258">
        <f>Table10[[#This Row],[Date]]-DAY(Table10[[#This Row],[Date]])+1</f>
        <v>45748</v>
      </c>
      <c r="F21" s="259">
        <v>45769</v>
      </c>
      <c r="G21" s="102" t="s">
        <v>121</v>
      </c>
      <c r="H21" s="102" t="str">
        <f>IFERROR(_xlfn.XLOOKUP(Table10[[#This Row],[Affected Feeder ]],'Basic Data'!$A$43:$A$70,'Basic Data'!$B$43:$B$70),"")</f>
        <v>TQGXIIPL</v>
      </c>
      <c r="I21" s="102" t="str">
        <f>IFERROR(_xlfn.XLOOKUP(Table10[[#This Row],[Affected Feeder ]],'Basic Data'!$A$43:$A$70,'Basic Data'!$C$43:$C$70),"")</f>
        <v>GEDA</v>
      </c>
      <c r="J21" s="271">
        <f>IFERROR(_xlfn.XLOOKUP(Table10[[#This Row],[Affected Feeder ]],'Basic Data'!$A$43:$A$70,'Basic Data'!$E$43:$E$70),"")</f>
        <v>3.846153846153845E-2</v>
      </c>
      <c r="K21" s="272" t="s">
        <v>660</v>
      </c>
      <c r="L21" s="273">
        <v>0.52500000000000002</v>
      </c>
      <c r="M21" s="273">
        <v>0.52500000000000002</v>
      </c>
      <c r="N21" s="273">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272" t="s">
        <v>658</v>
      </c>
      <c r="S21" s="102" t="s">
        <v>268</v>
      </c>
      <c r="T21" s="274">
        <f>IFERROR(Table10[[#This Row],[Breakdown Time]]*Table10[[#This Row],[Plant Equivalent Weightage]],"")</f>
        <v>0.10448717948717939</v>
      </c>
      <c r="U21" s="102" t="s">
        <v>637</v>
      </c>
      <c r="V21" s="288">
        <f>IFERROR(_xlfn.XLOOKUP(Table10[[#This Row],[Date]],'Daily KPI'!$A:$A,'Daily KPI'!$M:$M),"")</f>
        <v>5.2119762384735528</v>
      </c>
      <c r="W21" s="102">
        <v>469.4</v>
      </c>
      <c r="X21" s="102">
        <f>Table10[[#This Row],[WTG Loss]]*3*Table10[[#This Row],[Breakdown Time]]</f>
        <v>3825.6099999999969</v>
      </c>
      <c r="Y21" s="102" t="s">
        <v>638</v>
      </c>
      <c r="Z21" s="102"/>
      <c r="AA21" s="102"/>
    </row>
    <row r="22" spans="1:27">
      <c r="A22" s="102">
        <f t="shared" si="0"/>
        <v>21</v>
      </c>
      <c r="B22" s="102">
        <f>YEAR(Table10[[#This Row],[Date]])+IF(MONTH(Table10[[#This Row],[Date]])&gt;=4,1,0)</f>
        <v>2026</v>
      </c>
      <c r="C22" s="102">
        <f>YEAR(Table10[[#This Row],[Date]])</f>
        <v>2025</v>
      </c>
      <c r="D22" s="102" t="s">
        <v>634</v>
      </c>
      <c r="E22" s="258">
        <f>Table10[[#This Row],[Date]]-DAY(Table10[[#This Row],[Date]])+1</f>
        <v>45748</v>
      </c>
      <c r="F22" s="259">
        <v>45769</v>
      </c>
      <c r="G22" s="102" t="s">
        <v>133</v>
      </c>
      <c r="H22" s="102" t="str">
        <f>IFERROR(_xlfn.XLOOKUP(Table10[[#This Row],[Affected Feeder ]],'Basic Data'!$A$43:$A$70,'Basic Data'!$B$43:$B$70),"")</f>
        <v>TQGXIIPL</v>
      </c>
      <c r="I22" s="102" t="str">
        <f>IFERROR(_xlfn.XLOOKUP(Table10[[#This Row],[Affected Feeder ]],'Basic Data'!$A$43:$A$70,'Basic Data'!$C$43:$C$70),"")</f>
        <v>GEDA</v>
      </c>
      <c r="J22" s="271">
        <f>IFERROR(_xlfn.XLOOKUP(Table10[[#This Row],[Affected Feeder ]],'Basic Data'!$A$43:$A$70,'Basic Data'!$E$43:$E$70),"")</f>
        <v>3.846153846153845E-2</v>
      </c>
      <c r="K22" s="272" t="s">
        <v>661</v>
      </c>
      <c r="L22" s="273">
        <v>0.52500000000000002</v>
      </c>
      <c r="M22" s="273">
        <v>0.52500000000000002</v>
      </c>
      <c r="N22" s="273">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272" t="s">
        <v>658</v>
      </c>
      <c r="S22" s="102" t="s">
        <v>268</v>
      </c>
      <c r="T22" s="274">
        <f>IFERROR(Table10[[#This Row],[Breakdown Time]]*Table10[[#This Row],[Plant Equivalent Weightage]],"")</f>
        <v>0.10448717948717939</v>
      </c>
      <c r="U22" s="102" t="s">
        <v>637</v>
      </c>
      <c r="V22" s="288">
        <f>IFERROR(_xlfn.XLOOKUP(Table10[[#This Row],[Date]],'Daily KPI'!$A:$A,'Daily KPI'!$M:$M),"")</f>
        <v>5.2119762384735528</v>
      </c>
      <c r="W22" s="102">
        <v>469.4</v>
      </c>
      <c r="X22" s="102">
        <f>Table10[[#This Row],[WTG Loss]]*3*Table10[[#This Row],[Breakdown Time]]</f>
        <v>3825.6099999999969</v>
      </c>
      <c r="Y22" s="102" t="s">
        <v>638</v>
      </c>
      <c r="Z22" s="102"/>
      <c r="AA22" s="102"/>
    </row>
    <row r="23" spans="1:27">
      <c r="A23" s="102">
        <f t="shared" si="0"/>
        <v>22</v>
      </c>
      <c r="B23" s="102">
        <f>YEAR(Table10[[#This Row],[Date]])+IF(MONTH(Table10[[#This Row],[Date]])&gt;=4,1,0)</f>
        <v>2026</v>
      </c>
      <c r="C23" s="102">
        <f>YEAR(Table10[[#This Row],[Date]])</f>
        <v>2025</v>
      </c>
      <c r="D23" s="102" t="s">
        <v>634</v>
      </c>
      <c r="E23" s="258">
        <f>Table10[[#This Row],[Date]]-DAY(Table10[[#This Row],[Date]])+1</f>
        <v>45748</v>
      </c>
      <c r="F23" s="259">
        <v>45775</v>
      </c>
      <c r="G23" s="102" t="s">
        <v>639</v>
      </c>
      <c r="H23" s="102" t="str">
        <f>IFERROR(_xlfn.XLOOKUP(Table10[[#This Row],[Affected Feeder ]],'Basic Data'!$A$43:$A$70,'Basic Data'!$B$43:$B$70),"")</f>
        <v>TQGXIIPL</v>
      </c>
      <c r="I23" s="102" t="str">
        <f>IFERROR(_xlfn.XLOOKUP(Table10[[#This Row],[Affected Feeder ]],'Basic Data'!$A$43:$A$70,'Basic Data'!$C$43:$C$70),"")</f>
        <v>GEDA</v>
      </c>
      <c r="J23" s="271">
        <f>IFERROR(_xlfn.XLOOKUP(Table10[[#This Row],[Affected Feeder ]],'Basic Data'!$A$43:$A$70,'Basic Data'!$E$43:$E$70),"")</f>
        <v>0.49999999999999978</v>
      </c>
      <c r="K23" s="272" t="s">
        <v>643</v>
      </c>
      <c r="L23" s="273">
        <v>0.7583333333333333</v>
      </c>
      <c r="M23" s="273">
        <v>0.7583333333333333</v>
      </c>
      <c r="N23" s="273">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272" t="s">
        <v>644</v>
      </c>
      <c r="S23" s="102" t="s">
        <v>268</v>
      </c>
      <c r="T23" s="274">
        <f>IFERROR(Table10[[#This Row],[Breakdown Time]]*Table10[[#This Row],[Plant Equivalent Weightage]],"")</f>
        <v>9.1666666666667632E-2</v>
      </c>
      <c r="U23" s="102" t="s">
        <v>637</v>
      </c>
      <c r="V23" s="288">
        <f>IFERROR(_xlfn.XLOOKUP(Table10[[#This Row],[Date]],'Daily KPI'!$A:$A,'Daily KPI'!$M:$M),"")</f>
        <v>6.610001795649624</v>
      </c>
      <c r="W23" s="102">
        <v>990.6</v>
      </c>
      <c r="X23" s="102">
        <f>Table10[[#This Row],[WTG Loss]]*13*Table10[[#This Row],[Breakdown Time]]</f>
        <v>2360.9300000000262</v>
      </c>
      <c r="Y23" s="102" t="s">
        <v>638</v>
      </c>
      <c r="Z23" s="102"/>
      <c r="AA23" s="102"/>
    </row>
    <row r="24" spans="1:27">
      <c r="A24" s="102">
        <f t="shared" si="0"/>
        <v>23</v>
      </c>
      <c r="B24" s="102">
        <f>YEAR(Table10[[#This Row],[Date]])+IF(MONTH(Table10[[#This Row],[Date]])&gt;=4,1,0)</f>
        <v>2026</v>
      </c>
      <c r="C24" s="102">
        <f>YEAR(Table10[[#This Row],[Date]])</f>
        <v>2025</v>
      </c>
      <c r="D24" s="102" t="s">
        <v>634</v>
      </c>
      <c r="E24" s="258">
        <f>Table10[[#This Row],[Date]]-DAY(Table10[[#This Row],[Date]])+1</f>
        <v>45748</v>
      </c>
      <c r="F24" s="259">
        <v>45775</v>
      </c>
      <c r="G24" s="102" t="s">
        <v>128</v>
      </c>
      <c r="H24" s="102" t="str">
        <f>IFERROR(_xlfn.XLOOKUP(Table10[[#This Row],[Affected Feeder ]],'Basic Data'!$A$43:$A$70,'Basic Data'!$B$43:$B$70),"")</f>
        <v>TQGXIIPL</v>
      </c>
      <c r="I24" s="102" t="str">
        <f>IFERROR(_xlfn.XLOOKUP(Table10[[#This Row],[Affected Feeder ]],'Basic Data'!$A$43:$A$70,'Basic Data'!$C$43:$C$70),"")</f>
        <v>GEDA</v>
      </c>
      <c r="J24" s="271">
        <f>IFERROR(_xlfn.XLOOKUP(Table10[[#This Row],[Affected Feeder ]],'Basic Data'!$A$43:$A$70,'Basic Data'!$E$43:$E$70),"")</f>
        <v>3.846153846153845E-2</v>
      </c>
      <c r="K24" s="272" t="s">
        <v>662</v>
      </c>
      <c r="L24" s="273">
        <v>0.6118055555555556</v>
      </c>
      <c r="M24" s="273">
        <v>0.6118055555555556</v>
      </c>
      <c r="N24" s="273">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272" t="s">
        <v>663</v>
      </c>
      <c r="S24" s="102" t="s">
        <v>268</v>
      </c>
      <c r="T24" s="274">
        <f>IFERROR(Table10[[#This Row],[Breakdown Time]]*Table10[[#This Row],[Plant Equivalent Weightage]],"")</f>
        <v>3.6538461538461499E-2</v>
      </c>
      <c r="U24" s="102" t="s">
        <v>637</v>
      </c>
      <c r="V24" s="288">
        <f>IFERROR(_xlfn.XLOOKUP(Table10[[#This Row],[Date]],'Daily KPI'!$A:$A,'Daily KPI'!$M:$M),"")</f>
        <v>6.610001795649624</v>
      </c>
      <c r="W24" s="102">
        <v>990.6</v>
      </c>
      <c r="X24" s="102">
        <f>Table10[[#This Row],[WTG Loss]]*1*Table10[[#This Row],[Breakdown Time]]</f>
        <v>941.06999999999937</v>
      </c>
      <c r="Y24" s="102" t="s">
        <v>638</v>
      </c>
      <c r="Z24" s="102"/>
      <c r="AA24" s="102"/>
    </row>
    <row r="25" spans="1:27">
      <c r="A25" s="102">
        <f t="shared" si="0"/>
        <v>24</v>
      </c>
      <c r="B25" s="102">
        <f>YEAR(Table10[[#This Row],[Date]])+IF(MONTH(Table10[[#This Row],[Date]])&gt;=4,1,0)</f>
        <v>2026</v>
      </c>
      <c r="C25" s="102">
        <f>YEAR(Table10[[#This Row],[Date]])</f>
        <v>2025</v>
      </c>
      <c r="D25" s="102" t="s">
        <v>634</v>
      </c>
      <c r="E25" s="258">
        <f>Table10[[#This Row],[Date]]-DAY(Table10[[#This Row],[Date]])+1</f>
        <v>45778</v>
      </c>
      <c r="F25" s="259">
        <v>45783</v>
      </c>
      <c r="G25" s="102" t="s">
        <v>647</v>
      </c>
      <c r="H25" s="102" t="str">
        <f>IFERROR(_xlfn.XLOOKUP(Table10[[#This Row],[Affected Feeder ]],'Basic Data'!$A$43:$A$70,'Basic Data'!$B$43:$B$70),"")</f>
        <v>TQGXIIPL</v>
      </c>
      <c r="I25" s="102" t="str">
        <f>IFERROR(_xlfn.XLOOKUP(Table10[[#This Row],[Affected Feeder ]],'Basic Data'!$A$43:$A$70,'Basic Data'!$C$43:$C$70),"")</f>
        <v>GEDA</v>
      </c>
      <c r="J25" s="271">
        <f>IFERROR(_xlfn.XLOOKUP(Table10[[#This Row],[Affected Feeder ]],'Basic Data'!$A$43:$A$70,'Basic Data'!$E$43:$E$70),"")</f>
        <v>0.49999999999999978</v>
      </c>
      <c r="K25" s="272" t="s">
        <v>664</v>
      </c>
      <c r="L25" s="273">
        <v>9.7222222222222224E-3</v>
      </c>
      <c r="M25" s="273">
        <v>9.7222222222222224E-3</v>
      </c>
      <c r="N25" s="273">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272" t="s">
        <v>665</v>
      </c>
      <c r="S25" s="102" t="s">
        <v>268</v>
      </c>
      <c r="T25" s="274">
        <f>IFERROR(Table10[[#This Row],[Breakdown Time]]*Table10[[#This Row],[Plant Equivalent Weightage]],"")</f>
        <v>0.2666666666666665</v>
      </c>
      <c r="U25" s="102" t="s">
        <v>637</v>
      </c>
      <c r="V25" s="288">
        <f>IFERROR(_xlfn.XLOOKUP(Table10[[#This Row],[Date]],'Daily KPI'!$A:$A,'Daily KPI'!$M:$M),"")</f>
        <v>6.8863246513857428</v>
      </c>
      <c r="W25" s="102">
        <v>1124.4000000000001</v>
      </c>
      <c r="X25" s="102">
        <f>Table10[[#This Row],[WTG Loss]]*13*Table10[[#This Row],[Breakdown Time]]</f>
        <v>7795.8399999999983</v>
      </c>
      <c r="Y25" s="102" t="s">
        <v>638</v>
      </c>
      <c r="Z25" s="102"/>
      <c r="AA25" s="102"/>
    </row>
    <row r="26" spans="1:27">
      <c r="A26" s="102">
        <f t="shared" si="0"/>
        <v>25</v>
      </c>
      <c r="B26" s="102">
        <f>YEAR(Table10[[#This Row],[Date]])+IF(MONTH(Table10[[#This Row],[Date]])&gt;=4,1,0)</f>
        <v>2026</v>
      </c>
      <c r="C26" s="102">
        <f>YEAR(Table10[[#This Row],[Date]])</f>
        <v>2025</v>
      </c>
      <c r="D26" s="102" t="s">
        <v>634</v>
      </c>
      <c r="E26" s="258">
        <f>Table10[[#This Row],[Date]]-DAY(Table10[[#This Row],[Date]])+1</f>
        <v>45778</v>
      </c>
      <c r="F26" s="259">
        <v>45783</v>
      </c>
      <c r="G26" s="102" t="s">
        <v>647</v>
      </c>
      <c r="H26" s="102" t="str">
        <f>IFERROR(_xlfn.XLOOKUP(Table10[[#This Row],[Affected Feeder ]],'Basic Data'!$A$43:$A$70,'Basic Data'!$B$43:$B$70),"")</f>
        <v>TQGXIIPL</v>
      </c>
      <c r="I26" s="102" t="str">
        <f>IFERROR(_xlfn.XLOOKUP(Table10[[#This Row],[Affected Feeder ]],'Basic Data'!$A$43:$A$70,'Basic Data'!$C$43:$C$70),"")</f>
        <v>GEDA</v>
      </c>
      <c r="J26" s="271">
        <f>IFERROR(_xlfn.XLOOKUP(Table10[[#This Row],[Affected Feeder ]],'Basic Data'!$A$43:$A$70,'Basic Data'!$E$43:$E$70),"")</f>
        <v>0.49999999999999978</v>
      </c>
      <c r="K26" s="272" t="s">
        <v>664</v>
      </c>
      <c r="L26" s="273">
        <v>0.64722222222222225</v>
      </c>
      <c r="M26" s="273">
        <v>0.64722222222222225</v>
      </c>
      <c r="N26" s="273">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272" t="s">
        <v>665</v>
      </c>
      <c r="S26" s="102" t="s">
        <v>268</v>
      </c>
      <c r="T26" s="274">
        <f>IFERROR(Table10[[#This Row],[Breakdown Time]]*Table10[[#This Row],[Plant Equivalent Weightage]],"")</f>
        <v>1.1499999999999995</v>
      </c>
      <c r="U26" s="102" t="s">
        <v>637</v>
      </c>
      <c r="V26" s="288">
        <f>IFERROR(_xlfn.XLOOKUP(Table10[[#This Row],[Date]],'Daily KPI'!$A:$A,'Daily KPI'!$M:$M),"")</f>
        <v>6.8863246513857428</v>
      </c>
      <c r="W26" s="102">
        <v>1124.4000000000001</v>
      </c>
      <c r="X26" s="102">
        <f>Table10[[#This Row],[WTG Loss]]*13*Table10[[#This Row],[Breakdown Time]]</f>
        <v>33619.56</v>
      </c>
      <c r="Y26" s="102" t="s">
        <v>638</v>
      </c>
      <c r="Z26" s="102"/>
      <c r="AA26" s="102"/>
    </row>
    <row r="27" spans="1:27">
      <c r="A27" s="102">
        <f t="shared" si="0"/>
        <v>26</v>
      </c>
      <c r="B27" s="102">
        <f>YEAR(Table10[[#This Row],[Date]])+IF(MONTH(Table10[[#This Row],[Date]])&gt;=4,1,0)</f>
        <v>2026</v>
      </c>
      <c r="C27" s="102">
        <f>YEAR(Table10[[#This Row],[Date]])</f>
        <v>2025</v>
      </c>
      <c r="D27" s="102" t="s">
        <v>634</v>
      </c>
      <c r="E27" s="258">
        <f>Table10[[#This Row],[Date]]-DAY(Table10[[#This Row],[Date]])+1</f>
        <v>45778</v>
      </c>
      <c r="F27" s="259">
        <v>45783</v>
      </c>
      <c r="G27" s="102" t="s">
        <v>639</v>
      </c>
      <c r="H27" s="102" t="str">
        <f>IFERROR(_xlfn.XLOOKUP(Table10[[#This Row],[Affected Feeder ]],'Basic Data'!$A$43:$A$70,'Basic Data'!$B$43:$B$70),"")</f>
        <v>TQGXIIPL</v>
      </c>
      <c r="I27" s="102" t="str">
        <f>IFERROR(_xlfn.XLOOKUP(Table10[[#This Row],[Affected Feeder ]],'Basic Data'!$A$43:$A$70,'Basic Data'!$C$43:$C$70),"")</f>
        <v>GEDA</v>
      </c>
      <c r="J27" s="271">
        <f>IFERROR(_xlfn.XLOOKUP(Table10[[#This Row],[Affected Feeder ]],'Basic Data'!$A$43:$A$70,'Basic Data'!$E$43:$E$70),"")</f>
        <v>0.49999999999999978</v>
      </c>
      <c r="K27" s="272" t="s">
        <v>643</v>
      </c>
      <c r="L27" s="273">
        <v>0.66319444444444442</v>
      </c>
      <c r="M27" s="273">
        <v>0.66319444444444442</v>
      </c>
      <c r="N27" s="273">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272" t="s">
        <v>666</v>
      </c>
      <c r="S27" s="102" t="s">
        <v>549</v>
      </c>
      <c r="T27" s="274">
        <f>IFERROR(Table10[[#This Row],[Breakdown Time]]*Table10[[#This Row],[Plant Equivalent Weightage]],"")</f>
        <v>4.0416666666666652</v>
      </c>
      <c r="U27" s="102" t="s">
        <v>637</v>
      </c>
      <c r="V27" s="288">
        <f>IFERROR(_xlfn.XLOOKUP(Table10[[#This Row],[Date]],'Daily KPI'!$A:$A,'Daily KPI'!$M:$M),"")</f>
        <v>6.8863246513857428</v>
      </c>
      <c r="W27" s="102">
        <v>1124.4000000000001</v>
      </c>
      <c r="X27" s="102">
        <f>Table10[[#This Row],[WTG Loss]]*13*Table10[[#This Row],[Breakdown Time]]</f>
        <v>118155.70000000001</v>
      </c>
      <c r="Y27" s="102" t="s">
        <v>638</v>
      </c>
      <c r="Z27" s="102"/>
      <c r="AA27" s="102"/>
    </row>
    <row r="28" spans="1:27">
      <c r="A28" s="102">
        <f t="shared" si="0"/>
        <v>27</v>
      </c>
      <c r="B28" s="102">
        <f>YEAR(Table10[[#This Row],[Date]])+IF(MONTH(Table10[[#This Row],[Date]])&gt;=4,1,0)</f>
        <v>2026</v>
      </c>
      <c r="C28" s="102">
        <f>YEAR(Table10[[#This Row],[Date]])</f>
        <v>2025</v>
      </c>
      <c r="D28" s="102" t="s">
        <v>634</v>
      </c>
      <c r="E28" s="258">
        <f>Table10[[#This Row],[Date]]-DAY(Table10[[#This Row],[Date]])+1</f>
        <v>45778</v>
      </c>
      <c r="F28" s="259">
        <v>45783</v>
      </c>
      <c r="G28" s="102" t="s">
        <v>130</v>
      </c>
      <c r="H28" s="102" t="str">
        <f>IFERROR(_xlfn.XLOOKUP(Table10[[#This Row],[Affected Feeder ]],'Basic Data'!$A$43:$A$70,'Basic Data'!$B$43:$B$70),"")</f>
        <v>TQGXIIPL</v>
      </c>
      <c r="I28" s="102" t="str">
        <f>IFERROR(_xlfn.XLOOKUP(Table10[[#This Row],[Affected Feeder ]],'Basic Data'!$A$43:$A$70,'Basic Data'!$C$43:$C$70),"")</f>
        <v>GEDA</v>
      </c>
      <c r="J28" s="271">
        <f>IFERROR(_xlfn.XLOOKUP(Table10[[#This Row],[Affected Feeder ]],'Basic Data'!$A$43:$A$70,'Basic Data'!$E$43:$E$70),"")</f>
        <v>3.846153846153845E-2</v>
      </c>
      <c r="K28" s="272" t="s">
        <v>667</v>
      </c>
      <c r="L28" s="273">
        <v>0.74305555555555558</v>
      </c>
      <c r="M28" s="273">
        <v>0.74305555555555558</v>
      </c>
      <c r="N28" s="273">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272" t="s">
        <v>668</v>
      </c>
      <c r="S28" s="102" t="s">
        <v>268</v>
      </c>
      <c r="T28" s="274">
        <f>IFERROR(Table10[[#This Row],[Breakdown Time]]*Table10[[#This Row],[Plant Equivalent Weightage]],"")</f>
        <v>0.11410256410256407</v>
      </c>
      <c r="U28" s="102" t="s">
        <v>637</v>
      </c>
      <c r="V28" s="288">
        <f>IFERROR(_xlfn.XLOOKUP(Table10[[#This Row],[Date]],'Daily KPI'!$A:$A,'Daily KPI'!$M:$M),"")</f>
        <v>6.8863246513857428</v>
      </c>
      <c r="W28" s="102">
        <v>1124.4000000000001</v>
      </c>
      <c r="X28" s="102">
        <f>Table10[[#This Row],[WTG Loss]]*1*Table10[[#This Row],[Breakdown Time]]</f>
        <v>3335.7200000000003</v>
      </c>
      <c r="Y28" s="102" t="s">
        <v>638</v>
      </c>
      <c r="Z28" s="102"/>
      <c r="AA28" s="102"/>
    </row>
    <row r="29" spans="1:27">
      <c r="A29" s="102">
        <f t="shared" si="0"/>
        <v>28</v>
      </c>
      <c r="B29" s="102">
        <f>YEAR(Table10[[#This Row],[Date]])+IF(MONTH(Table10[[#This Row],[Date]])&gt;=4,1,0)</f>
        <v>2026</v>
      </c>
      <c r="C29" s="102">
        <f>YEAR(Table10[[#This Row],[Date]])</f>
        <v>2025</v>
      </c>
      <c r="D29" s="102" t="s">
        <v>634</v>
      </c>
      <c r="E29" s="258">
        <f>Table10[[#This Row],[Date]]-DAY(Table10[[#This Row],[Date]])+1</f>
        <v>45778</v>
      </c>
      <c r="F29" s="259">
        <v>45784</v>
      </c>
      <c r="G29" s="102" t="s">
        <v>639</v>
      </c>
      <c r="H29" s="102" t="str">
        <f>IFERROR(_xlfn.XLOOKUP(Table10[[#This Row],[Affected Feeder ]],'Basic Data'!$A$43:$A$70,'Basic Data'!$B$43:$B$70),"")</f>
        <v>TQGXIIPL</v>
      </c>
      <c r="I29" s="102" t="str">
        <f>IFERROR(_xlfn.XLOOKUP(Table10[[#This Row],[Affected Feeder ]],'Basic Data'!$A$43:$A$70,'Basic Data'!$C$43:$C$70),"")</f>
        <v>GEDA</v>
      </c>
      <c r="J29" s="271">
        <f>IFERROR(_xlfn.XLOOKUP(Table10[[#This Row],[Affected Feeder ]],'Basic Data'!$A$43:$A$70,'Basic Data'!$E$43:$E$70),"")</f>
        <v>0.49999999999999978</v>
      </c>
      <c r="K29" s="272" t="s">
        <v>643</v>
      </c>
      <c r="L29" s="273">
        <v>0</v>
      </c>
      <c r="M29" s="273">
        <v>0</v>
      </c>
      <c r="N29" s="273">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272" t="s">
        <v>669</v>
      </c>
      <c r="S29" s="102" t="s">
        <v>268</v>
      </c>
      <c r="T29" s="274">
        <f>IFERROR(Table10[[#This Row],[Breakdown Time]]*Table10[[#This Row],[Plant Equivalent Weightage]],"")</f>
        <v>1.0833333333333328</v>
      </c>
      <c r="U29" s="102" t="s">
        <v>637</v>
      </c>
      <c r="V29" s="288">
        <f>IFERROR(_xlfn.XLOOKUP(Table10[[#This Row],[Date]],'Daily KPI'!$A:$A,'Daily KPI'!$M:$M),"")</f>
        <v>5.8334462271515468</v>
      </c>
      <c r="W29" s="102">
        <v>659.6</v>
      </c>
      <c r="X29" s="102">
        <f>Table10[[#This Row],[WTG Loss]]*13*Table10[[#This Row],[Breakdown Time]]</f>
        <v>18578.733333333334</v>
      </c>
      <c r="Y29" s="102" t="s">
        <v>638</v>
      </c>
      <c r="Z29" s="102"/>
      <c r="AA29" s="102"/>
    </row>
    <row r="30" spans="1:27">
      <c r="A30" s="102">
        <f t="shared" si="0"/>
        <v>29</v>
      </c>
      <c r="B30" s="102">
        <f>YEAR(Table10[[#This Row],[Date]])+IF(MONTH(Table10[[#This Row],[Date]])&gt;=4,1,0)</f>
        <v>2026</v>
      </c>
      <c r="C30" s="102">
        <f>YEAR(Table10[[#This Row],[Date]])</f>
        <v>2025</v>
      </c>
      <c r="D30" s="102" t="s">
        <v>634</v>
      </c>
      <c r="E30" s="258">
        <f>Table10[[#This Row],[Date]]-DAY(Table10[[#This Row],[Date]])+1</f>
        <v>45778</v>
      </c>
      <c r="F30" s="259">
        <v>45784</v>
      </c>
      <c r="G30" s="102" t="s">
        <v>639</v>
      </c>
      <c r="H30" s="102" t="str">
        <f>IFERROR(_xlfn.XLOOKUP(Table10[[#This Row],[Affected Feeder ]],'Basic Data'!$A$43:$A$70,'Basic Data'!$B$43:$B$70),"")</f>
        <v>TQGXIIPL</v>
      </c>
      <c r="I30" s="102" t="str">
        <f>IFERROR(_xlfn.XLOOKUP(Table10[[#This Row],[Affected Feeder ]],'Basic Data'!$A$43:$A$70,'Basic Data'!$C$43:$C$70),"")</f>
        <v>GEDA</v>
      </c>
      <c r="J30" s="271">
        <f>IFERROR(_xlfn.XLOOKUP(Table10[[#This Row],[Affected Feeder ]],'Basic Data'!$A$43:$A$70,'Basic Data'!$E$43:$E$70),"")</f>
        <v>0.49999999999999978</v>
      </c>
      <c r="K30" s="272" t="s">
        <v>645</v>
      </c>
      <c r="L30" s="273">
        <v>0.66805555555555551</v>
      </c>
      <c r="M30" s="273">
        <v>0.66805555555555551</v>
      </c>
      <c r="N30" s="273">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272" t="s">
        <v>670</v>
      </c>
      <c r="S30" s="102" t="s">
        <v>268</v>
      </c>
      <c r="T30" s="274">
        <f>IFERROR(Table10[[#This Row],[Breakdown Time]]*Table10[[#This Row],[Plant Equivalent Weightage]],"")</f>
        <v>0.46666666666666745</v>
      </c>
      <c r="U30" s="102" t="s">
        <v>637</v>
      </c>
      <c r="V30" s="288">
        <f>IFERROR(_xlfn.XLOOKUP(Table10[[#This Row],[Date]],'Daily KPI'!$A:$A,'Daily KPI'!$M:$M),"")</f>
        <v>5.8334462271515468</v>
      </c>
      <c r="W30" s="102">
        <v>659.6</v>
      </c>
      <c r="X30" s="102">
        <f>Table10[[#This Row],[WTG Loss]]*13*Table10[[#This Row],[Breakdown Time]]</f>
        <v>8003.1466666666847</v>
      </c>
      <c r="Y30" s="102" t="s">
        <v>638</v>
      </c>
      <c r="Z30" s="102"/>
      <c r="AA30" s="102"/>
    </row>
    <row r="31" spans="1:27">
      <c r="A31" s="102">
        <f t="shared" si="0"/>
        <v>30</v>
      </c>
      <c r="B31" s="102">
        <f>YEAR(Table10[[#This Row],[Date]])+IF(MONTH(Table10[[#This Row],[Date]])&gt;=4,1,0)</f>
        <v>2026</v>
      </c>
      <c r="C31" s="102">
        <f>YEAR(Table10[[#This Row],[Date]])</f>
        <v>2025</v>
      </c>
      <c r="D31" s="102" t="s">
        <v>634</v>
      </c>
      <c r="E31" s="258">
        <f>Table10[[#This Row],[Date]]-DAY(Table10[[#This Row],[Date]])+1</f>
        <v>45778</v>
      </c>
      <c r="F31" s="259">
        <v>45784</v>
      </c>
      <c r="G31" s="102" t="s">
        <v>127</v>
      </c>
      <c r="H31" s="102" t="str">
        <f>IFERROR(_xlfn.XLOOKUP(Table10[[#This Row],[Affected Feeder ]],'Basic Data'!$A$43:$A$70,'Basic Data'!$B$43:$B$70),"")</f>
        <v>TQGXIIPL</v>
      </c>
      <c r="I31" s="102" t="str">
        <f>IFERROR(_xlfn.XLOOKUP(Table10[[#This Row],[Affected Feeder ]],'Basic Data'!$A$43:$A$70,'Basic Data'!$C$43:$C$70),"")</f>
        <v>GEDA</v>
      </c>
      <c r="J31" s="271">
        <f>IFERROR(_xlfn.XLOOKUP(Table10[[#This Row],[Affected Feeder ]],'Basic Data'!$A$43:$A$70,'Basic Data'!$E$43:$E$70),"")</f>
        <v>3.846153846153845E-2</v>
      </c>
      <c r="K31" s="272" t="s">
        <v>671</v>
      </c>
      <c r="L31" s="273">
        <v>9.0277777777777776E-2</v>
      </c>
      <c r="M31" s="273">
        <v>9.0277777777777776E-2</v>
      </c>
      <c r="N31" s="273">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272" t="s">
        <v>668</v>
      </c>
      <c r="S31" s="102" t="s">
        <v>268</v>
      </c>
      <c r="T31" s="274">
        <f>IFERROR(Table10[[#This Row],[Breakdown Time]]*Table10[[#This Row],[Plant Equivalent Weightage]],"")</f>
        <v>8.3333333333333263E-3</v>
      </c>
      <c r="U31" s="102" t="s">
        <v>637</v>
      </c>
      <c r="V31" s="288">
        <f>IFERROR(_xlfn.XLOOKUP(Table10[[#This Row],[Date]],'Daily KPI'!$A:$A,'Daily KPI'!$M:$M),"")</f>
        <v>5.8334462271515468</v>
      </c>
      <c r="W31" s="102">
        <v>659.6</v>
      </c>
      <c r="X31" s="102">
        <f>Table10[[#This Row],[WTG Loss]]*1*Table10[[#This Row],[Breakdown Time]]</f>
        <v>142.91333333333327</v>
      </c>
      <c r="Y31" s="102" t="s">
        <v>638</v>
      </c>
      <c r="Z31" s="102"/>
      <c r="AA31" s="102"/>
    </row>
    <row r="32" spans="1:27">
      <c r="A32" s="102">
        <f t="shared" si="0"/>
        <v>31</v>
      </c>
      <c r="B32" s="102">
        <f>YEAR(Table10[[#This Row],[Date]])+IF(MONTH(Table10[[#This Row],[Date]])&gt;=4,1,0)</f>
        <v>2026</v>
      </c>
      <c r="C32" s="102">
        <f>YEAR(Table10[[#This Row],[Date]])</f>
        <v>2025</v>
      </c>
      <c r="D32" s="102" t="s">
        <v>634</v>
      </c>
      <c r="E32" s="258">
        <f>Table10[[#This Row],[Date]]-DAY(Table10[[#This Row],[Date]])+1</f>
        <v>45778</v>
      </c>
      <c r="F32" s="259">
        <v>45784</v>
      </c>
      <c r="G32" s="102" t="s">
        <v>128</v>
      </c>
      <c r="H32" s="102" t="str">
        <f>IFERROR(_xlfn.XLOOKUP(Table10[[#This Row],[Affected Feeder ]],'Basic Data'!$A$43:$A$70,'Basic Data'!$B$43:$B$70),"")</f>
        <v>TQGXIIPL</v>
      </c>
      <c r="I32" s="102" t="str">
        <f>IFERROR(_xlfn.XLOOKUP(Table10[[#This Row],[Affected Feeder ]],'Basic Data'!$A$43:$A$70,'Basic Data'!$C$43:$C$70),"")</f>
        <v>GEDA</v>
      </c>
      <c r="J32" s="271">
        <f>IFERROR(_xlfn.XLOOKUP(Table10[[#This Row],[Affected Feeder ]],'Basic Data'!$A$43:$A$70,'Basic Data'!$E$43:$E$70),"")</f>
        <v>3.846153846153845E-2</v>
      </c>
      <c r="K32" s="272" t="s">
        <v>672</v>
      </c>
      <c r="L32" s="273">
        <v>9.0277777777777776E-2</v>
      </c>
      <c r="M32" s="273">
        <v>9.0277777777777776E-2</v>
      </c>
      <c r="N32" s="273">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272" t="s">
        <v>668</v>
      </c>
      <c r="S32" s="102" t="s">
        <v>268</v>
      </c>
      <c r="T32" s="274">
        <f>IFERROR(Table10[[#This Row],[Breakdown Time]]*Table10[[#This Row],[Plant Equivalent Weightage]],"")</f>
        <v>1.4102564102564099E-2</v>
      </c>
      <c r="U32" s="102" t="s">
        <v>637</v>
      </c>
      <c r="V32" s="288">
        <f>IFERROR(_xlfn.XLOOKUP(Table10[[#This Row],[Date]],'Daily KPI'!$A:$A,'Daily KPI'!$M:$M),"")</f>
        <v>5.8334462271515468</v>
      </c>
      <c r="W32" s="102">
        <v>659.6</v>
      </c>
      <c r="X32" s="102">
        <f>Table10[[#This Row],[WTG Loss]]*1*Table10[[#This Row],[Breakdown Time]]</f>
        <v>241.85333333333335</v>
      </c>
      <c r="Y32" s="102" t="s">
        <v>638</v>
      </c>
      <c r="Z32" s="102"/>
      <c r="AA32" s="102"/>
    </row>
    <row r="33" spans="1:27">
      <c r="A33" s="102">
        <f t="shared" si="0"/>
        <v>32</v>
      </c>
      <c r="B33" s="102">
        <f>YEAR(Table10[[#This Row],[Date]])+IF(MONTH(Table10[[#This Row],[Date]])&gt;=4,1,0)</f>
        <v>2026</v>
      </c>
      <c r="C33" s="102">
        <f>YEAR(Table10[[#This Row],[Date]])</f>
        <v>2025</v>
      </c>
      <c r="D33" s="102" t="s">
        <v>634</v>
      </c>
      <c r="E33" s="258">
        <f>Table10[[#This Row],[Date]]-DAY(Table10[[#This Row],[Date]])+1</f>
        <v>45778</v>
      </c>
      <c r="F33" s="259">
        <v>45784</v>
      </c>
      <c r="G33" s="102" t="s">
        <v>139</v>
      </c>
      <c r="H33" s="102" t="str">
        <f>IFERROR(_xlfn.XLOOKUP(Table10[[#This Row],[Affected Feeder ]],'Basic Data'!$A$43:$A$70,'Basic Data'!$B$43:$B$70),"")</f>
        <v>TQGXIIPL</v>
      </c>
      <c r="I33" s="102" t="str">
        <f>IFERROR(_xlfn.XLOOKUP(Table10[[#This Row],[Affected Feeder ]],'Basic Data'!$A$43:$A$70,'Basic Data'!$C$43:$C$70),"")</f>
        <v>GEDA</v>
      </c>
      <c r="J33" s="271">
        <f>IFERROR(_xlfn.XLOOKUP(Table10[[#This Row],[Affected Feeder ]],'Basic Data'!$A$43:$A$70,'Basic Data'!$E$43:$E$70),"")</f>
        <v>3.846153846153845E-2</v>
      </c>
      <c r="K33" s="272" t="s">
        <v>673</v>
      </c>
      <c r="L33" s="273">
        <v>9.0277777777777776E-2</v>
      </c>
      <c r="M33" s="273">
        <v>9.0277777777777776E-2</v>
      </c>
      <c r="N33" s="273">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272" t="s">
        <v>668</v>
      </c>
      <c r="S33" s="102" t="s">
        <v>268</v>
      </c>
      <c r="T33" s="274">
        <f>IFERROR(Table10[[#This Row],[Breakdown Time]]*Table10[[#This Row],[Plant Equivalent Weightage]],"")</f>
        <v>3.846153846153845E-2</v>
      </c>
      <c r="U33" s="102" t="s">
        <v>637</v>
      </c>
      <c r="V33" s="288">
        <f>IFERROR(_xlfn.XLOOKUP(Table10[[#This Row],[Date]],'Daily KPI'!$A:$A,'Daily KPI'!$M:$M),"")</f>
        <v>5.8334462271515468</v>
      </c>
      <c r="W33" s="102">
        <v>659.6</v>
      </c>
      <c r="X33" s="102">
        <f>Table10[[#This Row],[WTG Loss]]*1*Table10[[#This Row],[Breakdown Time]]</f>
        <v>659.6</v>
      </c>
      <c r="Y33" s="102" t="s">
        <v>638</v>
      </c>
      <c r="Z33" s="102"/>
      <c r="AA33" s="102"/>
    </row>
    <row r="34" spans="1:27">
      <c r="A34" s="102">
        <f t="shared" si="0"/>
        <v>33</v>
      </c>
      <c r="B34" s="102">
        <f>YEAR(Table10[[#This Row],[Date]])+IF(MONTH(Table10[[#This Row],[Date]])&gt;=4,1,0)</f>
        <v>2026</v>
      </c>
      <c r="C34" s="102">
        <f>YEAR(Table10[[#This Row],[Date]])</f>
        <v>2025</v>
      </c>
      <c r="D34" s="102" t="s">
        <v>634</v>
      </c>
      <c r="E34" s="258">
        <f>Table10[[#This Row],[Date]]-DAY(Table10[[#This Row],[Date]])+1</f>
        <v>45778</v>
      </c>
      <c r="F34" s="259">
        <v>45785</v>
      </c>
      <c r="G34" s="102" t="s">
        <v>639</v>
      </c>
      <c r="H34" s="102" t="str">
        <f>IFERROR(_xlfn.XLOOKUP(Table10[[#This Row],[Affected Feeder ]],'Basic Data'!$A$43:$A$70,'Basic Data'!$B$43:$B$70),"")</f>
        <v>TQGXIIPL</v>
      </c>
      <c r="I34" s="102" t="str">
        <f>IFERROR(_xlfn.XLOOKUP(Table10[[#This Row],[Affected Feeder ]],'Basic Data'!$A$43:$A$70,'Basic Data'!$C$43:$C$70),"")</f>
        <v>GEDA</v>
      </c>
      <c r="J34" s="271">
        <f>IFERROR(_xlfn.XLOOKUP(Table10[[#This Row],[Affected Feeder ]],'Basic Data'!$A$43:$A$70,'Basic Data'!$E$43:$E$70),"")</f>
        <v>0.49999999999999978</v>
      </c>
      <c r="K34" s="272" t="s">
        <v>643</v>
      </c>
      <c r="L34" s="273">
        <v>0.74583333333333335</v>
      </c>
      <c r="M34" s="273">
        <v>0.74583333333333335</v>
      </c>
      <c r="N34" s="273">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272" t="s">
        <v>644</v>
      </c>
      <c r="S34" s="102" t="s">
        <v>268</v>
      </c>
      <c r="T34" s="274">
        <f>IFERROR(Table10[[#This Row],[Breakdown Time]]*Table10[[#This Row],[Plant Equivalent Weightage]],"")</f>
        <v>0.49999999999999933</v>
      </c>
      <c r="U34" s="102" t="s">
        <v>637</v>
      </c>
      <c r="V34" s="288">
        <f>IFERROR(_xlfn.XLOOKUP(Table10[[#This Row],[Date]],'Daily KPI'!$A:$A,'Daily KPI'!$M:$M),"")</f>
        <v>4.1440249624271237</v>
      </c>
      <c r="W34" s="102">
        <v>208</v>
      </c>
      <c r="X34" s="102">
        <f>Table10[[#This Row],[WTG Loss]]*13*Table10[[#This Row],[Breakdown Time]]</f>
        <v>2703.9999999999977</v>
      </c>
      <c r="Y34" s="102" t="s">
        <v>638</v>
      </c>
      <c r="Z34" s="102"/>
      <c r="AA34" s="102"/>
    </row>
    <row r="35" spans="1:27">
      <c r="A35" s="102">
        <f t="shared" si="0"/>
        <v>34</v>
      </c>
      <c r="B35" s="102">
        <f>YEAR(Table10[[#This Row],[Date]])+IF(MONTH(Table10[[#This Row],[Date]])&gt;=4,1,0)</f>
        <v>2026</v>
      </c>
      <c r="C35" s="102">
        <f>YEAR(Table10[[#This Row],[Date]])</f>
        <v>2025</v>
      </c>
      <c r="D35" s="102" t="s">
        <v>634</v>
      </c>
      <c r="E35" s="258">
        <f>Table10[[#This Row],[Date]]-DAY(Table10[[#This Row],[Date]])+1</f>
        <v>45778</v>
      </c>
      <c r="F35" s="259">
        <v>45786</v>
      </c>
      <c r="G35" s="102" t="s">
        <v>647</v>
      </c>
      <c r="H35" s="102" t="str">
        <f>IFERROR(_xlfn.XLOOKUP(Table10[[#This Row],[Affected Feeder ]],'Basic Data'!$A$43:$A$70,'Basic Data'!$B$43:$B$70),"")</f>
        <v>TQGXIIPL</v>
      </c>
      <c r="I35" s="102" t="str">
        <f>IFERROR(_xlfn.XLOOKUP(Table10[[#This Row],[Affected Feeder ]],'Basic Data'!$A$43:$A$70,'Basic Data'!$C$43:$C$70),"")</f>
        <v>GEDA</v>
      </c>
      <c r="J35" s="271">
        <f>IFERROR(_xlfn.XLOOKUP(Table10[[#This Row],[Affected Feeder ]],'Basic Data'!$A$43:$A$70,'Basic Data'!$E$43:$E$70),"")</f>
        <v>0.49999999999999978</v>
      </c>
      <c r="K35" s="272" t="s">
        <v>674</v>
      </c>
      <c r="L35" s="273">
        <v>0.72013888888888888</v>
      </c>
      <c r="M35" s="273">
        <v>0.72013888888888888</v>
      </c>
      <c r="N35" s="273">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272" t="s">
        <v>675</v>
      </c>
      <c r="S35" s="102" t="s">
        <v>268</v>
      </c>
      <c r="T35" s="274">
        <f>IFERROR(Table10[[#This Row],[Breakdown Time]]*Table10[[#This Row],[Plant Equivalent Weightage]],"")</f>
        <v>0.88333333333333242</v>
      </c>
      <c r="U35" s="102" t="s">
        <v>637</v>
      </c>
      <c r="V35" s="288">
        <f>IFERROR(_xlfn.XLOOKUP(Table10[[#This Row],[Date]],'Daily KPI'!$A:$A,'Daily KPI'!$M:$M),"")</f>
        <v>4.2123076923076939</v>
      </c>
      <c r="W35" s="102">
        <v>230</v>
      </c>
      <c r="X35" s="102">
        <f>Table10[[#This Row],[WTG Loss]]*13*Table10[[#This Row],[Breakdown Time]]</f>
        <v>5282.3333333333303</v>
      </c>
      <c r="Y35" s="102" t="s">
        <v>638</v>
      </c>
      <c r="Z35" s="102"/>
      <c r="AA35" s="102"/>
    </row>
    <row r="36" spans="1:27">
      <c r="A36" s="102">
        <f t="shared" si="0"/>
        <v>35</v>
      </c>
      <c r="B36" s="102">
        <f>YEAR(Table10[[#This Row],[Date]])+IF(MONTH(Table10[[#This Row],[Date]])&gt;=4,1,0)</f>
        <v>2026</v>
      </c>
      <c r="C36" s="102">
        <f>YEAR(Table10[[#This Row],[Date]])</f>
        <v>2025</v>
      </c>
      <c r="D36" s="102" t="s">
        <v>634</v>
      </c>
      <c r="E36" s="258">
        <f>Table10[[#This Row],[Date]]-DAY(Table10[[#This Row],[Date]])+1</f>
        <v>45778</v>
      </c>
      <c r="F36" s="259">
        <v>45786</v>
      </c>
      <c r="G36" s="102" t="s">
        <v>647</v>
      </c>
      <c r="H36" s="102" t="str">
        <f>IFERROR(_xlfn.XLOOKUP(Table10[[#This Row],[Affected Feeder ]],'Basic Data'!$A$43:$A$70,'Basic Data'!$B$43:$B$70),"")</f>
        <v>TQGXIIPL</v>
      </c>
      <c r="I36" s="102" t="str">
        <f>IFERROR(_xlfn.XLOOKUP(Table10[[#This Row],[Affected Feeder ]],'Basic Data'!$A$43:$A$70,'Basic Data'!$C$43:$C$70),"")</f>
        <v>GEDA</v>
      </c>
      <c r="J36" s="271">
        <f>IFERROR(_xlfn.XLOOKUP(Table10[[#This Row],[Affected Feeder ]],'Basic Data'!$A$43:$A$70,'Basic Data'!$E$43:$E$70),"")</f>
        <v>0.49999999999999978</v>
      </c>
      <c r="K36" s="272" t="s">
        <v>676</v>
      </c>
      <c r="L36" s="273">
        <v>0.90763888888888888</v>
      </c>
      <c r="M36" s="273">
        <v>0.90763888888888888</v>
      </c>
      <c r="N36" s="273">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272" t="s">
        <v>676</v>
      </c>
      <c r="S36" s="102" t="s">
        <v>268</v>
      </c>
      <c r="T36" s="274">
        <f>IFERROR(Table10[[#This Row],[Breakdown Time]]*Table10[[#This Row],[Plant Equivalent Weightage]],"")</f>
        <v>8.3333333333332996E-2</v>
      </c>
      <c r="U36" s="102" t="s">
        <v>637</v>
      </c>
      <c r="V36" s="288">
        <f>IFERROR(_xlfn.XLOOKUP(Table10[[#This Row],[Date]],'Daily KPI'!$A:$A,'Daily KPI'!$M:$M),"")</f>
        <v>4.2123076923076939</v>
      </c>
      <c r="W36" s="102">
        <v>230</v>
      </c>
      <c r="X36" s="102">
        <f>Table10[[#This Row],[WTG Loss]]*13*Table10[[#This Row],[Breakdown Time]]</f>
        <v>498.33333333333155</v>
      </c>
      <c r="Y36" s="102" t="s">
        <v>638</v>
      </c>
      <c r="Z36" s="102"/>
      <c r="AA36" s="102"/>
    </row>
    <row r="37" spans="1:27">
      <c r="A37" s="102">
        <f t="shared" si="0"/>
        <v>36</v>
      </c>
      <c r="B37" s="102">
        <f>YEAR(Table10[[#This Row],[Date]])+IF(MONTH(Table10[[#This Row],[Date]])&gt;=4,1,0)</f>
        <v>2026</v>
      </c>
      <c r="C37" s="102">
        <f>YEAR(Table10[[#This Row],[Date]])</f>
        <v>2025</v>
      </c>
      <c r="D37" s="102" t="s">
        <v>634</v>
      </c>
      <c r="E37" s="258">
        <f>Table10[[#This Row],[Date]]-DAY(Table10[[#This Row],[Date]])+1</f>
        <v>45778</v>
      </c>
      <c r="F37" s="259">
        <v>45786</v>
      </c>
      <c r="G37" s="102" t="s">
        <v>118</v>
      </c>
      <c r="H37" s="102" t="str">
        <f>IFERROR(_xlfn.XLOOKUP(Table10[[#This Row],[Affected Feeder ]],'Basic Data'!$A$43:$A$70,'Basic Data'!$B$43:$B$70),"")</f>
        <v>TQGXIIPL</v>
      </c>
      <c r="I37" s="102" t="str">
        <f>IFERROR(_xlfn.XLOOKUP(Table10[[#This Row],[Affected Feeder ]],'Basic Data'!$A$43:$A$70,'Basic Data'!$C$43:$C$70),"")</f>
        <v>GEDA</v>
      </c>
      <c r="J37" s="271">
        <f>IFERROR(_xlfn.XLOOKUP(Table10[[#This Row],[Affected Feeder ]],'Basic Data'!$A$43:$A$70,'Basic Data'!$E$43:$E$70),"")</f>
        <v>3.846153846153845E-2</v>
      </c>
      <c r="K37" s="272" t="s">
        <v>677</v>
      </c>
      <c r="L37" s="273">
        <v>0.7944444444444444</v>
      </c>
      <c r="M37" s="273">
        <v>0.7944444444444444</v>
      </c>
      <c r="N37" s="273">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272" t="s">
        <v>678</v>
      </c>
      <c r="S37" s="102" t="s">
        <v>268</v>
      </c>
      <c r="T37" s="274">
        <f>IFERROR(Table10[[#This Row],[Breakdown Time]]*Table10[[#This Row],[Plant Equivalent Weightage]],"")</f>
        <v>0.10384615384615385</v>
      </c>
      <c r="U37" s="102" t="s">
        <v>637</v>
      </c>
      <c r="V37" s="288">
        <f>IFERROR(_xlfn.XLOOKUP(Table10[[#This Row],[Date]],'Daily KPI'!$A:$A,'Daily KPI'!$M:$M),"")</f>
        <v>4.2123076923076939</v>
      </c>
      <c r="W37" s="102">
        <v>230</v>
      </c>
      <c r="X37" s="102">
        <f>Table10[[#This Row],[WTG Loss]]*1*Table10[[#This Row],[Breakdown Time]]</f>
        <v>621.00000000000023</v>
      </c>
      <c r="Y37" s="102" t="s">
        <v>638</v>
      </c>
      <c r="Z37" s="102"/>
      <c r="AA37" s="102"/>
    </row>
    <row r="38" spans="1:27">
      <c r="A38" s="102">
        <f t="shared" si="0"/>
        <v>37</v>
      </c>
      <c r="B38" s="102">
        <f>YEAR(Table10[[#This Row],[Date]])+IF(MONTH(Table10[[#This Row],[Date]])&gt;=4,1,0)</f>
        <v>2026</v>
      </c>
      <c r="C38" s="102">
        <f>YEAR(Table10[[#This Row],[Date]])</f>
        <v>2025</v>
      </c>
      <c r="D38" s="102" t="s">
        <v>634</v>
      </c>
      <c r="E38" s="258">
        <f>Table10[[#This Row],[Date]]-DAY(Table10[[#This Row],[Date]])+1</f>
        <v>45778</v>
      </c>
      <c r="F38" s="259">
        <v>45786</v>
      </c>
      <c r="G38" s="102" t="s">
        <v>121</v>
      </c>
      <c r="H38" s="102" t="str">
        <f>IFERROR(_xlfn.XLOOKUP(Table10[[#This Row],[Affected Feeder ]],'Basic Data'!$A$43:$A$70,'Basic Data'!$B$43:$B$70),"")</f>
        <v>TQGXIIPL</v>
      </c>
      <c r="I38" s="102" t="str">
        <f>IFERROR(_xlfn.XLOOKUP(Table10[[#This Row],[Affected Feeder ]],'Basic Data'!$A$43:$A$70,'Basic Data'!$C$43:$C$70),"")</f>
        <v>GEDA</v>
      </c>
      <c r="J38" s="271">
        <f>IFERROR(_xlfn.XLOOKUP(Table10[[#This Row],[Affected Feeder ]],'Basic Data'!$A$43:$A$70,'Basic Data'!$E$43:$E$70),"")</f>
        <v>3.846153846153845E-2</v>
      </c>
      <c r="K38" s="272" t="s">
        <v>679</v>
      </c>
      <c r="L38" s="273">
        <v>0.7944444444444444</v>
      </c>
      <c r="M38" s="273">
        <v>0.7944444444444444</v>
      </c>
      <c r="N38" s="273">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272" t="s">
        <v>678</v>
      </c>
      <c r="S38" s="102" t="s">
        <v>268</v>
      </c>
      <c r="T38" s="274">
        <f>IFERROR(Table10[[#This Row],[Breakdown Time]]*Table10[[#This Row],[Plant Equivalent Weightage]],"")</f>
        <v>0.10384615384615385</v>
      </c>
      <c r="U38" s="102" t="s">
        <v>637</v>
      </c>
      <c r="V38" s="288">
        <f>IFERROR(_xlfn.XLOOKUP(Table10[[#This Row],[Date]],'Daily KPI'!$A:$A,'Daily KPI'!$M:$M),"")</f>
        <v>4.2123076923076939</v>
      </c>
      <c r="W38" s="102">
        <v>230</v>
      </c>
      <c r="X38" s="102">
        <f>Table10[[#This Row],[WTG Loss]]*1*Table10[[#This Row],[Breakdown Time]]</f>
        <v>621.00000000000023</v>
      </c>
      <c r="Y38" s="102" t="s">
        <v>638</v>
      </c>
      <c r="Z38" s="102"/>
      <c r="AA38" s="102"/>
    </row>
    <row r="39" spans="1:27">
      <c r="A39" s="102">
        <f t="shared" ref="A39:A102" si="1">A38+1</f>
        <v>38</v>
      </c>
      <c r="B39" s="102">
        <f>YEAR(Table10[[#This Row],[Date]])+IF(MONTH(Table10[[#This Row],[Date]])&gt;=4,1,0)</f>
        <v>2026</v>
      </c>
      <c r="C39" s="102">
        <f>YEAR(Table10[[#This Row],[Date]])</f>
        <v>2025</v>
      </c>
      <c r="D39" s="102" t="s">
        <v>634</v>
      </c>
      <c r="E39" s="258">
        <f>Table10[[#This Row],[Date]]-DAY(Table10[[#This Row],[Date]])+1</f>
        <v>45778</v>
      </c>
      <c r="F39" s="259">
        <v>45786</v>
      </c>
      <c r="G39" s="102" t="s">
        <v>133</v>
      </c>
      <c r="H39" s="102" t="str">
        <f>IFERROR(_xlfn.XLOOKUP(Table10[[#This Row],[Affected Feeder ]],'Basic Data'!$A$43:$A$70,'Basic Data'!$B$43:$B$70),"")</f>
        <v>TQGXIIPL</v>
      </c>
      <c r="I39" s="102" t="str">
        <f>IFERROR(_xlfn.XLOOKUP(Table10[[#This Row],[Affected Feeder ]],'Basic Data'!$A$43:$A$70,'Basic Data'!$C$43:$C$70),"")</f>
        <v>GEDA</v>
      </c>
      <c r="J39" s="271">
        <f>IFERROR(_xlfn.XLOOKUP(Table10[[#This Row],[Affected Feeder ]],'Basic Data'!$A$43:$A$70,'Basic Data'!$E$43:$E$70),"")</f>
        <v>3.846153846153845E-2</v>
      </c>
      <c r="K39" s="272" t="s">
        <v>680</v>
      </c>
      <c r="L39" s="273">
        <v>0.7944444444444444</v>
      </c>
      <c r="M39" s="273">
        <v>0.7944444444444444</v>
      </c>
      <c r="N39" s="273">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272" t="s">
        <v>678</v>
      </c>
      <c r="S39" s="102" t="s">
        <v>268</v>
      </c>
      <c r="T39" s="274">
        <f>IFERROR(Table10[[#This Row],[Breakdown Time]]*Table10[[#This Row],[Plant Equivalent Weightage]],"")</f>
        <v>0.10384615384615385</v>
      </c>
      <c r="U39" s="102" t="s">
        <v>637</v>
      </c>
      <c r="V39" s="288">
        <f>IFERROR(_xlfn.XLOOKUP(Table10[[#This Row],[Date]],'Daily KPI'!$A:$A,'Daily KPI'!$M:$M),"")</f>
        <v>4.2123076923076939</v>
      </c>
      <c r="W39" s="102">
        <v>230</v>
      </c>
      <c r="X39" s="102">
        <f>Table10[[#This Row],[WTG Loss]]*1*Table10[[#This Row],[Breakdown Time]]</f>
        <v>621.00000000000023</v>
      </c>
      <c r="Y39" s="102" t="s">
        <v>638</v>
      </c>
      <c r="Z39" s="102"/>
      <c r="AA39" s="102"/>
    </row>
    <row r="40" spans="1:27">
      <c r="A40" s="102">
        <f t="shared" si="1"/>
        <v>39</v>
      </c>
      <c r="B40" s="102">
        <f>YEAR(Table10[[#This Row],[Date]])+IF(MONTH(Table10[[#This Row],[Date]])&gt;=4,1,0)</f>
        <v>2026</v>
      </c>
      <c r="C40" s="102">
        <f>YEAR(Table10[[#This Row],[Date]])</f>
        <v>2025</v>
      </c>
      <c r="D40" s="102" t="s">
        <v>634</v>
      </c>
      <c r="E40" s="258">
        <f>Table10[[#This Row],[Date]]-DAY(Table10[[#This Row],[Date]])+1</f>
        <v>45778</v>
      </c>
      <c r="F40" s="259">
        <v>45786</v>
      </c>
      <c r="G40" s="102" t="s">
        <v>133</v>
      </c>
      <c r="H40" s="102" t="str">
        <f>IFERROR(_xlfn.XLOOKUP(Table10[[#This Row],[Affected Feeder ]],'Basic Data'!$A$43:$A$70,'Basic Data'!$B$43:$B$70),"")</f>
        <v>TQGXIIPL</v>
      </c>
      <c r="I40" s="102" t="str">
        <f>IFERROR(_xlfn.XLOOKUP(Table10[[#This Row],[Affected Feeder ]],'Basic Data'!$A$43:$A$70,'Basic Data'!$C$43:$C$70),"")</f>
        <v>GEDA</v>
      </c>
      <c r="J40" s="271">
        <f>IFERROR(_xlfn.XLOOKUP(Table10[[#This Row],[Affected Feeder ]],'Basic Data'!$A$43:$A$70,'Basic Data'!$E$43:$E$70),"")</f>
        <v>3.846153846153845E-2</v>
      </c>
      <c r="K40" s="272" t="s">
        <v>680</v>
      </c>
      <c r="L40" s="273">
        <v>0.91527777777777775</v>
      </c>
      <c r="M40" s="273">
        <v>0.91527777777777775</v>
      </c>
      <c r="N40" s="273">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272" t="s">
        <v>681</v>
      </c>
      <c r="S40" s="102" t="s">
        <v>549</v>
      </c>
      <c r="T40" s="274">
        <f>IFERROR(Table10[[#This Row],[Breakdown Time]]*Table10[[#This Row],[Plant Equivalent Weightage]],"")</f>
        <v>7.8205128205128205E-2</v>
      </c>
      <c r="U40" s="102" t="s">
        <v>637</v>
      </c>
      <c r="V40" s="288">
        <f>IFERROR(_xlfn.XLOOKUP(Table10[[#This Row],[Date]],'Daily KPI'!$A:$A,'Daily KPI'!$M:$M),"")</f>
        <v>4.2123076923076939</v>
      </c>
      <c r="W40" s="102">
        <v>230</v>
      </c>
      <c r="X40" s="102">
        <f>Table10[[#This Row],[WTG Loss]]*1*Table10[[#This Row],[Breakdown Time]]</f>
        <v>467.66666666666686</v>
      </c>
      <c r="Y40" s="102" t="s">
        <v>638</v>
      </c>
      <c r="Z40" s="102"/>
      <c r="AA40" s="102"/>
    </row>
    <row r="41" spans="1:27">
      <c r="A41" s="102">
        <f t="shared" si="1"/>
        <v>40</v>
      </c>
      <c r="B41" s="102">
        <f>YEAR(Table10[[#This Row],[Date]])+IF(MONTH(Table10[[#This Row],[Date]])&gt;=4,1,0)</f>
        <v>2026</v>
      </c>
      <c r="C41" s="102">
        <f>YEAR(Table10[[#This Row],[Date]])</f>
        <v>2025</v>
      </c>
      <c r="D41" s="102" t="s">
        <v>634</v>
      </c>
      <c r="E41" s="258">
        <f>Table10[[#This Row],[Date]]-DAY(Table10[[#This Row],[Date]])+1</f>
        <v>45778</v>
      </c>
      <c r="F41" s="259">
        <v>45786</v>
      </c>
      <c r="G41" s="102" t="s">
        <v>118</v>
      </c>
      <c r="H41" s="102" t="str">
        <f>IFERROR(_xlfn.XLOOKUP(Table10[[#This Row],[Affected Feeder ]],'Basic Data'!$A$43:$A$70,'Basic Data'!$B$43:$B$70),"")</f>
        <v>TQGXIIPL</v>
      </c>
      <c r="I41" s="102" t="str">
        <f>IFERROR(_xlfn.XLOOKUP(Table10[[#This Row],[Affected Feeder ]],'Basic Data'!$A$43:$A$70,'Basic Data'!$C$43:$C$70),"")</f>
        <v>GEDA</v>
      </c>
      <c r="J41" s="271">
        <f>IFERROR(_xlfn.XLOOKUP(Table10[[#This Row],[Affected Feeder ]],'Basic Data'!$A$43:$A$70,'Basic Data'!$E$43:$E$70),"")</f>
        <v>3.846153846153845E-2</v>
      </c>
      <c r="K41" s="272" t="s">
        <v>677</v>
      </c>
      <c r="L41" s="273">
        <v>0.98958333333333337</v>
      </c>
      <c r="M41" s="273">
        <v>0.98958333333333337</v>
      </c>
      <c r="N41" s="273">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272" t="s">
        <v>682</v>
      </c>
      <c r="S41" s="102" t="s">
        <v>268</v>
      </c>
      <c r="T41" s="274">
        <f>IFERROR(Table10[[#This Row],[Breakdown Time]]*Table10[[#This Row],[Plant Equivalent Weightage]],"")</f>
        <v>9.6153846153845778E-3</v>
      </c>
      <c r="U41" s="102" t="s">
        <v>637</v>
      </c>
      <c r="V41" s="288">
        <f>IFERROR(_xlfn.XLOOKUP(Table10[[#This Row],[Date]],'Daily KPI'!$A:$A,'Daily KPI'!$M:$M),"")</f>
        <v>4.2123076923076939</v>
      </c>
      <c r="W41" s="102">
        <v>230</v>
      </c>
      <c r="X41" s="102">
        <f>Table10[[#This Row],[WTG Loss]]*1*Table10[[#This Row],[Breakdown Time]]</f>
        <v>57.499999999999794</v>
      </c>
      <c r="Y41" s="102" t="s">
        <v>638</v>
      </c>
      <c r="Z41" s="102"/>
      <c r="AA41" s="102"/>
    </row>
    <row r="42" spans="1:27">
      <c r="A42" s="102">
        <f t="shared" si="1"/>
        <v>41</v>
      </c>
      <c r="B42" s="102">
        <f>YEAR(Table10[[#This Row],[Date]])+IF(MONTH(Table10[[#This Row],[Date]])&gt;=4,1,0)</f>
        <v>2026</v>
      </c>
      <c r="C42" s="102">
        <f>YEAR(Table10[[#This Row],[Date]])</f>
        <v>2025</v>
      </c>
      <c r="D42" s="102" t="s">
        <v>634</v>
      </c>
      <c r="E42" s="258">
        <f>Table10[[#This Row],[Date]]-DAY(Table10[[#This Row],[Date]])+1</f>
        <v>45778</v>
      </c>
      <c r="F42" s="259">
        <v>45786</v>
      </c>
      <c r="G42" s="102" t="s">
        <v>121</v>
      </c>
      <c r="H42" s="102" t="str">
        <f>IFERROR(_xlfn.XLOOKUP(Table10[[#This Row],[Affected Feeder ]],'Basic Data'!$A$43:$A$70,'Basic Data'!$B$43:$B$70),"")</f>
        <v>TQGXIIPL</v>
      </c>
      <c r="I42" s="102" t="str">
        <f>IFERROR(_xlfn.XLOOKUP(Table10[[#This Row],[Affected Feeder ]],'Basic Data'!$A$43:$A$70,'Basic Data'!$C$43:$C$70),"")</f>
        <v>GEDA</v>
      </c>
      <c r="J42" s="271">
        <f>IFERROR(_xlfn.XLOOKUP(Table10[[#This Row],[Affected Feeder ]],'Basic Data'!$A$43:$A$70,'Basic Data'!$E$43:$E$70),"")</f>
        <v>3.846153846153845E-2</v>
      </c>
      <c r="K42" s="272" t="s">
        <v>679</v>
      </c>
      <c r="L42" s="273">
        <v>0.98958333333333337</v>
      </c>
      <c r="M42" s="273">
        <v>0.98958333333333337</v>
      </c>
      <c r="N42" s="273">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272" t="s">
        <v>682</v>
      </c>
      <c r="S42" s="102" t="s">
        <v>268</v>
      </c>
      <c r="T42" s="274">
        <f>IFERROR(Table10[[#This Row],[Breakdown Time]]*Table10[[#This Row],[Plant Equivalent Weightage]],"")</f>
        <v>9.6153846153845778E-3</v>
      </c>
      <c r="U42" s="102" t="s">
        <v>637</v>
      </c>
      <c r="V42" s="288">
        <f>IFERROR(_xlfn.XLOOKUP(Table10[[#This Row],[Date]],'Daily KPI'!$A:$A,'Daily KPI'!$M:$M),"")</f>
        <v>4.2123076923076939</v>
      </c>
      <c r="W42" s="102">
        <v>230</v>
      </c>
      <c r="X42" s="102">
        <f>Table10[[#This Row],[WTG Loss]]*1*Table10[[#This Row],[Breakdown Time]]</f>
        <v>57.499999999999794</v>
      </c>
      <c r="Y42" s="102" t="s">
        <v>638</v>
      </c>
      <c r="Z42" s="102"/>
      <c r="AA42" s="102"/>
    </row>
    <row r="43" spans="1:27">
      <c r="A43" s="102">
        <f t="shared" si="1"/>
        <v>42</v>
      </c>
      <c r="B43" s="102">
        <f>YEAR(Table10[[#This Row],[Date]])+IF(MONTH(Table10[[#This Row],[Date]])&gt;=4,1,0)</f>
        <v>2026</v>
      </c>
      <c r="C43" s="102">
        <f>YEAR(Table10[[#This Row],[Date]])</f>
        <v>2025</v>
      </c>
      <c r="D43" s="102" t="s">
        <v>634</v>
      </c>
      <c r="E43" s="258">
        <f>Table10[[#This Row],[Date]]-DAY(Table10[[#This Row],[Date]])+1</f>
        <v>45778</v>
      </c>
      <c r="F43" s="259">
        <v>45787</v>
      </c>
      <c r="G43" s="102" t="s">
        <v>647</v>
      </c>
      <c r="H43" s="102" t="str">
        <f>IFERROR(_xlfn.XLOOKUP(Table10[[#This Row],[Affected Feeder ]],'Basic Data'!$A$43:$A$70,'Basic Data'!$B$43:$B$70),"")</f>
        <v>TQGXIIPL</v>
      </c>
      <c r="I43" s="102" t="str">
        <f>IFERROR(_xlfn.XLOOKUP(Table10[[#This Row],[Affected Feeder ]],'Basic Data'!$A$43:$A$70,'Basic Data'!$C$43:$C$70),"")</f>
        <v>GEDA</v>
      </c>
      <c r="J43" s="271">
        <f>IFERROR(_xlfn.XLOOKUP(Table10[[#This Row],[Affected Feeder ]],'Basic Data'!$A$43:$A$70,'Basic Data'!$E$43:$E$70),"")</f>
        <v>0.49999999999999978</v>
      </c>
      <c r="K43" s="272" t="s">
        <v>674</v>
      </c>
      <c r="L43" s="273">
        <v>0.54166666666666663</v>
      </c>
      <c r="M43" s="273">
        <v>0.54166666666666663</v>
      </c>
      <c r="N43" s="273">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272" t="s">
        <v>675</v>
      </c>
      <c r="S43" s="102" t="s">
        <v>268</v>
      </c>
      <c r="T43" s="274">
        <f>IFERROR(Table10[[#This Row],[Breakdown Time]]*Table10[[#This Row],[Plant Equivalent Weightage]],"")</f>
        <v>0.79166666666666619</v>
      </c>
      <c r="U43" s="102" t="s">
        <v>637</v>
      </c>
      <c r="V43" s="288">
        <f>IFERROR(_xlfn.XLOOKUP(Table10[[#This Row],[Date]],'Daily KPI'!$A:$A,'Daily KPI'!$M:$M),"")</f>
        <v>4.9289662776948795</v>
      </c>
      <c r="W43" s="102">
        <v>384</v>
      </c>
      <c r="X43" s="102">
        <f>Table10[[#This Row],[WTG Loss]]*13*Table10[[#This Row],[Breakdown Time]]</f>
        <v>7903.9999999999982</v>
      </c>
      <c r="Y43" s="102" t="s">
        <v>638</v>
      </c>
      <c r="Z43" s="102"/>
      <c r="AA43" s="102"/>
    </row>
    <row r="44" spans="1:27">
      <c r="A44" s="102">
        <f t="shared" si="1"/>
        <v>43</v>
      </c>
      <c r="B44" s="102">
        <f>YEAR(Table10[[#This Row],[Date]])+IF(MONTH(Table10[[#This Row],[Date]])&gt;=4,1,0)</f>
        <v>2026</v>
      </c>
      <c r="C44" s="102">
        <f>YEAR(Table10[[#This Row],[Date]])</f>
        <v>2025</v>
      </c>
      <c r="D44" s="102" t="s">
        <v>634</v>
      </c>
      <c r="E44" s="258">
        <f>Table10[[#This Row],[Date]]-DAY(Table10[[#This Row],[Date]])+1</f>
        <v>45778</v>
      </c>
      <c r="F44" s="259">
        <v>45787</v>
      </c>
      <c r="G44" s="102" t="s">
        <v>647</v>
      </c>
      <c r="H44" s="102" t="str">
        <f>IFERROR(_xlfn.XLOOKUP(Table10[[#This Row],[Affected Feeder ]],'Basic Data'!$A$43:$A$70,'Basic Data'!$B$43:$B$70),"")</f>
        <v>TQGXIIPL</v>
      </c>
      <c r="I44" s="102" t="str">
        <f>IFERROR(_xlfn.XLOOKUP(Table10[[#This Row],[Affected Feeder ]],'Basic Data'!$A$43:$A$70,'Basic Data'!$C$43:$C$70),"")</f>
        <v>GEDA</v>
      </c>
      <c r="J44" s="271">
        <f>IFERROR(_xlfn.XLOOKUP(Table10[[#This Row],[Affected Feeder ]],'Basic Data'!$A$43:$A$70,'Basic Data'!$E$43:$E$70),"")</f>
        <v>0.49999999999999978</v>
      </c>
      <c r="K44" s="272" t="s">
        <v>674</v>
      </c>
      <c r="L44" s="273">
        <v>0.76666666666666672</v>
      </c>
      <c r="M44" s="273">
        <v>0.76666666666666672</v>
      </c>
      <c r="N44" s="273">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272" t="s">
        <v>675</v>
      </c>
      <c r="S44" s="102" t="s">
        <v>268</v>
      </c>
      <c r="T44" s="274">
        <f>IFERROR(Table10[[#This Row],[Breakdown Time]]*Table10[[#This Row],[Plant Equivalent Weightage]],"")</f>
        <v>9.1666666666666299E-2</v>
      </c>
      <c r="U44" s="102" t="s">
        <v>637</v>
      </c>
      <c r="V44" s="288">
        <f>IFERROR(_xlfn.XLOOKUP(Table10[[#This Row],[Date]],'Daily KPI'!$A:$A,'Daily KPI'!$M:$M),"")</f>
        <v>4.9289662776948795</v>
      </c>
      <c r="W44" s="102">
        <v>384</v>
      </c>
      <c r="X44" s="102">
        <f>Table10[[#This Row],[WTG Loss]]*13*Table10[[#This Row],[Breakdown Time]]</f>
        <v>915.19999999999675</v>
      </c>
      <c r="Y44" s="102" t="s">
        <v>638</v>
      </c>
      <c r="Z44" s="102"/>
      <c r="AA44" s="102"/>
    </row>
    <row r="45" spans="1:27">
      <c r="A45" s="102">
        <f t="shared" si="1"/>
        <v>44</v>
      </c>
      <c r="B45" s="102">
        <f>YEAR(Table10[[#This Row],[Date]])+IF(MONTH(Table10[[#This Row],[Date]])&gt;=4,1,0)</f>
        <v>2026</v>
      </c>
      <c r="C45" s="102">
        <f>YEAR(Table10[[#This Row],[Date]])</f>
        <v>2025</v>
      </c>
      <c r="D45" s="102" t="s">
        <v>634</v>
      </c>
      <c r="E45" s="258">
        <f>Table10[[#This Row],[Date]]-DAY(Table10[[#This Row],[Date]])+1</f>
        <v>45778</v>
      </c>
      <c r="F45" s="259">
        <v>45787</v>
      </c>
      <c r="G45" s="102" t="s">
        <v>118</v>
      </c>
      <c r="H45" s="102" t="str">
        <f>IFERROR(_xlfn.XLOOKUP(Table10[[#This Row],[Affected Feeder ]],'Basic Data'!$A$43:$A$70,'Basic Data'!$B$43:$B$70),"")</f>
        <v>TQGXIIPL</v>
      </c>
      <c r="I45" s="102" t="str">
        <f>IFERROR(_xlfn.XLOOKUP(Table10[[#This Row],[Affected Feeder ]],'Basic Data'!$A$43:$A$70,'Basic Data'!$C$43:$C$70),"")</f>
        <v>GEDA</v>
      </c>
      <c r="J45" s="271">
        <f>IFERROR(_xlfn.XLOOKUP(Table10[[#This Row],[Affected Feeder ]],'Basic Data'!$A$43:$A$70,'Basic Data'!$E$43:$E$70),"")</f>
        <v>3.846153846153845E-2</v>
      </c>
      <c r="K45" s="272" t="s">
        <v>677</v>
      </c>
      <c r="L45" s="273">
        <v>0</v>
      </c>
      <c r="M45" s="273">
        <v>0</v>
      </c>
      <c r="N45" s="273">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272" t="s">
        <v>682</v>
      </c>
      <c r="S45" s="102" t="s">
        <v>268</v>
      </c>
      <c r="T45" s="274">
        <f>IFERROR(Table10[[#This Row],[Breakdown Time]]*Table10[[#This Row],[Plant Equivalent Weightage]],"")</f>
        <v>3.4615384615384603E-2</v>
      </c>
      <c r="U45" s="102" t="s">
        <v>637</v>
      </c>
      <c r="V45" s="288">
        <f>IFERROR(_xlfn.XLOOKUP(Table10[[#This Row],[Date]],'Daily KPI'!$A:$A,'Daily KPI'!$M:$M),"")</f>
        <v>4.9289662776948795</v>
      </c>
      <c r="W45" s="102">
        <v>384</v>
      </c>
      <c r="X45" s="102">
        <f>Table10[[#This Row],[WTG Loss]]*1*Table10[[#This Row],[Breakdown Time]]</f>
        <v>345.59999999999997</v>
      </c>
      <c r="Y45" s="102" t="s">
        <v>638</v>
      </c>
      <c r="Z45" s="102"/>
      <c r="AA45" s="102"/>
    </row>
    <row r="46" spans="1:27">
      <c r="A46" s="102">
        <f t="shared" si="1"/>
        <v>45</v>
      </c>
      <c r="B46" s="102">
        <f>YEAR(Table10[[#This Row],[Date]])+IF(MONTH(Table10[[#This Row],[Date]])&gt;=4,1,0)</f>
        <v>2026</v>
      </c>
      <c r="C46" s="102">
        <f>YEAR(Table10[[#This Row],[Date]])</f>
        <v>2025</v>
      </c>
      <c r="D46" s="102" t="s">
        <v>634</v>
      </c>
      <c r="E46" s="258">
        <f>Table10[[#This Row],[Date]]-DAY(Table10[[#This Row],[Date]])+1</f>
        <v>45778</v>
      </c>
      <c r="F46" s="259">
        <v>45787</v>
      </c>
      <c r="G46" s="102" t="s">
        <v>121</v>
      </c>
      <c r="H46" s="102" t="str">
        <f>IFERROR(_xlfn.XLOOKUP(Table10[[#This Row],[Affected Feeder ]],'Basic Data'!$A$43:$A$70,'Basic Data'!$B$43:$B$70),"")</f>
        <v>TQGXIIPL</v>
      </c>
      <c r="I46" s="102" t="str">
        <f>IFERROR(_xlfn.XLOOKUP(Table10[[#This Row],[Affected Feeder ]],'Basic Data'!$A$43:$A$70,'Basic Data'!$C$43:$C$70),"")</f>
        <v>GEDA</v>
      </c>
      <c r="J46" s="271">
        <f>IFERROR(_xlfn.XLOOKUP(Table10[[#This Row],[Affected Feeder ]],'Basic Data'!$A$43:$A$70,'Basic Data'!$E$43:$E$70),"")</f>
        <v>3.846153846153845E-2</v>
      </c>
      <c r="K46" s="272" t="s">
        <v>679</v>
      </c>
      <c r="L46" s="273">
        <v>0</v>
      </c>
      <c r="M46" s="273">
        <v>0</v>
      </c>
      <c r="N46" s="273">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272" t="s">
        <v>682</v>
      </c>
      <c r="S46" s="102" t="s">
        <v>268</v>
      </c>
      <c r="T46" s="274">
        <f>IFERROR(Table10[[#This Row],[Breakdown Time]]*Table10[[#This Row],[Plant Equivalent Weightage]],"")</f>
        <v>3.4615384615384603E-2</v>
      </c>
      <c r="U46" s="102" t="s">
        <v>637</v>
      </c>
      <c r="V46" s="288">
        <f>IFERROR(_xlfn.XLOOKUP(Table10[[#This Row],[Date]],'Daily KPI'!$A:$A,'Daily KPI'!$M:$M),"")</f>
        <v>4.9289662776948795</v>
      </c>
      <c r="W46" s="102">
        <v>384</v>
      </c>
      <c r="X46" s="102">
        <f>Table10[[#This Row],[WTG Loss]]*1*Table10[[#This Row],[Breakdown Time]]</f>
        <v>345.59999999999997</v>
      </c>
      <c r="Y46" s="102" t="s">
        <v>638</v>
      </c>
      <c r="Z46" s="102"/>
      <c r="AA46" s="102"/>
    </row>
    <row r="47" spans="1:27">
      <c r="A47" s="102">
        <f t="shared" si="1"/>
        <v>46</v>
      </c>
      <c r="B47" s="102">
        <f>YEAR(Table10[[#This Row],[Date]])+IF(MONTH(Table10[[#This Row],[Date]])&gt;=4,1,0)</f>
        <v>2026</v>
      </c>
      <c r="C47" s="102">
        <f>YEAR(Table10[[#This Row],[Date]])</f>
        <v>2025</v>
      </c>
      <c r="D47" s="102" t="s">
        <v>634</v>
      </c>
      <c r="E47" s="258">
        <f>Table10[[#This Row],[Date]]-DAY(Table10[[#This Row],[Date]])+1</f>
        <v>45778</v>
      </c>
      <c r="F47" s="259">
        <v>45787</v>
      </c>
      <c r="G47" s="102" t="s">
        <v>131</v>
      </c>
      <c r="H47" s="102" t="str">
        <f>IFERROR(_xlfn.XLOOKUP(Table10[[#This Row],[Affected Feeder ]],'Basic Data'!$A$43:$A$70,'Basic Data'!$B$43:$B$70),"")</f>
        <v>TQGXIIPL</v>
      </c>
      <c r="I47" s="102" t="str">
        <f>IFERROR(_xlfn.XLOOKUP(Table10[[#This Row],[Affected Feeder ]],'Basic Data'!$A$43:$A$70,'Basic Data'!$C$43:$C$70),"")</f>
        <v>GEDA</v>
      </c>
      <c r="J47" s="271">
        <f>IFERROR(_xlfn.XLOOKUP(Table10[[#This Row],[Affected Feeder ]],'Basic Data'!$A$43:$A$70,'Basic Data'!$E$43:$E$70),"")</f>
        <v>3.846153846153845E-2</v>
      </c>
      <c r="K47" s="272" t="s">
        <v>683</v>
      </c>
      <c r="L47" s="273">
        <v>0.60833333333333328</v>
      </c>
      <c r="M47" s="273">
        <v>0.60833333333333328</v>
      </c>
      <c r="N47" s="273">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272" t="s">
        <v>684</v>
      </c>
      <c r="S47" s="102" t="s">
        <v>268</v>
      </c>
      <c r="T47" s="274">
        <f>IFERROR(Table10[[#This Row],[Breakdown Time]]*Table10[[#This Row],[Plant Equivalent Weightage]],"")</f>
        <v>7.8205128205128205E-2</v>
      </c>
      <c r="U47" s="102" t="s">
        <v>637</v>
      </c>
      <c r="V47" s="288">
        <f>IFERROR(_xlfn.XLOOKUP(Table10[[#This Row],[Date]],'Daily KPI'!$A:$A,'Daily KPI'!$M:$M),"")</f>
        <v>4.9289662776948795</v>
      </c>
      <c r="W47" s="102">
        <v>384</v>
      </c>
      <c r="X47" s="102">
        <f>Table10[[#This Row],[WTG Loss]]*1*Table10[[#This Row],[Breakdown Time]]</f>
        <v>780.8000000000003</v>
      </c>
      <c r="Y47" s="102" t="s">
        <v>638</v>
      </c>
      <c r="Z47" s="102"/>
      <c r="AA47" s="102"/>
    </row>
    <row r="48" spans="1:27">
      <c r="A48" s="102">
        <f t="shared" si="1"/>
        <v>47</v>
      </c>
      <c r="B48" s="102">
        <f>YEAR(Table10[[#This Row],[Date]])+IF(MONTH(Table10[[#This Row],[Date]])&gt;=4,1,0)</f>
        <v>2026</v>
      </c>
      <c r="C48" s="102">
        <f>YEAR(Table10[[#This Row],[Date]])</f>
        <v>2025</v>
      </c>
      <c r="D48" s="102" t="s">
        <v>634</v>
      </c>
      <c r="E48" s="258">
        <f>Table10[[#This Row],[Date]]-DAY(Table10[[#This Row],[Date]])+1</f>
        <v>45778</v>
      </c>
      <c r="F48" s="259">
        <v>45787</v>
      </c>
      <c r="G48" s="102" t="s">
        <v>136</v>
      </c>
      <c r="H48" s="102" t="str">
        <f>IFERROR(_xlfn.XLOOKUP(Table10[[#This Row],[Affected Feeder ]],'Basic Data'!$A$43:$A$70,'Basic Data'!$B$43:$B$70),"")</f>
        <v>TQGXIIPL</v>
      </c>
      <c r="I48" s="102" t="str">
        <f>IFERROR(_xlfn.XLOOKUP(Table10[[#This Row],[Affected Feeder ]],'Basic Data'!$A$43:$A$70,'Basic Data'!$C$43:$C$70),"")</f>
        <v>GEDA</v>
      </c>
      <c r="J48" s="271">
        <f>IFERROR(_xlfn.XLOOKUP(Table10[[#This Row],[Affected Feeder ]],'Basic Data'!$A$43:$A$70,'Basic Data'!$E$43:$E$70),"")</f>
        <v>3.846153846153845E-2</v>
      </c>
      <c r="K48" s="272" t="s">
        <v>685</v>
      </c>
      <c r="L48" s="273">
        <v>0.60833333333333328</v>
      </c>
      <c r="M48" s="273">
        <v>0.60833333333333328</v>
      </c>
      <c r="N48" s="273">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272" t="s">
        <v>684</v>
      </c>
      <c r="S48" s="102" t="s">
        <v>268</v>
      </c>
      <c r="T48" s="274">
        <f>IFERROR(Table10[[#This Row],[Breakdown Time]]*Table10[[#This Row],[Plant Equivalent Weightage]],"")</f>
        <v>7.8205128205128205E-2</v>
      </c>
      <c r="U48" s="102" t="s">
        <v>637</v>
      </c>
      <c r="V48" s="288">
        <f>IFERROR(_xlfn.XLOOKUP(Table10[[#This Row],[Date]],'Daily KPI'!$A:$A,'Daily KPI'!$M:$M),"")</f>
        <v>4.9289662776948795</v>
      </c>
      <c r="W48" s="102">
        <v>384</v>
      </c>
      <c r="X48" s="102">
        <f>Table10[[#This Row],[WTG Loss]]*1*Table10[[#This Row],[Breakdown Time]]</f>
        <v>780.8000000000003</v>
      </c>
      <c r="Y48" s="102" t="s">
        <v>638</v>
      </c>
      <c r="Z48" s="102"/>
      <c r="AA48" s="102"/>
    </row>
    <row r="49" spans="1:27">
      <c r="A49" s="102">
        <f t="shared" si="1"/>
        <v>48</v>
      </c>
      <c r="B49" s="102">
        <f>YEAR(Table10[[#This Row],[Date]])+IF(MONTH(Table10[[#This Row],[Date]])&gt;=4,1,0)</f>
        <v>2026</v>
      </c>
      <c r="C49" s="102">
        <f>YEAR(Table10[[#This Row],[Date]])</f>
        <v>2025</v>
      </c>
      <c r="D49" s="102" t="s">
        <v>634</v>
      </c>
      <c r="E49" s="258">
        <f>Table10[[#This Row],[Date]]-DAY(Table10[[#This Row],[Date]])+1</f>
        <v>45778</v>
      </c>
      <c r="F49" s="259">
        <v>45787</v>
      </c>
      <c r="G49" s="102" t="s">
        <v>133</v>
      </c>
      <c r="H49" s="102" t="str">
        <f>IFERROR(_xlfn.XLOOKUP(Table10[[#This Row],[Affected Feeder ]],'Basic Data'!$A$43:$A$70,'Basic Data'!$B$43:$B$70),"")</f>
        <v>TQGXIIPL</v>
      </c>
      <c r="I49" s="102" t="str">
        <f>IFERROR(_xlfn.XLOOKUP(Table10[[#This Row],[Affected Feeder ]],'Basic Data'!$A$43:$A$70,'Basic Data'!$C$43:$C$70),"")</f>
        <v>GEDA</v>
      </c>
      <c r="J49" s="271">
        <f>IFERROR(_xlfn.XLOOKUP(Table10[[#This Row],[Affected Feeder ]],'Basic Data'!$A$43:$A$70,'Basic Data'!$E$43:$E$70),"")</f>
        <v>3.846153846153845E-2</v>
      </c>
      <c r="K49" s="272" t="s">
        <v>680</v>
      </c>
      <c r="L49" s="273">
        <v>0</v>
      </c>
      <c r="M49" s="273">
        <v>0</v>
      </c>
      <c r="N49" s="273">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272" t="s">
        <v>686</v>
      </c>
      <c r="S49" s="102" t="s">
        <v>549</v>
      </c>
      <c r="T49" s="274">
        <f>IFERROR(Table10[[#This Row],[Breakdown Time]]*Table10[[#This Row],[Plant Equivalent Weightage]],"")</f>
        <v>0.9230662393162391</v>
      </c>
      <c r="U49" s="102" t="s">
        <v>637</v>
      </c>
      <c r="V49" s="288">
        <f>IFERROR(_xlfn.XLOOKUP(Table10[[#This Row],[Date]],'Daily KPI'!$A:$A,'Daily KPI'!$M:$M),"")</f>
        <v>4.9289662776948795</v>
      </c>
      <c r="W49" s="102">
        <v>384</v>
      </c>
      <c r="X49" s="102">
        <f>Table10[[#This Row],[WTG Loss]]*1*Table10[[#This Row],[Breakdown Time]]</f>
        <v>9215.8933333333334</v>
      </c>
      <c r="Y49" s="102" t="s">
        <v>638</v>
      </c>
      <c r="Z49" s="102"/>
      <c r="AA49" s="102"/>
    </row>
    <row r="50" spans="1:27">
      <c r="A50" s="102">
        <f t="shared" si="1"/>
        <v>49</v>
      </c>
      <c r="B50" s="102">
        <f>YEAR(Table10[[#This Row],[Date]])+IF(MONTH(Table10[[#This Row],[Date]])&gt;=4,1,0)</f>
        <v>2026</v>
      </c>
      <c r="C50" s="102">
        <f>YEAR(Table10[[#This Row],[Date]])</f>
        <v>2025</v>
      </c>
      <c r="D50" s="102" t="s">
        <v>634</v>
      </c>
      <c r="E50" s="258">
        <f>Table10[[#This Row],[Date]]-DAY(Table10[[#This Row],[Date]])+1</f>
        <v>45778</v>
      </c>
      <c r="F50" s="259">
        <v>45788</v>
      </c>
      <c r="G50" s="102" t="s">
        <v>647</v>
      </c>
      <c r="H50" s="102" t="str">
        <f>IFERROR(_xlfn.XLOOKUP(Table10[[#This Row],[Affected Feeder ]],'Basic Data'!$A$43:$A$70,'Basic Data'!$B$43:$B$70),"")</f>
        <v>TQGXIIPL</v>
      </c>
      <c r="I50" s="102" t="str">
        <f>IFERROR(_xlfn.XLOOKUP(Table10[[#This Row],[Affected Feeder ]],'Basic Data'!$A$43:$A$70,'Basic Data'!$C$43:$C$70),"")</f>
        <v>GEDA</v>
      </c>
      <c r="J50" s="271">
        <f>IFERROR(_xlfn.XLOOKUP(Table10[[#This Row],[Affected Feeder ]],'Basic Data'!$A$43:$A$70,'Basic Data'!$E$43:$E$70),"")</f>
        <v>0.49999999999999978</v>
      </c>
      <c r="K50" s="272" t="s">
        <v>674</v>
      </c>
      <c r="L50" s="273">
        <v>0.68125000000000002</v>
      </c>
      <c r="M50" s="273">
        <v>0.68125000000000002</v>
      </c>
      <c r="N50" s="273">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272" t="s">
        <v>675</v>
      </c>
      <c r="S50" s="102" t="s">
        <v>268</v>
      </c>
      <c r="T50" s="274">
        <f>IFERROR(Table10[[#This Row],[Breakdown Time]]*Table10[[#This Row],[Plant Equivalent Weightage]],"")</f>
        <v>0.53333333333333255</v>
      </c>
      <c r="U50" s="102" t="s">
        <v>637</v>
      </c>
      <c r="V50" s="288">
        <f>IFERROR(_xlfn.XLOOKUP(Table10[[#This Row],[Date]],'Daily KPI'!$A:$A,'Daily KPI'!$M:$M),"")</f>
        <v>4.7261538461538457</v>
      </c>
      <c r="W50" s="102">
        <v>340</v>
      </c>
      <c r="X50" s="102">
        <f>Table10[[#This Row],[WTG Loss]]*13*Table10[[#This Row],[Breakdown Time]]</f>
        <v>4714.6666666666615</v>
      </c>
      <c r="Y50" s="102" t="s">
        <v>638</v>
      </c>
      <c r="Z50" s="102"/>
      <c r="AA50" s="102"/>
    </row>
    <row r="51" spans="1:27">
      <c r="A51" s="102">
        <f t="shared" si="1"/>
        <v>50</v>
      </c>
      <c r="B51" s="102">
        <f>YEAR(Table10[[#This Row],[Date]])+IF(MONTH(Table10[[#This Row],[Date]])&gt;=4,1,0)</f>
        <v>2026</v>
      </c>
      <c r="C51" s="102">
        <f>YEAR(Table10[[#This Row],[Date]])</f>
        <v>2025</v>
      </c>
      <c r="D51" s="102" t="s">
        <v>634</v>
      </c>
      <c r="E51" s="258">
        <f>Table10[[#This Row],[Date]]-DAY(Table10[[#This Row],[Date]])+1</f>
        <v>45778</v>
      </c>
      <c r="F51" s="259">
        <v>45788</v>
      </c>
      <c r="G51" s="102" t="s">
        <v>639</v>
      </c>
      <c r="H51" s="102" t="str">
        <f>IFERROR(_xlfn.XLOOKUP(Table10[[#This Row],[Affected Feeder ]],'Basic Data'!$A$43:$A$70,'Basic Data'!$B$43:$B$70),"")</f>
        <v>TQGXIIPL</v>
      </c>
      <c r="I51" s="102" t="str">
        <f>IFERROR(_xlfn.XLOOKUP(Table10[[#This Row],[Affected Feeder ]],'Basic Data'!$A$43:$A$70,'Basic Data'!$C$43:$C$70),"")</f>
        <v>GEDA</v>
      </c>
      <c r="J51" s="271">
        <f>IFERROR(_xlfn.XLOOKUP(Table10[[#This Row],[Affected Feeder ]],'Basic Data'!$A$43:$A$70,'Basic Data'!$E$43:$E$70),"")</f>
        <v>0.49999999999999978</v>
      </c>
      <c r="K51" s="272" t="s">
        <v>687</v>
      </c>
      <c r="L51" s="273">
        <v>0.73472222222222228</v>
      </c>
      <c r="M51" s="273">
        <v>0.73472222222222228</v>
      </c>
      <c r="N51" s="273">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272" t="s">
        <v>688</v>
      </c>
      <c r="S51" s="102" t="s">
        <v>268</v>
      </c>
      <c r="T51" s="274">
        <f>IFERROR(Table10[[#This Row],[Breakdown Time]]*Table10[[#This Row],[Plant Equivalent Weightage]],"")</f>
        <v>0.26666666666666561</v>
      </c>
      <c r="U51" s="102" t="s">
        <v>637</v>
      </c>
      <c r="V51" s="288">
        <f>IFERROR(_xlfn.XLOOKUP(Table10[[#This Row],[Date]],'Daily KPI'!$A:$A,'Daily KPI'!$M:$M),"")</f>
        <v>4.7261538461538457</v>
      </c>
      <c r="W51" s="102">
        <v>340</v>
      </c>
      <c r="X51" s="102">
        <f>Table10[[#This Row],[WTG Loss]]*13*Table10[[#This Row],[Breakdown Time]]</f>
        <v>2357.3333333333248</v>
      </c>
      <c r="Y51" s="102" t="s">
        <v>638</v>
      </c>
      <c r="Z51" s="102"/>
      <c r="AA51" s="102"/>
    </row>
    <row r="52" spans="1:27">
      <c r="A52" s="102">
        <f t="shared" si="1"/>
        <v>51</v>
      </c>
      <c r="B52" s="102">
        <f>YEAR(Table10[[#This Row],[Date]])+IF(MONTH(Table10[[#This Row],[Date]])&gt;=4,1,0)</f>
        <v>2026</v>
      </c>
      <c r="C52" s="102">
        <f>YEAR(Table10[[#This Row],[Date]])</f>
        <v>2025</v>
      </c>
      <c r="D52" s="102" t="s">
        <v>634</v>
      </c>
      <c r="E52" s="258">
        <f>Table10[[#This Row],[Date]]-DAY(Table10[[#This Row],[Date]])+1</f>
        <v>45778</v>
      </c>
      <c r="F52" s="259">
        <v>45788</v>
      </c>
      <c r="G52" s="102" t="s">
        <v>133</v>
      </c>
      <c r="H52" s="102" t="str">
        <f>IFERROR(_xlfn.XLOOKUP(Table10[[#This Row],[Affected Feeder ]],'Basic Data'!$A$43:$A$70,'Basic Data'!$B$43:$B$70),"")</f>
        <v>TQGXIIPL</v>
      </c>
      <c r="I52" s="102" t="str">
        <f>IFERROR(_xlfn.XLOOKUP(Table10[[#This Row],[Affected Feeder ]],'Basic Data'!$A$43:$A$70,'Basic Data'!$C$43:$C$70),"")</f>
        <v>GEDA</v>
      </c>
      <c r="J52" s="271">
        <f>IFERROR(_xlfn.XLOOKUP(Table10[[#This Row],[Affected Feeder ]],'Basic Data'!$A$43:$A$70,'Basic Data'!$E$43:$E$70),"")</f>
        <v>3.846153846153845E-2</v>
      </c>
      <c r="K52" s="272" t="s">
        <v>689</v>
      </c>
      <c r="L52" s="273">
        <v>0.72638888888888886</v>
      </c>
      <c r="M52" s="273">
        <v>0.72638888888888886</v>
      </c>
      <c r="N52" s="273">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272" t="s">
        <v>690</v>
      </c>
      <c r="S52" s="102" t="s">
        <v>268</v>
      </c>
      <c r="T52" s="274">
        <f>IFERROR(Table10[[#This Row],[Breakdown Time]]*Table10[[#This Row],[Plant Equivalent Weightage]],"")</f>
        <v>7.3076923076923109E-2</v>
      </c>
      <c r="U52" s="102" t="s">
        <v>637</v>
      </c>
      <c r="V52" s="288">
        <f>IFERROR(_xlfn.XLOOKUP(Table10[[#This Row],[Date]],'Daily KPI'!$A:$A,'Daily KPI'!$M:$M),"")</f>
        <v>4.7261538461538457</v>
      </c>
      <c r="W52" s="102">
        <v>340</v>
      </c>
      <c r="X52" s="102">
        <f>Table10[[#This Row],[WTG Loss]]*1*Table10[[#This Row],[Breakdown Time]]</f>
        <v>646.00000000000045</v>
      </c>
      <c r="Y52" s="102" t="s">
        <v>638</v>
      </c>
      <c r="Z52" s="102"/>
      <c r="AA52" s="102"/>
    </row>
    <row r="53" spans="1:27">
      <c r="A53" s="102">
        <f t="shared" si="1"/>
        <v>52</v>
      </c>
      <c r="B53" s="102">
        <f>YEAR(Table10[[#This Row],[Date]])+IF(MONTH(Table10[[#This Row],[Date]])&gt;=4,1,0)</f>
        <v>2026</v>
      </c>
      <c r="C53" s="102">
        <f>YEAR(Table10[[#This Row],[Date]])</f>
        <v>2025</v>
      </c>
      <c r="D53" s="102" t="s">
        <v>634</v>
      </c>
      <c r="E53" s="258">
        <f>Table10[[#This Row],[Date]]-DAY(Table10[[#This Row],[Date]])+1</f>
        <v>45778</v>
      </c>
      <c r="F53" s="259">
        <v>45788</v>
      </c>
      <c r="G53" s="102" t="s">
        <v>647</v>
      </c>
      <c r="H53" s="102" t="str">
        <f>IFERROR(_xlfn.XLOOKUP(Table10[[#This Row],[Affected Feeder ]],'Basic Data'!$A$43:$A$70,'Basic Data'!$B$43:$B$70),"")</f>
        <v>TQGXIIPL</v>
      </c>
      <c r="I53" s="102" t="str">
        <f>IFERROR(_xlfn.XLOOKUP(Table10[[#This Row],[Affected Feeder ]],'Basic Data'!$A$43:$A$70,'Basic Data'!$C$43:$C$70),"")</f>
        <v>GEDA</v>
      </c>
      <c r="J53" s="271">
        <f>IFERROR(_xlfn.XLOOKUP(Table10[[#This Row],[Affected Feeder ]],'Basic Data'!$A$43:$A$70,'Basic Data'!$E$43:$E$70),"")</f>
        <v>0.49999999999999978</v>
      </c>
      <c r="K53" s="272" t="s">
        <v>691</v>
      </c>
      <c r="L53" s="273">
        <v>0</v>
      </c>
      <c r="M53" s="273">
        <v>0</v>
      </c>
      <c r="N53" s="273">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272" t="s">
        <v>691</v>
      </c>
      <c r="S53" s="102" t="s">
        <v>268</v>
      </c>
      <c r="T53" s="274">
        <f>IFERROR(Table10[[#This Row],[Breakdown Time]]*Table10[[#This Row],[Plant Equivalent Weightage]],"")</f>
        <v>4.9999999999999982E-2</v>
      </c>
      <c r="U53" s="102" t="s">
        <v>637</v>
      </c>
      <c r="V53" s="288">
        <f>IFERROR(_xlfn.XLOOKUP(Table10[[#This Row],[Date]],'Daily KPI'!$A:$A,'Daily KPI'!$M:$M),"")</f>
        <v>4.7261538461538457</v>
      </c>
      <c r="W53" s="102">
        <v>340</v>
      </c>
      <c r="X53" s="102">
        <f>Table10[[#This Row],[WTG Loss]]*13*Table10[[#This Row],[Breakdown Time]]</f>
        <v>442</v>
      </c>
      <c r="Y53" s="102" t="s">
        <v>638</v>
      </c>
      <c r="Z53" s="102"/>
      <c r="AA53" s="102"/>
    </row>
    <row r="54" spans="1:27">
      <c r="A54" s="102">
        <f t="shared" si="1"/>
        <v>53</v>
      </c>
      <c r="B54" s="102">
        <f>YEAR(Table10[[#This Row],[Date]])+IF(MONTH(Table10[[#This Row],[Date]])&gt;=4,1,0)</f>
        <v>2026</v>
      </c>
      <c r="C54" s="102">
        <f>YEAR(Table10[[#This Row],[Date]])</f>
        <v>2025</v>
      </c>
      <c r="D54" s="102" t="s">
        <v>634</v>
      </c>
      <c r="E54" s="258">
        <f>Table10[[#This Row],[Date]]-DAY(Table10[[#This Row],[Date]])+1</f>
        <v>45778</v>
      </c>
      <c r="F54" s="259">
        <v>45789</v>
      </c>
      <c r="G54" s="102" t="s">
        <v>647</v>
      </c>
      <c r="H54" s="102" t="str">
        <f>IFERROR(_xlfn.XLOOKUP(Table10[[#This Row],[Affected Feeder ]],'Basic Data'!$A$43:$A$70,'Basic Data'!$B$43:$B$70),"")</f>
        <v>TQGXIIPL</v>
      </c>
      <c r="I54" s="102" t="str">
        <f>IFERROR(_xlfn.XLOOKUP(Table10[[#This Row],[Affected Feeder ]],'Basic Data'!$A$43:$A$70,'Basic Data'!$C$43:$C$70),"")</f>
        <v>GEDA</v>
      </c>
      <c r="J54" s="271">
        <f>IFERROR(_xlfn.XLOOKUP(Table10[[#This Row],[Affected Feeder ]],'Basic Data'!$A$43:$A$70,'Basic Data'!$E$43:$E$70),"")</f>
        <v>0.49999999999999978</v>
      </c>
      <c r="K54" s="272" t="s">
        <v>674</v>
      </c>
      <c r="L54" s="273">
        <v>0.63611111111111107</v>
      </c>
      <c r="M54" s="273">
        <v>0.63611111111111107</v>
      </c>
      <c r="N54" s="273">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272" t="s">
        <v>675</v>
      </c>
      <c r="S54" s="102" t="s">
        <v>268</v>
      </c>
      <c r="T54" s="274">
        <f>IFERROR(Table10[[#This Row],[Breakdown Time]]*Table10[[#This Row],[Plant Equivalent Weightage]],"")</f>
        <v>0.5833333333333337</v>
      </c>
      <c r="U54" s="102" t="s">
        <v>637</v>
      </c>
      <c r="V54" s="288">
        <f>IFERROR(_xlfn.XLOOKUP(Table10[[#This Row],[Date]],'Daily KPI'!$A:$A,'Daily KPI'!$M:$M),"")</f>
        <v>4.9300000000000006</v>
      </c>
      <c r="W54" s="102">
        <v>384</v>
      </c>
      <c r="X54" s="102">
        <f>Table10[[#This Row],[WTG Loss]]*13*Table10[[#This Row],[Breakdown Time]]</f>
        <v>5824.0000000000055</v>
      </c>
      <c r="Y54" s="102" t="s">
        <v>638</v>
      </c>
      <c r="Z54" s="102"/>
      <c r="AA54" s="102"/>
    </row>
    <row r="55" spans="1:27">
      <c r="A55" s="102">
        <f t="shared" si="1"/>
        <v>54</v>
      </c>
      <c r="B55" s="102">
        <f>YEAR(Table10[[#This Row],[Date]])+IF(MONTH(Table10[[#This Row],[Date]])&gt;=4,1,0)</f>
        <v>2026</v>
      </c>
      <c r="C55" s="102">
        <f>YEAR(Table10[[#This Row],[Date]])</f>
        <v>2025</v>
      </c>
      <c r="D55" s="102" t="s">
        <v>634</v>
      </c>
      <c r="E55" s="258">
        <f>Table10[[#This Row],[Date]]-DAY(Table10[[#This Row],[Date]])+1</f>
        <v>45778</v>
      </c>
      <c r="F55" s="259">
        <v>45789</v>
      </c>
      <c r="G55" s="102" t="s">
        <v>133</v>
      </c>
      <c r="H55" s="102" t="str">
        <f>IFERROR(_xlfn.XLOOKUP(Table10[[#This Row],[Affected Feeder ]],'Basic Data'!$A$43:$A$70,'Basic Data'!$B$43:$B$70),"")</f>
        <v>TQGXIIPL</v>
      </c>
      <c r="I55" s="102" t="str">
        <f>IFERROR(_xlfn.XLOOKUP(Table10[[#This Row],[Affected Feeder ]],'Basic Data'!$A$43:$A$70,'Basic Data'!$C$43:$C$70),"")</f>
        <v>GEDA</v>
      </c>
      <c r="J55" s="271">
        <f>IFERROR(_xlfn.XLOOKUP(Table10[[#This Row],[Affected Feeder ]],'Basic Data'!$A$43:$A$70,'Basic Data'!$E$43:$E$70),"")</f>
        <v>3.846153846153845E-2</v>
      </c>
      <c r="K55" s="272" t="s">
        <v>692</v>
      </c>
      <c r="L55" s="273">
        <v>0.68541666666666667</v>
      </c>
      <c r="M55" s="273">
        <v>0.68541666666666667</v>
      </c>
      <c r="N55" s="273">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272" t="s">
        <v>693</v>
      </c>
      <c r="S55" s="102" t="s">
        <v>268</v>
      </c>
      <c r="T55" s="274">
        <f>IFERROR(Table10[[#This Row],[Breakdown Time]]*Table10[[#This Row],[Plant Equivalent Weightage]],"")</f>
        <v>0.16346153846153844</v>
      </c>
      <c r="U55" s="102" t="s">
        <v>637</v>
      </c>
      <c r="V55" s="288">
        <f>IFERROR(_xlfn.XLOOKUP(Table10[[#This Row],[Date]],'Daily KPI'!$A:$A,'Daily KPI'!$M:$M),"")</f>
        <v>4.9300000000000006</v>
      </c>
      <c r="W55" s="102">
        <v>384</v>
      </c>
      <c r="X55" s="102">
        <f>Table10[[#This Row],[WTG Loss]]*1*Table10[[#This Row],[Breakdown Time]]</f>
        <v>1632.0000000000005</v>
      </c>
      <c r="Y55" s="102" t="s">
        <v>638</v>
      </c>
      <c r="Z55" s="102"/>
      <c r="AA55" s="102"/>
    </row>
    <row r="56" spans="1:27">
      <c r="A56" s="102">
        <f t="shared" si="1"/>
        <v>55</v>
      </c>
      <c r="B56" s="102">
        <f>YEAR(Table10[[#This Row],[Date]])+IF(MONTH(Table10[[#This Row],[Date]])&gt;=4,1,0)</f>
        <v>2026</v>
      </c>
      <c r="C56" s="102">
        <f>YEAR(Table10[[#This Row],[Date]])</f>
        <v>2025</v>
      </c>
      <c r="D56" s="102" t="s">
        <v>634</v>
      </c>
      <c r="E56" s="258">
        <f>Table10[[#This Row],[Date]]-DAY(Table10[[#This Row],[Date]])+1</f>
        <v>45778</v>
      </c>
      <c r="F56" s="259">
        <v>45790</v>
      </c>
      <c r="G56" s="102" t="s">
        <v>121</v>
      </c>
      <c r="H56" s="102" t="str">
        <f>IFERROR(_xlfn.XLOOKUP(Table10[[#This Row],[Affected Feeder ]],'Basic Data'!$A$43:$A$70,'Basic Data'!$B$43:$B$70),"")</f>
        <v>TQGXIIPL</v>
      </c>
      <c r="I56" s="102" t="str">
        <f>IFERROR(_xlfn.XLOOKUP(Table10[[#This Row],[Affected Feeder ]],'Basic Data'!$A$43:$A$70,'Basic Data'!$C$43:$C$70),"")</f>
        <v>GEDA</v>
      </c>
      <c r="J56" s="271">
        <f>IFERROR(_xlfn.XLOOKUP(Table10[[#This Row],[Affected Feeder ]],'Basic Data'!$A$43:$A$70,'Basic Data'!$E$43:$E$70),"")</f>
        <v>3.846153846153845E-2</v>
      </c>
      <c r="K56" s="272" t="s">
        <v>679</v>
      </c>
      <c r="L56" s="273">
        <v>0.93680555555555556</v>
      </c>
      <c r="M56" s="273">
        <v>0.93680555555555556</v>
      </c>
      <c r="N56" s="273">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272" t="s">
        <v>694</v>
      </c>
      <c r="S56" s="102" t="s">
        <v>268</v>
      </c>
      <c r="T56" s="274">
        <f>IFERROR(Table10[[#This Row],[Breakdown Time]]*Table10[[#This Row],[Plant Equivalent Weightage]],"")</f>
        <v>5.8322649572649585E-2</v>
      </c>
      <c r="U56" s="102" t="s">
        <v>637</v>
      </c>
      <c r="V56" s="288">
        <f>IFERROR(_xlfn.XLOOKUP(Table10[[#This Row],[Date]],'Daily KPI'!$A:$A,'Daily KPI'!$M:$M),"")</f>
        <v>5.2229000333455513</v>
      </c>
      <c r="W56" s="102">
        <v>469.4</v>
      </c>
      <c r="X56" s="102">
        <f>Table10[[#This Row],[WTG Loss]]*1*Table10[[#This Row],[Breakdown Time]]</f>
        <v>711.79294444444474</v>
      </c>
      <c r="Y56" s="102" t="s">
        <v>638</v>
      </c>
      <c r="Z56" s="102"/>
      <c r="AA56" s="102"/>
    </row>
    <row r="57" spans="1:27">
      <c r="A57" s="102">
        <f t="shared" si="1"/>
        <v>56</v>
      </c>
      <c r="B57" s="102">
        <f>YEAR(Table10[[#This Row],[Date]])+IF(MONTH(Table10[[#This Row],[Date]])&gt;=4,1,0)</f>
        <v>2026</v>
      </c>
      <c r="C57" s="102">
        <f>YEAR(Table10[[#This Row],[Date]])</f>
        <v>2025</v>
      </c>
      <c r="D57" s="102" t="s">
        <v>634</v>
      </c>
      <c r="E57" s="258">
        <f>Table10[[#This Row],[Date]]-DAY(Table10[[#This Row],[Date]])+1</f>
        <v>45778</v>
      </c>
      <c r="F57" s="259">
        <v>45791</v>
      </c>
      <c r="G57" s="102" t="s">
        <v>121</v>
      </c>
      <c r="H57" s="102" t="str">
        <f>IFERROR(_xlfn.XLOOKUP(Table10[[#This Row],[Affected Feeder ]],'Basic Data'!$A$43:$A$70,'Basic Data'!$B$43:$B$70),"")</f>
        <v>TQGXIIPL</v>
      </c>
      <c r="I57" s="102" t="str">
        <f>IFERROR(_xlfn.XLOOKUP(Table10[[#This Row],[Affected Feeder ]],'Basic Data'!$A$43:$A$70,'Basic Data'!$C$43:$C$70),"")</f>
        <v>GEDA</v>
      </c>
      <c r="J57" s="271">
        <f>IFERROR(_xlfn.XLOOKUP(Table10[[#This Row],[Affected Feeder ]],'Basic Data'!$A$43:$A$70,'Basic Data'!$E$43:$E$70),"")</f>
        <v>3.846153846153845E-2</v>
      </c>
      <c r="K57" s="272" t="s">
        <v>679</v>
      </c>
      <c r="L57" s="273">
        <v>0</v>
      </c>
      <c r="M57" s="273">
        <v>0</v>
      </c>
      <c r="N57" s="273">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272" t="s">
        <v>695</v>
      </c>
      <c r="S57" s="102" t="s">
        <v>268</v>
      </c>
      <c r="T57" s="274">
        <f>IFERROR(Table10[[#This Row],[Breakdown Time]]*Table10[[#This Row],[Plant Equivalent Weightage]],"")</f>
        <v>3.8461538461538451E-3</v>
      </c>
      <c r="U57" s="102" t="s">
        <v>637</v>
      </c>
      <c r="V57" s="288">
        <f>IFERROR(_xlfn.XLOOKUP(Table10[[#This Row],[Date]],'Daily KPI'!$A:$A,'Daily KPI'!$M:$M),"")</f>
        <v>5.1362116483646725</v>
      </c>
      <c r="W57" s="102">
        <v>437.7</v>
      </c>
      <c r="X57" s="102">
        <f>Table10[[#This Row],[WTG Loss]]*1*Table10[[#This Row],[Breakdown Time]]</f>
        <v>43.77</v>
      </c>
      <c r="Y57" s="102" t="s">
        <v>638</v>
      </c>
      <c r="Z57" s="102"/>
      <c r="AA57" s="102"/>
    </row>
    <row r="58" spans="1:27">
      <c r="A58" s="102">
        <f t="shared" si="1"/>
        <v>57</v>
      </c>
      <c r="B58" s="102">
        <f>YEAR(Table10[[#This Row],[Date]])+IF(MONTH(Table10[[#This Row],[Date]])&gt;=4,1,0)</f>
        <v>2026</v>
      </c>
      <c r="C58" s="102">
        <f>YEAR(Table10[[#This Row],[Date]])</f>
        <v>2025</v>
      </c>
      <c r="D58" s="102" t="s">
        <v>634</v>
      </c>
      <c r="E58" s="258">
        <f>Table10[[#This Row],[Date]]-DAY(Table10[[#This Row],[Date]])+1</f>
        <v>45778</v>
      </c>
      <c r="F58" s="259">
        <v>45791</v>
      </c>
      <c r="G58" s="102" t="s">
        <v>121</v>
      </c>
      <c r="H58" s="102" t="str">
        <f>IFERROR(_xlfn.XLOOKUP(Table10[[#This Row],[Affected Feeder ]],'Basic Data'!$A$43:$A$70,'Basic Data'!$B$43:$B$70),"")</f>
        <v>TQGXIIPL</v>
      </c>
      <c r="I58" s="102" t="str">
        <f>IFERROR(_xlfn.XLOOKUP(Table10[[#This Row],[Affected Feeder ]],'Basic Data'!$A$43:$A$70,'Basic Data'!$C$43:$C$70),"")</f>
        <v>GEDA</v>
      </c>
      <c r="J58" s="271">
        <f>IFERROR(_xlfn.XLOOKUP(Table10[[#This Row],[Affected Feeder ]],'Basic Data'!$A$43:$A$70,'Basic Data'!$E$43:$E$70),"")</f>
        <v>3.846153846153845E-2</v>
      </c>
      <c r="K58" s="272" t="s">
        <v>679</v>
      </c>
      <c r="L58" s="273">
        <v>0.34513888888888888</v>
      </c>
      <c r="M58" s="273">
        <v>0.34513888888888888</v>
      </c>
      <c r="N58" s="273">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272" t="s">
        <v>696</v>
      </c>
      <c r="S58" s="102" t="s">
        <v>268</v>
      </c>
      <c r="T58" s="274">
        <f>IFERROR(Table10[[#This Row],[Breakdown Time]]*Table10[[#This Row],[Plant Equivalent Weightage]],"")</f>
        <v>3.5256410256410277E-2</v>
      </c>
      <c r="U58" s="102" t="s">
        <v>637</v>
      </c>
      <c r="V58" s="288">
        <f>IFERROR(_xlfn.XLOOKUP(Table10[[#This Row],[Date]],'Daily KPI'!$A:$A,'Daily KPI'!$M:$M),"")</f>
        <v>5.1362116483646725</v>
      </c>
      <c r="W58" s="102">
        <v>437.7</v>
      </c>
      <c r="X58" s="102">
        <f>Table10[[#This Row],[WTG Loss]]*1*Table10[[#This Row],[Breakdown Time]]</f>
        <v>401.22500000000031</v>
      </c>
      <c r="Y58" s="102" t="s">
        <v>638</v>
      </c>
      <c r="Z58" s="102"/>
      <c r="AA58" s="102"/>
    </row>
    <row r="59" spans="1:27">
      <c r="A59" s="102">
        <f t="shared" si="1"/>
        <v>58</v>
      </c>
      <c r="B59" s="102">
        <f>YEAR(Table10[[#This Row],[Date]])+IF(MONTH(Table10[[#This Row],[Date]])&gt;=4,1,0)</f>
        <v>2026</v>
      </c>
      <c r="C59" s="102">
        <f>YEAR(Table10[[#This Row],[Date]])</f>
        <v>2025</v>
      </c>
      <c r="D59" s="102" t="s">
        <v>634</v>
      </c>
      <c r="E59" s="258">
        <f>Table10[[#This Row],[Date]]-DAY(Table10[[#This Row],[Date]])+1</f>
        <v>45778</v>
      </c>
      <c r="F59" s="259">
        <v>45791</v>
      </c>
      <c r="G59" s="102" t="s">
        <v>121</v>
      </c>
      <c r="H59" s="102" t="str">
        <f>IFERROR(_xlfn.XLOOKUP(Table10[[#This Row],[Affected Feeder ]],'Basic Data'!$A$43:$A$70,'Basic Data'!$B$43:$B$70),"")</f>
        <v>TQGXIIPL</v>
      </c>
      <c r="I59" s="102" t="str">
        <f>IFERROR(_xlfn.XLOOKUP(Table10[[#This Row],[Affected Feeder ]],'Basic Data'!$A$43:$A$70,'Basic Data'!$C$43:$C$70),"")</f>
        <v>GEDA</v>
      </c>
      <c r="J59" s="271">
        <f>IFERROR(_xlfn.XLOOKUP(Table10[[#This Row],[Affected Feeder ]],'Basic Data'!$A$43:$A$70,'Basic Data'!$E$43:$E$70),"")</f>
        <v>3.846153846153845E-2</v>
      </c>
      <c r="K59" s="272" t="s">
        <v>679</v>
      </c>
      <c r="L59" s="273">
        <v>0.86944444444444446</v>
      </c>
      <c r="M59" s="273">
        <v>0.86944444444444446</v>
      </c>
      <c r="N59" s="273">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272" t="s">
        <v>696</v>
      </c>
      <c r="S59" s="102" t="s">
        <v>268</v>
      </c>
      <c r="T59" s="274">
        <f>IFERROR(Table10[[#This Row],[Breakdown Time]]*Table10[[#This Row],[Plant Equivalent Weightage]],"")</f>
        <v>2.5641025641025644E-2</v>
      </c>
      <c r="U59" s="102" t="s">
        <v>637</v>
      </c>
      <c r="V59" s="288">
        <f>IFERROR(_xlfn.XLOOKUP(Table10[[#This Row],[Date]],'Daily KPI'!$A:$A,'Daily KPI'!$M:$M),"")</f>
        <v>5.1362116483646725</v>
      </c>
      <c r="W59" s="102">
        <v>437.7</v>
      </c>
      <c r="X59" s="102">
        <f>Table10[[#This Row],[WTG Loss]]*1*Table10[[#This Row],[Breakdown Time]]</f>
        <v>291.80000000000013</v>
      </c>
      <c r="Y59" s="102" t="s">
        <v>638</v>
      </c>
      <c r="Z59" s="102"/>
      <c r="AA59" s="102"/>
    </row>
    <row r="60" spans="1:27">
      <c r="A60" s="102">
        <f t="shared" si="1"/>
        <v>59</v>
      </c>
      <c r="B60" s="102">
        <f>YEAR(Table10[[#This Row],[Date]])+IF(MONTH(Table10[[#This Row],[Date]])&gt;=4,1,0)</f>
        <v>2026</v>
      </c>
      <c r="C60" s="102">
        <f>YEAR(Table10[[#This Row],[Date]])</f>
        <v>2025</v>
      </c>
      <c r="D60" s="102" t="s">
        <v>634</v>
      </c>
      <c r="E60" s="258">
        <f>Table10[[#This Row],[Date]]-DAY(Table10[[#This Row],[Date]])+1</f>
        <v>45778</v>
      </c>
      <c r="F60" s="259">
        <v>45792</v>
      </c>
      <c r="G60" s="102" t="s">
        <v>647</v>
      </c>
      <c r="H60" s="102" t="str">
        <f>IFERROR(_xlfn.XLOOKUP(Table10[[#This Row],[Affected Feeder ]],'Basic Data'!$A$43:$A$70,'Basic Data'!$B$43:$B$70),"")</f>
        <v>TQGXIIPL</v>
      </c>
      <c r="I60" s="102" t="str">
        <f>IFERROR(_xlfn.XLOOKUP(Table10[[#This Row],[Affected Feeder ]],'Basic Data'!$A$43:$A$70,'Basic Data'!$C$43:$C$70),"")</f>
        <v>GEDA</v>
      </c>
      <c r="J60" s="271">
        <f>IFERROR(_xlfn.XLOOKUP(Table10[[#This Row],[Affected Feeder ]],'Basic Data'!$A$43:$A$70,'Basic Data'!$E$43:$E$70),"")</f>
        <v>0.49999999999999978</v>
      </c>
      <c r="K60" s="272" t="s">
        <v>674</v>
      </c>
      <c r="L60" s="273">
        <v>0.74236111111111114</v>
      </c>
      <c r="M60" s="273">
        <v>0.74236111111111114</v>
      </c>
      <c r="N60" s="273">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272" t="s">
        <v>697</v>
      </c>
      <c r="S60" s="102" t="s">
        <v>268</v>
      </c>
      <c r="T60" s="274">
        <f>IFERROR(Table10[[#This Row],[Breakdown Time]]*Table10[[#This Row],[Plant Equivalent Weightage]],"")</f>
        <v>0.29166666666666685</v>
      </c>
      <c r="U60" s="102" t="s">
        <v>637</v>
      </c>
      <c r="V60" s="288">
        <f>IFERROR(_xlfn.XLOOKUP(Table10[[#This Row],[Date]],'Daily KPI'!$A:$A,'Daily KPI'!$M:$M),"")</f>
        <v>4.5068744442425146</v>
      </c>
      <c r="W60" s="102">
        <v>296</v>
      </c>
      <c r="X60" s="102">
        <f>Table10[[#This Row],[WTG Loss]]*13*Table10[[#This Row],[Breakdown Time]]</f>
        <v>2244.6666666666688</v>
      </c>
      <c r="Y60" s="102" t="s">
        <v>638</v>
      </c>
      <c r="Z60" s="102"/>
      <c r="AA60" s="102"/>
    </row>
    <row r="61" spans="1:27">
      <c r="A61" s="102">
        <f t="shared" si="1"/>
        <v>60</v>
      </c>
      <c r="B61" s="102">
        <f>YEAR(Table10[[#This Row],[Date]])+IF(MONTH(Table10[[#This Row],[Date]])&gt;=4,1,0)</f>
        <v>2026</v>
      </c>
      <c r="C61" s="102">
        <f>YEAR(Table10[[#This Row],[Date]])</f>
        <v>2025</v>
      </c>
      <c r="D61" s="102" t="s">
        <v>634</v>
      </c>
      <c r="E61" s="258">
        <f>Table10[[#This Row],[Date]]-DAY(Table10[[#This Row],[Date]])+1</f>
        <v>45778</v>
      </c>
      <c r="F61" s="259">
        <v>45792</v>
      </c>
      <c r="G61" s="102" t="s">
        <v>647</v>
      </c>
      <c r="H61" s="102" t="str">
        <f>IFERROR(_xlfn.XLOOKUP(Table10[[#This Row],[Affected Feeder ]],'Basic Data'!$A$43:$A$70,'Basic Data'!$B$43:$B$70),"")</f>
        <v>TQGXIIPL</v>
      </c>
      <c r="I61" s="102" t="str">
        <f>IFERROR(_xlfn.XLOOKUP(Table10[[#This Row],[Affected Feeder ]],'Basic Data'!$A$43:$A$70,'Basic Data'!$C$43:$C$70),"")</f>
        <v>GEDA</v>
      </c>
      <c r="J61" s="271">
        <f>IFERROR(_xlfn.XLOOKUP(Table10[[#This Row],[Affected Feeder ]],'Basic Data'!$A$43:$A$70,'Basic Data'!$E$43:$E$70),"")</f>
        <v>0.49999999999999978</v>
      </c>
      <c r="K61" s="272" t="s">
        <v>698</v>
      </c>
      <c r="L61" s="273">
        <v>0.8930555555555556</v>
      </c>
      <c r="M61" s="273">
        <v>0.8930555555555556</v>
      </c>
      <c r="N61" s="273">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272" t="s">
        <v>699</v>
      </c>
      <c r="S61" s="102" t="s">
        <v>268</v>
      </c>
      <c r="T61" s="274">
        <f>IFERROR(Table10[[#This Row],[Breakdown Time]]*Table10[[#This Row],[Plant Equivalent Weightage]],"")</f>
        <v>5.8333333333333098E-2</v>
      </c>
      <c r="U61" s="102" t="s">
        <v>637</v>
      </c>
      <c r="V61" s="288">
        <f>IFERROR(_xlfn.XLOOKUP(Table10[[#This Row],[Date]],'Daily KPI'!$A:$A,'Daily KPI'!$M:$M),"")</f>
        <v>4.5068744442425146</v>
      </c>
      <c r="W61" s="102">
        <v>296</v>
      </c>
      <c r="X61" s="102">
        <f>Table10[[#This Row],[WTG Loss]]*13*Table10[[#This Row],[Breakdown Time]]</f>
        <v>448.93333333333175</v>
      </c>
      <c r="Y61" s="102" t="s">
        <v>638</v>
      </c>
      <c r="Z61" s="102"/>
      <c r="AA61" s="102"/>
    </row>
    <row r="62" spans="1:27">
      <c r="A62" s="102">
        <f t="shared" si="1"/>
        <v>61</v>
      </c>
      <c r="B62" s="102">
        <f>YEAR(Table10[[#This Row],[Date]])+IF(MONTH(Table10[[#This Row],[Date]])&gt;=4,1,0)</f>
        <v>2026</v>
      </c>
      <c r="C62" s="102">
        <f>YEAR(Table10[[#This Row],[Date]])</f>
        <v>2025</v>
      </c>
      <c r="D62" s="102" t="s">
        <v>634</v>
      </c>
      <c r="E62" s="258">
        <f>Table10[[#This Row],[Date]]-DAY(Table10[[#This Row],[Date]])+1</f>
        <v>45778</v>
      </c>
      <c r="F62" s="259">
        <v>45792</v>
      </c>
      <c r="G62" s="102" t="s">
        <v>131</v>
      </c>
      <c r="H62" s="102" t="str">
        <f>IFERROR(_xlfn.XLOOKUP(Table10[[#This Row],[Affected Feeder ]],'Basic Data'!$A$43:$A$70,'Basic Data'!$B$43:$B$70),"")</f>
        <v>TQGXIIPL</v>
      </c>
      <c r="I62" s="102" t="str">
        <f>IFERROR(_xlfn.XLOOKUP(Table10[[#This Row],[Affected Feeder ]],'Basic Data'!$A$43:$A$70,'Basic Data'!$C$43:$C$70),"")</f>
        <v>GEDA</v>
      </c>
      <c r="J62" s="271">
        <f>IFERROR(_xlfn.XLOOKUP(Table10[[#This Row],[Affected Feeder ]],'Basic Data'!$A$43:$A$70,'Basic Data'!$E$43:$E$70),"")</f>
        <v>3.846153846153845E-2</v>
      </c>
      <c r="K62" s="272" t="s">
        <v>683</v>
      </c>
      <c r="L62" s="273">
        <v>0.76666666666666672</v>
      </c>
      <c r="M62" s="273">
        <v>0.76666666666666672</v>
      </c>
      <c r="N62" s="273">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272" t="s">
        <v>700</v>
      </c>
      <c r="S62" s="102" t="s">
        <v>268</v>
      </c>
      <c r="T62" s="274">
        <f>IFERROR(Table10[[#This Row],[Breakdown Time]]*Table10[[#This Row],[Plant Equivalent Weightage]],"")</f>
        <v>0.11666666666666663</v>
      </c>
      <c r="U62" s="102" t="s">
        <v>637</v>
      </c>
      <c r="V62" s="288">
        <f>IFERROR(_xlfn.XLOOKUP(Table10[[#This Row],[Date]],'Daily KPI'!$A:$A,'Daily KPI'!$M:$M),"")</f>
        <v>4.5068744442425146</v>
      </c>
      <c r="W62" s="102">
        <v>296</v>
      </c>
      <c r="X62" s="102">
        <f>Table10[[#This Row],[WTG Loss]]*1*Table10[[#This Row],[Breakdown Time]]</f>
        <v>897.86666666666667</v>
      </c>
      <c r="Y62" s="102" t="s">
        <v>638</v>
      </c>
      <c r="Z62" s="102"/>
      <c r="AA62" s="102"/>
    </row>
    <row r="63" spans="1:27">
      <c r="A63" s="102">
        <f t="shared" si="1"/>
        <v>62</v>
      </c>
      <c r="B63" s="102">
        <f>YEAR(Table10[[#This Row],[Date]])+IF(MONTH(Table10[[#This Row],[Date]])&gt;=4,1,0)</f>
        <v>2026</v>
      </c>
      <c r="C63" s="102">
        <f>YEAR(Table10[[#This Row],[Date]])</f>
        <v>2025</v>
      </c>
      <c r="D63" s="102" t="s">
        <v>634</v>
      </c>
      <c r="E63" s="258">
        <f>Table10[[#This Row],[Date]]-DAY(Table10[[#This Row],[Date]])+1</f>
        <v>45778</v>
      </c>
      <c r="F63" s="259">
        <v>45792</v>
      </c>
      <c r="G63" s="102" t="s">
        <v>136</v>
      </c>
      <c r="H63" s="102" t="str">
        <f>IFERROR(_xlfn.XLOOKUP(Table10[[#This Row],[Affected Feeder ]],'Basic Data'!$A$43:$A$70,'Basic Data'!$B$43:$B$70),"")</f>
        <v>TQGXIIPL</v>
      </c>
      <c r="I63" s="102" t="str">
        <f>IFERROR(_xlfn.XLOOKUP(Table10[[#This Row],[Affected Feeder ]],'Basic Data'!$A$43:$A$70,'Basic Data'!$C$43:$C$70),"")</f>
        <v>GEDA</v>
      </c>
      <c r="J63" s="271">
        <f>IFERROR(_xlfn.XLOOKUP(Table10[[#This Row],[Affected Feeder ]],'Basic Data'!$A$43:$A$70,'Basic Data'!$E$43:$E$70),"")</f>
        <v>3.846153846153845E-2</v>
      </c>
      <c r="K63" s="272" t="s">
        <v>685</v>
      </c>
      <c r="L63" s="273">
        <v>0.76666666666666672</v>
      </c>
      <c r="M63" s="273">
        <v>0.76666666666666672</v>
      </c>
      <c r="N63" s="273">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272" t="s">
        <v>700</v>
      </c>
      <c r="S63" s="102" t="s">
        <v>268</v>
      </c>
      <c r="T63" s="274">
        <f>IFERROR(Table10[[#This Row],[Breakdown Time]]*Table10[[#This Row],[Plant Equivalent Weightage]],"")</f>
        <v>0.11666666666666663</v>
      </c>
      <c r="U63" s="102" t="s">
        <v>637</v>
      </c>
      <c r="V63" s="288">
        <f>IFERROR(_xlfn.XLOOKUP(Table10[[#This Row],[Date]],'Daily KPI'!$A:$A,'Daily KPI'!$M:$M),"")</f>
        <v>4.5068744442425146</v>
      </c>
      <c r="W63" s="102">
        <v>296</v>
      </c>
      <c r="X63" s="102">
        <f>Table10[[#This Row],[WTG Loss]]*1*Table10[[#This Row],[Breakdown Time]]</f>
        <v>897.86666666666667</v>
      </c>
      <c r="Y63" s="102" t="s">
        <v>638</v>
      </c>
      <c r="Z63" s="102"/>
      <c r="AA63" s="102"/>
    </row>
    <row r="64" spans="1:27">
      <c r="A64" s="102">
        <f t="shared" si="1"/>
        <v>63</v>
      </c>
      <c r="B64" s="102">
        <f>YEAR(Table10[[#This Row],[Date]])+IF(MONTH(Table10[[#This Row],[Date]])&gt;=4,1,0)</f>
        <v>2026</v>
      </c>
      <c r="C64" s="102">
        <f>YEAR(Table10[[#This Row],[Date]])</f>
        <v>2025</v>
      </c>
      <c r="D64" s="102" t="s">
        <v>634</v>
      </c>
      <c r="E64" s="258">
        <f>Table10[[#This Row],[Date]]-DAY(Table10[[#This Row],[Date]])+1</f>
        <v>45778</v>
      </c>
      <c r="F64" s="259">
        <v>45793</v>
      </c>
      <c r="G64" s="102" t="s">
        <v>647</v>
      </c>
      <c r="H64" s="102" t="str">
        <f>IFERROR(_xlfn.XLOOKUP(Table10[[#This Row],[Affected Feeder ]],'Basic Data'!$A$43:$A$70,'Basic Data'!$B$43:$B$70),"")</f>
        <v>TQGXIIPL</v>
      </c>
      <c r="I64" s="102" t="str">
        <f>IFERROR(_xlfn.XLOOKUP(Table10[[#This Row],[Affected Feeder ]],'Basic Data'!$A$43:$A$70,'Basic Data'!$C$43:$C$70),"")</f>
        <v>GEDA</v>
      </c>
      <c r="J64" s="271">
        <f>IFERROR(_xlfn.XLOOKUP(Table10[[#This Row],[Affected Feeder ]],'Basic Data'!$A$43:$A$70,'Basic Data'!$E$43:$E$70),"")</f>
        <v>0.49999999999999978</v>
      </c>
      <c r="K64" s="272" t="s">
        <v>701</v>
      </c>
      <c r="L64" s="273">
        <v>0.69444444444444442</v>
      </c>
      <c r="M64" s="273">
        <v>0.69444444444444442</v>
      </c>
      <c r="N64" s="273">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272" t="s">
        <v>702</v>
      </c>
      <c r="S64" s="102" t="s">
        <v>268</v>
      </c>
      <c r="T64" s="274">
        <f>IFERROR(Table10[[#This Row],[Breakdown Time]]*Table10[[#This Row],[Plant Equivalent Weightage]],"")</f>
        <v>0.8249999999999994</v>
      </c>
      <c r="U64" s="102" t="s">
        <v>637</v>
      </c>
      <c r="V64" s="288">
        <f>IFERROR(_xlfn.XLOOKUP(Table10[[#This Row],[Date]],'Daily KPI'!$A:$A,'Daily KPI'!$M:$M),"")</f>
        <v>5.4679982613248184</v>
      </c>
      <c r="W64" s="102">
        <v>564.5</v>
      </c>
      <c r="X64" s="102">
        <f>Table10[[#This Row],[WTG Loss]]*13*Table10[[#This Row],[Breakdown Time]]</f>
        <v>12108.524999999996</v>
      </c>
      <c r="Y64" s="102" t="s">
        <v>638</v>
      </c>
      <c r="Z64" s="102"/>
      <c r="AA64" s="102"/>
    </row>
    <row r="65" spans="1:27">
      <c r="A65" s="102">
        <f t="shared" si="1"/>
        <v>64</v>
      </c>
      <c r="B65" s="102">
        <f>YEAR(Table10[[#This Row],[Date]])+IF(MONTH(Table10[[#This Row],[Date]])&gt;=4,1,0)</f>
        <v>2026</v>
      </c>
      <c r="C65" s="102">
        <f>YEAR(Table10[[#This Row],[Date]])</f>
        <v>2025</v>
      </c>
      <c r="D65" s="102" t="s">
        <v>634</v>
      </c>
      <c r="E65" s="258">
        <f>Table10[[#This Row],[Date]]-DAY(Table10[[#This Row],[Date]])+1</f>
        <v>45778</v>
      </c>
      <c r="F65" s="259">
        <v>45793</v>
      </c>
      <c r="G65" s="102" t="s">
        <v>647</v>
      </c>
      <c r="H65" s="102" t="str">
        <f>IFERROR(_xlfn.XLOOKUP(Table10[[#This Row],[Affected Feeder ]],'Basic Data'!$A$43:$A$70,'Basic Data'!$B$43:$B$70),"")</f>
        <v>TQGXIIPL</v>
      </c>
      <c r="I65" s="102" t="str">
        <f>IFERROR(_xlfn.XLOOKUP(Table10[[#This Row],[Affected Feeder ]],'Basic Data'!$A$43:$A$70,'Basic Data'!$C$43:$C$70),"")</f>
        <v>GEDA</v>
      </c>
      <c r="J65" s="271">
        <f>IFERROR(_xlfn.XLOOKUP(Table10[[#This Row],[Affected Feeder ]],'Basic Data'!$A$43:$A$70,'Basic Data'!$E$43:$E$70),"")</f>
        <v>0.49999999999999978</v>
      </c>
      <c r="K65" s="272" t="s">
        <v>698</v>
      </c>
      <c r="L65" s="273">
        <v>0.7944444444444444</v>
      </c>
      <c r="M65" s="273">
        <v>0.7944444444444444</v>
      </c>
      <c r="N65" s="273">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272" t="s">
        <v>703</v>
      </c>
      <c r="S65" s="102" t="s">
        <v>268</v>
      </c>
      <c r="T65" s="274">
        <f>IFERROR(Table10[[#This Row],[Breakdown Time]]*Table10[[#This Row],[Plant Equivalent Weightage]],"")</f>
        <v>5.8333333333334431E-2</v>
      </c>
      <c r="U65" s="102" t="s">
        <v>637</v>
      </c>
      <c r="V65" s="288">
        <f>IFERROR(_xlfn.XLOOKUP(Table10[[#This Row],[Date]],'Daily KPI'!$A:$A,'Daily KPI'!$M:$M),"")</f>
        <v>5.4679982613248184</v>
      </c>
      <c r="W65" s="102">
        <v>564.5</v>
      </c>
      <c r="X65" s="102">
        <f>Table10[[#This Row],[WTG Loss]]*13*Table10[[#This Row],[Breakdown Time]]</f>
        <v>856.1583333333499</v>
      </c>
      <c r="Y65" s="102" t="s">
        <v>638</v>
      </c>
      <c r="Z65" s="102"/>
      <c r="AA65" s="102"/>
    </row>
    <row r="66" spans="1:27">
      <c r="A66" s="102">
        <f t="shared" si="1"/>
        <v>65</v>
      </c>
      <c r="B66" s="102">
        <f>YEAR(Table10[[#This Row],[Date]])+IF(MONTH(Table10[[#This Row],[Date]])&gt;=4,1,0)</f>
        <v>2026</v>
      </c>
      <c r="C66" s="102">
        <f>YEAR(Table10[[#This Row],[Date]])</f>
        <v>2025</v>
      </c>
      <c r="D66" s="102" t="s">
        <v>634</v>
      </c>
      <c r="E66" s="258">
        <f>Table10[[#This Row],[Date]]-DAY(Table10[[#This Row],[Date]])+1</f>
        <v>45778</v>
      </c>
      <c r="F66" s="259">
        <v>45793</v>
      </c>
      <c r="G66" s="102" t="s">
        <v>131</v>
      </c>
      <c r="H66" s="102" t="str">
        <f>IFERROR(_xlfn.XLOOKUP(Table10[[#This Row],[Affected Feeder ]],'Basic Data'!$A$43:$A$70,'Basic Data'!$B$43:$B$70),"")</f>
        <v>TQGXIIPL</v>
      </c>
      <c r="I66" s="102" t="str">
        <f>IFERROR(_xlfn.XLOOKUP(Table10[[#This Row],[Affected Feeder ]],'Basic Data'!$A$43:$A$70,'Basic Data'!$C$43:$C$70),"")</f>
        <v>GEDA</v>
      </c>
      <c r="J66" s="271">
        <f>IFERROR(_xlfn.XLOOKUP(Table10[[#This Row],[Affected Feeder ]],'Basic Data'!$A$43:$A$70,'Basic Data'!$E$43:$E$70),"")</f>
        <v>3.846153846153845E-2</v>
      </c>
      <c r="K66" s="272" t="s">
        <v>704</v>
      </c>
      <c r="L66" s="273">
        <v>0.66249999999999998</v>
      </c>
      <c r="M66" s="273">
        <v>0.66249999999999998</v>
      </c>
      <c r="N66" s="273">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272" t="s">
        <v>700</v>
      </c>
      <c r="S66" s="102" t="s">
        <v>268</v>
      </c>
      <c r="T66" s="274">
        <f>IFERROR(Table10[[#This Row],[Breakdown Time]]*Table10[[#This Row],[Plant Equivalent Weightage]],"")</f>
        <v>2.9487179487179476E-2</v>
      </c>
      <c r="U66" s="102" t="s">
        <v>637</v>
      </c>
      <c r="V66" s="288">
        <f>IFERROR(_xlfn.XLOOKUP(Table10[[#This Row],[Date]],'Daily KPI'!$A:$A,'Daily KPI'!$M:$M),"")</f>
        <v>5.4679982613248184</v>
      </c>
      <c r="W66" s="102">
        <v>564.5</v>
      </c>
      <c r="X66" s="102">
        <f>Table10[[#This Row],[WTG Loss]]*1*Table10[[#This Row],[Breakdown Time]]</f>
        <v>432.7833333333333</v>
      </c>
      <c r="Y66" s="102" t="s">
        <v>638</v>
      </c>
      <c r="Z66" s="102"/>
      <c r="AA66" s="102"/>
    </row>
    <row r="67" spans="1:27">
      <c r="A67" s="102">
        <f t="shared" si="1"/>
        <v>66</v>
      </c>
      <c r="B67" s="102">
        <f>YEAR(Table10[[#This Row],[Date]])+IF(MONTH(Table10[[#This Row],[Date]])&gt;=4,1,0)</f>
        <v>2026</v>
      </c>
      <c r="C67" s="102">
        <f>YEAR(Table10[[#This Row],[Date]])</f>
        <v>2025</v>
      </c>
      <c r="D67" s="102" t="s">
        <v>634</v>
      </c>
      <c r="E67" s="258">
        <f>Table10[[#This Row],[Date]]-DAY(Table10[[#This Row],[Date]])+1</f>
        <v>45778</v>
      </c>
      <c r="F67" s="259">
        <v>45793</v>
      </c>
      <c r="G67" s="102" t="s">
        <v>136</v>
      </c>
      <c r="H67" s="102" t="str">
        <f>IFERROR(_xlfn.XLOOKUP(Table10[[#This Row],[Affected Feeder ]],'Basic Data'!$A$43:$A$70,'Basic Data'!$B$43:$B$70),"")</f>
        <v>TQGXIIPL</v>
      </c>
      <c r="I67" s="102" t="str">
        <f>IFERROR(_xlfn.XLOOKUP(Table10[[#This Row],[Affected Feeder ]],'Basic Data'!$A$43:$A$70,'Basic Data'!$C$43:$C$70),"")</f>
        <v>GEDA</v>
      </c>
      <c r="J67" s="271">
        <f>IFERROR(_xlfn.XLOOKUP(Table10[[#This Row],[Affected Feeder ]],'Basic Data'!$A$43:$A$70,'Basic Data'!$E$43:$E$70),"")</f>
        <v>3.846153846153845E-2</v>
      </c>
      <c r="K67" s="272" t="s">
        <v>705</v>
      </c>
      <c r="L67" s="273">
        <v>0.66249999999999998</v>
      </c>
      <c r="M67" s="273">
        <v>0.66249999999999998</v>
      </c>
      <c r="N67" s="273">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272" t="s">
        <v>700</v>
      </c>
      <c r="S67" s="102" t="s">
        <v>268</v>
      </c>
      <c r="T67" s="274">
        <f>IFERROR(Table10[[#This Row],[Breakdown Time]]*Table10[[#This Row],[Plant Equivalent Weightage]],"")</f>
        <v>2.9487179487179476E-2</v>
      </c>
      <c r="U67" s="102" t="s">
        <v>637</v>
      </c>
      <c r="V67" s="288">
        <f>IFERROR(_xlfn.XLOOKUP(Table10[[#This Row],[Date]],'Daily KPI'!$A:$A,'Daily KPI'!$M:$M),"")</f>
        <v>5.4679982613248184</v>
      </c>
      <c r="W67" s="102">
        <v>564.5</v>
      </c>
      <c r="X67" s="102">
        <f>Table10[[#This Row],[WTG Loss]]*1*Table10[[#This Row],[Breakdown Time]]</f>
        <v>432.7833333333333</v>
      </c>
      <c r="Y67" s="102" t="s">
        <v>638</v>
      </c>
      <c r="Z67" s="102"/>
      <c r="AA67" s="102"/>
    </row>
    <row r="68" spans="1:27">
      <c r="A68" s="102">
        <f t="shared" si="1"/>
        <v>67</v>
      </c>
      <c r="B68" s="102">
        <f>YEAR(Table10[[#This Row],[Date]])+IF(MONTH(Table10[[#This Row],[Date]])&gt;=4,1,0)</f>
        <v>2026</v>
      </c>
      <c r="C68" s="102">
        <f>YEAR(Table10[[#This Row],[Date]])</f>
        <v>2025</v>
      </c>
      <c r="D68" s="102" t="s">
        <v>634</v>
      </c>
      <c r="E68" s="258">
        <f>Table10[[#This Row],[Date]]-DAY(Table10[[#This Row],[Date]])+1</f>
        <v>45778</v>
      </c>
      <c r="F68" s="259">
        <v>45793</v>
      </c>
      <c r="G68" s="102" t="s">
        <v>121</v>
      </c>
      <c r="H68" s="102" t="str">
        <f>IFERROR(_xlfn.XLOOKUP(Table10[[#This Row],[Affected Feeder ]],'Basic Data'!$A$43:$A$70,'Basic Data'!$B$43:$B$70),"")</f>
        <v>TQGXIIPL</v>
      </c>
      <c r="I68" s="102" t="str">
        <f>IFERROR(_xlfn.XLOOKUP(Table10[[#This Row],[Affected Feeder ]],'Basic Data'!$A$43:$A$70,'Basic Data'!$C$43:$C$70),"")</f>
        <v>GEDA</v>
      </c>
      <c r="J68" s="271">
        <f>IFERROR(_xlfn.XLOOKUP(Table10[[#This Row],[Affected Feeder ]],'Basic Data'!$A$43:$A$70,'Basic Data'!$E$43:$E$70),"")</f>
        <v>3.846153846153845E-2</v>
      </c>
      <c r="K68" s="272" t="s">
        <v>706</v>
      </c>
      <c r="L68" s="273">
        <v>0.7631944444444444</v>
      </c>
      <c r="M68" s="273">
        <v>0.7631944444444444</v>
      </c>
      <c r="N68" s="273">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272" t="s">
        <v>707</v>
      </c>
      <c r="S68" s="102" t="s">
        <v>268</v>
      </c>
      <c r="T68" s="274">
        <f>IFERROR(Table10[[#This Row],[Breakdown Time]]*Table10[[#This Row],[Plant Equivalent Weightage]],"")</f>
        <v>2.8846153846153837E-2</v>
      </c>
      <c r="U68" s="102" t="s">
        <v>637</v>
      </c>
      <c r="V68" s="288">
        <f>IFERROR(_xlfn.XLOOKUP(Table10[[#This Row],[Date]],'Daily KPI'!$A:$A,'Daily KPI'!$M:$M),"")</f>
        <v>5.4679982613248184</v>
      </c>
      <c r="W68" s="102">
        <v>564.5</v>
      </c>
      <c r="X68" s="102">
        <f>Table10[[#This Row],[WTG Loss]]*1*Table10[[#This Row],[Breakdown Time]]</f>
        <v>423.375</v>
      </c>
      <c r="Y68" s="102" t="s">
        <v>638</v>
      </c>
      <c r="Z68" s="102"/>
      <c r="AA68" s="102"/>
    </row>
    <row r="69" spans="1:27">
      <c r="A69" s="102">
        <f t="shared" si="1"/>
        <v>68</v>
      </c>
      <c r="B69" s="102">
        <f>YEAR(Table10[[#This Row],[Date]])+IF(MONTH(Table10[[#This Row],[Date]])&gt;=4,1,0)</f>
        <v>2026</v>
      </c>
      <c r="C69" s="102">
        <f>YEAR(Table10[[#This Row],[Date]])</f>
        <v>2025</v>
      </c>
      <c r="D69" s="102" t="s">
        <v>634</v>
      </c>
      <c r="E69" s="258">
        <f>Table10[[#This Row],[Date]]-DAY(Table10[[#This Row],[Date]])+1</f>
        <v>45778</v>
      </c>
      <c r="F69" s="259">
        <v>45793</v>
      </c>
      <c r="G69" s="102" t="s">
        <v>118</v>
      </c>
      <c r="H69" s="102" t="str">
        <f>IFERROR(_xlfn.XLOOKUP(Table10[[#This Row],[Affected Feeder ]],'Basic Data'!$A$43:$A$70,'Basic Data'!$B$43:$B$70),"")</f>
        <v>TQGXIIPL</v>
      </c>
      <c r="I69" s="102" t="str">
        <f>IFERROR(_xlfn.XLOOKUP(Table10[[#This Row],[Affected Feeder ]],'Basic Data'!$A$43:$A$70,'Basic Data'!$C$43:$C$70),"")</f>
        <v>GEDA</v>
      </c>
      <c r="J69" s="271">
        <f>IFERROR(_xlfn.XLOOKUP(Table10[[#This Row],[Affected Feeder ]],'Basic Data'!$A$43:$A$70,'Basic Data'!$E$43:$E$70),"")</f>
        <v>3.846153846153845E-2</v>
      </c>
      <c r="K69" s="272" t="s">
        <v>708</v>
      </c>
      <c r="L69" s="273">
        <v>0.7631944444444444</v>
      </c>
      <c r="M69" s="273">
        <v>0.7631944444444444</v>
      </c>
      <c r="N69" s="273">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272" t="s">
        <v>707</v>
      </c>
      <c r="S69" s="102" t="s">
        <v>268</v>
      </c>
      <c r="T69" s="274">
        <f>IFERROR(Table10[[#This Row],[Breakdown Time]]*Table10[[#This Row],[Plant Equivalent Weightage]],"")</f>
        <v>2.8846153846153837E-2</v>
      </c>
      <c r="U69" s="102" t="s">
        <v>637</v>
      </c>
      <c r="V69" s="288">
        <f>IFERROR(_xlfn.XLOOKUP(Table10[[#This Row],[Date]],'Daily KPI'!$A:$A,'Daily KPI'!$M:$M),"")</f>
        <v>5.4679982613248184</v>
      </c>
      <c r="W69" s="102">
        <v>564.5</v>
      </c>
      <c r="X69" s="102">
        <f>Table10[[#This Row],[WTG Loss]]*1*Table10[[#This Row],[Breakdown Time]]</f>
        <v>423.375</v>
      </c>
      <c r="Y69" s="102" t="s">
        <v>638</v>
      </c>
      <c r="Z69" s="102"/>
      <c r="AA69" s="102"/>
    </row>
    <row r="70" spans="1:27">
      <c r="A70" s="102">
        <f t="shared" si="1"/>
        <v>69</v>
      </c>
      <c r="B70" s="102">
        <f>YEAR(Table10[[#This Row],[Date]])+IF(MONTH(Table10[[#This Row],[Date]])&gt;=4,1,0)</f>
        <v>2026</v>
      </c>
      <c r="C70" s="102">
        <f>YEAR(Table10[[#This Row],[Date]])</f>
        <v>2025</v>
      </c>
      <c r="D70" s="102" t="s">
        <v>634</v>
      </c>
      <c r="E70" s="258">
        <f>Table10[[#This Row],[Date]]-DAY(Table10[[#This Row],[Date]])+1</f>
        <v>45778</v>
      </c>
      <c r="F70" s="259">
        <v>45793</v>
      </c>
      <c r="G70" s="102" t="s">
        <v>133</v>
      </c>
      <c r="H70" s="102" t="str">
        <f>IFERROR(_xlfn.XLOOKUP(Table10[[#This Row],[Affected Feeder ]],'Basic Data'!$A$43:$A$70,'Basic Data'!$B$43:$B$70),"")</f>
        <v>TQGXIIPL</v>
      </c>
      <c r="I70" s="102" t="str">
        <f>IFERROR(_xlfn.XLOOKUP(Table10[[#This Row],[Affected Feeder ]],'Basic Data'!$A$43:$A$70,'Basic Data'!$C$43:$C$70),"")</f>
        <v>GEDA</v>
      </c>
      <c r="J70" s="271">
        <f>IFERROR(_xlfn.XLOOKUP(Table10[[#This Row],[Affected Feeder ]],'Basic Data'!$A$43:$A$70,'Basic Data'!$E$43:$E$70),"")</f>
        <v>3.846153846153845E-2</v>
      </c>
      <c r="K70" s="272" t="s">
        <v>689</v>
      </c>
      <c r="L70" s="273">
        <v>0.7631944444444444</v>
      </c>
      <c r="M70" s="273">
        <v>0.7631944444444444</v>
      </c>
      <c r="N70" s="273">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272" t="s">
        <v>707</v>
      </c>
      <c r="S70" s="102" t="s">
        <v>268</v>
      </c>
      <c r="T70" s="274">
        <f>IFERROR(Table10[[#This Row],[Breakdown Time]]*Table10[[#This Row],[Plant Equivalent Weightage]],"")</f>
        <v>2.8846153846153837E-2</v>
      </c>
      <c r="U70" s="102" t="s">
        <v>637</v>
      </c>
      <c r="V70" s="288">
        <f>IFERROR(_xlfn.XLOOKUP(Table10[[#This Row],[Date]],'Daily KPI'!$A:$A,'Daily KPI'!$M:$M),"")</f>
        <v>5.4679982613248184</v>
      </c>
      <c r="W70" s="102">
        <v>564.5</v>
      </c>
      <c r="X70" s="102">
        <f>Table10[[#This Row],[WTG Loss]]*1*Table10[[#This Row],[Breakdown Time]]</f>
        <v>423.375</v>
      </c>
      <c r="Y70" s="102" t="s">
        <v>638</v>
      </c>
      <c r="Z70" s="102"/>
      <c r="AA70" s="102"/>
    </row>
    <row r="71" spans="1:27">
      <c r="A71" s="102">
        <f t="shared" si="1"/>
        <v>70</v>
      </c>
      <c r="B71" s="102">
        <f>YEAR(Table10[[#This Row],[Date]])+IF(MONTH(Table10[[#This Row],[Date]])&gt;=4,1,0)</f>
        <v>2026</v>
      </c>
      <c r="C71" s="102">
        <f>YEAR(Table10[[#This Row],[Date]])</f>
        <v>2025</v>
      </c>
      <c r="D71" s="102" t="s">
        <v>634</v>
      </c>
      <c r="E71" s="258">
        <f>Table10[[#This Row],[Date]]-DAY(Table10[[#This Row],[Date]])+1</f>
        <v>45778</v>
      </c>
      <c r="F71" s="259">
        <v>45794</v>
      </c>
      <c r="G71" s="102" t="s">
        <v>647</v>
      </c>
      <c r="H71" s="102" t="str">
        <f>IFERROR(_xlfn.XLOOKUP(Table10[[#This Row],[Affected Feeder ]],'Basic Data'!$A$43:$A$70,'Basic Data'!$B$43:$B$70),"")</f>
        <v>TQGXIIPL</v>
      </c>
      <c r="I71" s="102" t="str">
        <f>IFERROR(_xlfn.XLOOKUP(Table10[[#This Row],[Affected Feeder ]],'Basic Data'!$A$43:$A$70,'Basic Data'!$C$43:$C$70),"")</f>
        <v>GEDA</v>
      </c>
      <c r="J71" s="271">
        <f>IFERROR(_xlfn.XLOOKUP(Table10[[#This Row],[Affected Feeder ]],'Basic Data'!$A$43:$A$70,'Basic Data'!$E$43:$E$70),"")</f>
        <v>0.49999999999999978</v>
      </c>
      <c r="K71" s="272" t="s">
        <v>701</v>
      </c>
      <c r="L71" s="273">
        <v>0.28055555555555556</v>
      </c>
      <c r="M71" s="273">
        <v>0.28055555555555556</v>
      </c>
      <c r="N71" s="273">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272" t="s">
        <v>702</v>
      </c>
      <c r="S71" s="102" t="s">
        <v>268</v>
      </c>
      <c r="T71" s="274">
        <f>IFERROR(Table10[[#This Row],[Breakdown Time]]*Table10[[#This Row],[Plant Equivalent Weightage]],"")</f>
        <v>0.10833333333333357</v>
      </c>
      <c r="U71" s="102" t="s">
        <v>637</v>
      </c>
      <c r="V71" s="288">
        <f>IFERROR(_xlfn.XLOOKUP(Table10[[#This Row],[Date]],'Daily KPI'!$A:$A,'Daily KPI'!$M:$M),"")</f>
        <v>5.164970831219434</v>
      </c>
      <c r="W71" s="102">
        <v>469.4</v>
      </c>
      <c r="X71" s="102">
        <f>Table10[[#This Row],[WTG Loss]]*13*Table10[[#This Row],[Breakdown Time]]</f>
        <v>1322.1433333333366</v>
      </c>
      <c r="Y71" s="102" t="s">
        <v>638</v>
      </c>
      <c r="Z71" s="102"/>
      <c r="AA71" s="102"/>
    </row>
    <row r="72" spans="1:27">
      <c r="A72" s="102">
        <f t="shared" si="1"/>
        <v>71</v>
      </c>
      <c r="B72" s="102">
        <f>YEAR(Table10[[#This Row],[Date]])+IF(MONTH(Table10[[#This Row],[Date]])&gt;=4,1,0)</f>
        <v>2026</v>
      </c>
      <c r="C72" s="102">
        <f>YEAR(Table10[[#This Row],[Date]])</f>
        <v>2025</v>
      </c>
      <c r="D72" s="102" t="s">
        <v>634</v>
      </c>
      <c r="E72" s="258">
        <f>Table10[[#This Row],[Date]]-DAY(Table10[[#This Row],[Date]])+1</f>
        <v>45778</v>
      </c>
      <c r="F72" s="259">
        <v>45795</v>
      </c>
      <c r="G72" s="102" t="s">
        <v>639</v>
      </c>
      <c r="H72" s="102" t="str">
        <f>IFERROR(_xlfn.XLOOKUP(Table10[[#This Row],[Affected Feeder ]],'Basic Data'!$A$43:$A$70,'Basic Data'!$B$43:$B$70),"")</f>
        <v>TQGXIIPL</v>
      </c>
      <c r="I72" s="102" t="str">
        <f>IFERROR(_xlfn.XLOOKUP(Table10[[#This Row],[Affected Feeder ]],'Basic Data'!$A$43:$A$70,'Basic Data'!$C$43:$C$70),"")</f>
        <v>GEDA</v>
      </c>
      <c r="J72" s="271">
        <f>IFERROR(_xlfn.XLOOKUP(Table10[[#This Row],[Affected Feeder ]],'Basic Data'!$A$43:$A$70,'Basic Data'!$E$43:$E$70),"")</f>
        <v>0.49999999999999978</v>
      </c>
      <c r="K72" s="272" t="s">
        <v>709</v>
      </c>
      <c r="L72" s="273">
        <v>0.46666666666666667</v>
      </c>
      <c r="M72" s="273">
        <v>0.46666666666666667</v>
      </c>
      <c r="N72" s="273">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272" t="s">
        <v>710</v>
      </c>
      <c r="S72" s="102" t="s">
        <v>268</v>
      </c>
      <c r="T72" s="274">
        <f>IFERROR(Table10[[#This Row],[Breakdown Time]]*Table10[[#This Row],[Plant Equivalent Weightage]],"")</f>
        <v>0.61666666666666692</v>
      </c>
      <c r="U72" s="102" t="s">
        <v>637</v>
      </c>
      <c r="V72" s="288">
        <f>IFERROR(_xlfn.XLOOKUP(Table10[[#This Row],[Date]],'Daily KPI'!$A:$A,'Daily KPI'!$M:$M),"")</f>
        <v>5.0871620374231474</v>
      </c>
      <c r="W72" s="102">
        <v>437.7</v>
      </c>
      <c r="X72" s="102">
        <f>Table10[[#This Row],[WTG Loss]]*13*Table10[[#This Row],[Breakdown Time]]</f>
        <v>7017.7900000000045</v>
      </c>
      <c r="Y72" s="102" t="s">
        <v>638</v>
      </c>
      <c r="Z72" s="102"/>
      <c r="AA72" s="102"/>
    </row>
    <row r="73" spans="1:27">
      <c r="A73" s="102">
        <f t="shared" si="1"/>
        <v>72</v>
      </c>
      <c r="B73" s="102">
        <f>YEAR(Table10[[#This Row],[Date]])+IF(MONTH(Table10[[#This Row],[Date]])&gt;=4,1,0)</f>
        <v>2026</v>
      </c>
      <c r="C73" s="102">
        <f>YEAR(Table10[[#This Row],[Date]])</f>
        <v>2025</v>
      </c>
      <c r="D73" s="102" t="s">
        <v>634</v>
      </c>
      <c r="E73" s="258">
        <f>Table10[[#This Row],[Date]]-DAY(Table10[[#This Row],[Date]])+1</f>
        <v>45778</v>
      </c>
      <c r="F73" s="259">
        <v>45797</v>
      </c>
      <c r="G73" s="102" t="s">
        <v>639</v>
      </c>
      <c r="H73" s="102" t="str">
        <f>IFERROR(_xlfn.XLOOKUP(Table10[[#This Row],[Affected Feeder ]],'Basic Data'!$A$43:$A$70,'Basic Data'!$B$43:$B$70),"")</f>
        <v>TQGXIIPL</v>
      </c>
      <c r="I73" s="102" t="str">
        <f>IFERROR(_xlfn.XLOOKUP(Table10[[#This Row],[Affected Feeder ]],'Basic Data'!$A$43:$A$70,'Basic Data'!$C$43:$C$70),"")</f>
        <v>GEDA</v>
      </c>
      <c r="J73" s="271">
        <f>IFERROR(_xlfn.XLOOKUP(Table10[[#This Row],[Affected Feeder ]],'Basic Data'!$A$43:$A$70,'Basic Data'!$E$43:$E$70),"")</f>
        <v>0.49999999999999978</v>
      </c>
      <c r="K73" s="272" t="s">
        <v>711</v>
      </c>
      <c r="L73" s="273">
        <v>0.35902777777777778</v>
      </c>
      <c r="M73" s="273">
        <v>0.35902777777777778</v>
      </c>
      <c r="N73" s="273">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272" t="s">
        <v>712</v>
      </c>
      <c r="S73" s="102" t="s">
        <v>268</v>
      </c>
      <c r="T73" s="274">
        <f>IFERROR(Table10[[#This Row],[Breakdown Time]]*Table10[[#This Row],[Plant Equivalent Weightage]],"")</f>
        <v>0.14166666666666677</v>
      </c>
      <c r="U73" s="102" t="s">
        <v>637</v>
      </c>
      <c r="V73" s="288">
        <f>IFERROR(_xlfn.XLOOKUP(Table10[[#This Row],[Date]],'Daily KPI'!$A:$A,'Daily KPI'!$M:$M),"")</f>
        <v>5.2799223096243102</v>
      </c>
      <c r="W73" s="102">
        <v>501.1</v>
      </c>
      <c r="X73" s="102">
        <f>Table10[[#This Row],[WTG Loss]]*13*Table10[[#This Row],[Breakdown Time]]</f>
        <v>1845.7183333333355</v>
      </c>
      <c r="Y73" s="102" t="s">
        <v>638</v>
      </c>
      <c r="Z73" s="102"/>
      <c r="AA73" s="102"/>
    </row>
    <row r="74" spans="1:27">
      <c r="A74" s="102">
        <f t="shared" si="1"/>
        <v>73</v>
      </c>
      <c r="B74" s="102">
        <f>YEAR(Table10[[#This Row],[Date]])+IF(MONTH(Table10[[#This Row],[Date]])&gt;=4,1,0)</f>
        <v>2026</v>
      </c>
      <c r="C74" s="102">
        <f>YEAR(Table10[[#This Row],[Date]])</f>
        <v>2025</v>
      </c>
      <c r="D74" s="102" t="s">
        <v>634</v>
      </c>
      <c r="E74" s="258">
        <f>Table10[[#This Row],[Date]]-DAY(Table10[[#This Row],[Date]])+1</f>
        <v>45778</v>
      </c>
      <c r="F74" s="259">
        <v>45797</v>
      </c>
      <c r="G74" s="102" t="s">
        <v>647</v>
      </c>
      <c r="H74" s="102" t="str">
        <f>IFERROR(_xlfn.XLOOKUP(Table10[[#This Row],[Affected Feeder ]],'Basic Data'!$A$43:$A$70,'Basic Data'!$B$43:$B$70),"")</f>
        <v>TQGXIIPL</v>
      </c>
      <c r="I74" s="102" t="str">
        <f>IFERROR(_xlfn.XLOOKUP(Table10[[#This Row],[Affected Feeder ]],'Basic Data'!$A$43:$A$70,'Basic Data'!$C$43:$C$70),"")</f>
        <v>GEDA</v>
      </c>
      <c r="J74" s="271">
        <f>IFERROR(_xlfn.XLOOKUP(Table10[[#This Row],[Affected Feeder ]],'Basic Data'!$A$43:$A$70,'Basic Data'!$E$43:$E$70),"")</f>
        <v>0.49999999999999978</v>
      </c>
      <c r="K74" s="272" t="s">
        <v>674</v>
      </c>
      <c r="L74" s="273">
        <v>0.72361111111111109</v>
      </c>
      <c r="M74" s="273">
        <v>0.72361111111111109</v>
      </c>
      <c r="N74" s="273">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272" t="s">
        <v>702</v>
      </c>
      <c r="S74" s="102" t="s">
        <v>268</v>
      </c>
      <c r="T74" s="274">
        <f>IFERROR(Table10[[#This Row],[Breakdown Time]]*Table10[[#This Row],[Plant Equivalent Weightage]],"")</f>
        <v>0.15000000000000074</v>
      </c>
      <c r="U74" s="102" t="s">
        <v>637</v>
      </c>
      <c r="V74" s="288">
        <f>IFERROR(_xlfn.XLOOKUP(Table10[[#This Row],[Date]],'Daily KPI'!$A:$A,'Daily KPI'!$M:$M),"")</f>
        <v>5.2799223096243102</v>
      </c>
      <c r="W74" s="102">
        <v>501.1</v>
      </c>
      <c r="X74" s="102">
        <f>Table10[[#This Row],[WTG Loss]]*13*Table10[[#This Row],[Breakdown Time]]</f>
        <v>1954.2900000000104</v>
      </c>
      <c r="Y74" s="102" t="s">
        <v>638</v>
      </c>
      <c r="Z74" s="102"/>
      <c r="AA74" s="102"/>
    </row>
    <row r="75" spans="1:27">
      <c r="A75" s="102">
        <f t="shared" si="1"/>
        <v>74</v>
      </c>
      <c r="B75" s="102">
        <f>YEAR(Table10[[#This Row],[Date]])+IF(MONTH(Table10[[#This Row],[Date]])&gt;=4,1,0)</f>
        <v>2026</v>
      </c>
      <c r="C75" s="102">
        <f>YEAR(Table10[[#This Row],[Date]])</f>
        <v>2025</v>
      </c>
      <c r="D75" s="102" t="s">
        <v>634</v>
      </c>
      <c r="E75" s="258">
        <f>Table10[[#This Row],[Date]]-DAY(Table10[[#This Row],[Date]])+1</f>
        <v>45778</v>
      </c>
      <c r="F75" s="259">
        <v>45798</v>
      </c>
      <c r="G75" s="102" t="s">
        <v>639</v>
      </c>
      <c r="H75" s="102" t="str">
        <f>IFERROR(_xlfn.XLOOKUP(Table10[[#This Row],[Affected Feeder ]],'Basic Data'!$A$43:$A$70,'Basic Data'!$B$43:$B$70),"")</f>
        <v>TQGXIIPL</v>
      </c>
      <c r="I75" s="102" t="str">
        <f>IFERROR(_xlfn.XLOOKUP(Table10[[#This Row],[Affected Feeder ]],'Basic Data'!$A$43:$A$70,'Basic Data'!$C$43:$C$70),"")</f>
        <v>GEDA</v>
      </c>
      <c r="J75" s="271">
        <f>IFERROR(_xlfn.XLOOKUP(Table10[[#This Row],[Affected Feeder ]],'Basic Data'!$A$43:$A$70,'Basic Data'!$E$43:$E$70),"")</f>
        <v>0.49999999999999978</v>
      </c>
      <c r="K75" s="272" t="s">
        <v>713</v>
      </c>
      <c r="L75" s="273">
        <v>0.42638888888888887</v>
      </c>
      <c r="M75" s="273">
        <v>0.42638888888888887</v>
      </c>
      <c r="N75" s="273">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272" t="s">
        <v>714</v>
      </c>
      <c r="S75" s="102" t="s">
        <v>268</v>
      </c>
      <c r="T75" s="274">
        <f>IFERROR(Table10[[#This Row],[Breakdown Time]]*Table10[[#This Row],[Plant Equivalent Weightage]],"")</f>
        <v>1.6333333333333329</v>
      </c>
      <c r="U75" s="102" t="s">
        <v>637</v>
      </c>
      <c r="V75" s="288">
        <f>IFERROR(_xlfn.XLOOKUP(Table10[[#This Row],[Date]],'Daily KPI'!$A:$A,'Daily KPI'!$M:$M),"")</f>
        <v>4.5324132546722824</v>
      </c>
      <c r="W75" s="102">
        <v>296</v>
      </c>
      <c r="X75" s="102">
        <f>Table10[[#This Row],[WTG Loss]]*13*Table10[[#This Row],[Breakdown Time]]</f>
        <v>12570.133333333335</v>
      </c>
      <c r="Y75" s="102" t="s">
        <v>638</v>
      </c>
      <c r="Z75" s="102"/>
      <c r="AA75" s="102"/>
    </row>
    <row r="76" spans="1:27">
      <c r="A76" s="102">
        <f t="shared" si="1"/>
        <v>75</v>
      </c>
      <c r="B76" s="102">
        <f>YEAR(Table10[[#This Row],[Date]])+IF(MONTH(Table10[[#This Row],[Date]])&gt;=4,1,0)</f>
        <v>2026</v>
      </c>
      <c r="C76" s="102">
        <f>YEAR(Table10[[#This Row],[Date]])</f>
        <v>2025</v>
      </c>
      <c r="D76" s="102" t="s">
        <v>634</v>
      </c>
      <c r="E76" s="258">
        <f>Table10[[#This Row],[Date]]-DAY(Table10[[#This Row],[Date]])+1</f>
        <v>45778</v>
      </c>
      <c r="F76" s="259">
        <v>45798</v>
      </c>
      <c r="G76" s="102" t="s">
        <v>639</v>
      </c>
      <c r="H76" s="102" t="str">
        <f>IFERROR(_xlfn.XLOOKUP(Table10[[#This Row],[Affected Feeder ]],'Basic Data'!$A$43:$A$70,'Basic Data'!$B$43:$B$70),"")</f>
        <v>TQGXIIPL</v>
      </c>
      <c r="I76" s="102" t="str">
        <f>IFERROR(_xlfn.XLOOKUP(Table10[[#This Row],[Affected Feeder ]],'Basic Data'!$A$43:$A$70,'Basic Data'!$C$43:$C$70),"")</f>
        <v>GEDA</v>
      </c>
      <c r="J76" s="271">
        <f>IFERROR(_xlfn.XLOOKUP(Table10[[#This Row],[Affected Feeder ]],'Basic Data'!$A$43:$A$70,'Basic Data'!$E$43:$E$70),"")</f>
        <v>0.49999999999999978</v>
      </c>
      <c r="K76" s="272" t="s">
        <v>709</v>
      </c>
      <c r="L76" s="273">
        <v>0.5625</v>
      </c>
      <c r="M76" s="273">
        <v>0.5625</v>
      </c>
      <c r="N76" s="273">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272" t="s">
        <v>715</v>
      </c>
      <c r="S76" s="102" t="s">
        <v>268</v>
      </c>
      <c r="T76" s="274">
        <f>IFERROR(Table10[[#This Row],[Breakdown Time]]*Table10[[#This Row],[Plant Equivalent Weightage]],"")</f>
        <v>2.8833333333333324</v>
      </c>
      <c r="U76" s="102" t="s">
        <v>637</v>
      </c>
      <c r="V76" s="288">
        <f>IFERROR(_xlfn.XLOOKUP(Table10[[#This Row],[Date]],'Daily KPI'!$A:$A,'Daily KPI'!$M:$M),"")</f>
        <v>4.5324132546722824</v>
      </c>
      <c r="W76" s="102">
        <v>296</v>
      </c>
      <c r="X76" s="102">
        <f>Table10[[#This Row],[WTG Loss]]*13*Table10[[#This Row],[Breakdown Time]]</f>
        <v>22190.133333333335</v>
      </c>
      <c r="Y76" s="102" t="s">
        <v>638</v>
      </c>
      <c r="Z76" s="102"/>
      <c r="AA76" s="102"/>
    </row>
    <row r="77" spans="1:27">
      <c r="A77" s="102">
        <f t="shared" si="1"/>
        <v>76</v>
      </c>
      <c r="B77" s="102">
        <f>YEAR(Table10[[#This Row],[Date]])+IF(MONTH(Table10[[#This Row],[Date]])&gt;=4,1,0)</f>
        <v>2026</v>
      </c>
      <c r="C77" s="102">
        <f>YEAR(Table10[[#This Row],[Date]])</f>
        <v>2025</v>
      </c>
      <c r="D77" s="102" t="s">
        <v>634</v>
      </c>
      <c r="E77" s="258">
        <f>Table10[[#This Row],[Date]]-DAY(Table10[[#This Row],[Date]])+1</f>
        <v>45778</v>
      </c>
      <c r="F77" s="259">
        <v>45798</v>
      </c>
      <c r="G77" s="102" t="s">
        <v>647</v>
      </c>
      <c r="H77" s="102" t="str">
        <f>IFERROR(_xlfn.XLOOKUP(Table10[[#This Row],[Affected Feeder ]],'Basic Data'!$A$43:$A$70,'Basic Data'!$B$43:$B$70),"")</f>
        <v>TQGXIIPL</v>
      </c>
      <c r="I77" s="102" t="str">
        <f>IFERROR(_xlfn.XLOOKUP(Table10[[#This Row],[Affected Feeder ]],'Basic Data'!$A$43:$A$70,'Basic Data'!$C$43:$C$70),"")</f>
        <v>GEDA</v>
      </c>
      <c r="J77" s="271">
        <f>IFERROR(_xlfn.XLOOKUP(Table10[[#This Row],[Affected Feeder ]],'Basic Data'!$A$43:$A$70,'Basic Data'!$E$43:$E$70),"")</f>
        <v>0.49999999999999978</v>
      </c>
      <c r="K77" s="272" t="s">
        <v>698</v>
      </c>
      <c r="L77" s="273">
        <v>0.60763888888888884</v>
      </c>
      <c r="M77" s="273">
        <v>0.60763888888888884</v>
      </c>
      <c r="N77" s="273">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272" t="s">
        <v>716</v>
      </c>
      <c r="S77" s="102" t="s">
        <v>268</v>
      </c>
      <c r="T77" s="274">
        <f>IFERROR(Table10[[#This Row],[Breakdown Time]]*Table10[[#This Row],[Plant Equivalent Weightage]],"")</f>
        <v>2.291666666666667</v>
      </c>
      <c r="U77" s="102" t="s">
        <v>637</v>
      </c>
      <c r="V77" s="288">
        <f>IFERROR(_xlfn.XLOOKUP(Table10[[#This Row],[Date]],'Daily KPI'!$A:$A,'Daily KPI'!$M:$M),"")</f>
        <v>4.5324132546722824</v>
      </c>
      <c r="W77" s="102">
        <v>296</v>
      </c>
      <c r="X77" s="102">
        <f>Table10[[#This Row],[WTG Loss]]*13*Table10[[#This Row],[Breakdown Time]]</f>
        <v>17636.666666666675</v>
      </c>
      <c r="Y77" s="102" t="s">
        <v>638</v>
      </c>
      <c r="Z77" s="102"/>
      <c r="AA77" s="102"/>
    </row>
    <row r="78" spans="1:27">
      <c r="A78" s="102">
        <f t="shared" si="1"/>
        <v>77</v>
      </c>
      <c r="B78" s="102">
        <f>YEAR(Table10[[#This Row],[Date]])+IF(MONTH(Table10[[#This Row],[Date]])&gt;=4,1,0)</f>
        <v>2026</v>
      </c>
      <c r="C78" s="102">
        <f>YEAR(Table10[[#This Row],[Date]])</f>
        <v>2025</v>
      </c>
      <c r="D78" s="102" t="s">
        <v>634</v>
      </c>
      <c r="E78" s="258">
        <f>Table10[[#This Row],[Date]]-DAY(Table10[[#This Row],[Date]])+1</f>
        <v>45778</v>
      </c>
      <c r="F78" s="259">
        <v>45799</v>
      </c>
      <c r="G78" s="102" t="s">
        <v>647</v>
      </c>
      <c r="H78" s="102" t="str">
        <f>IFERROR(_xlfn.XLOOKUP(Table10[[#This Row],[Affected Feeder ]],'Basic Data'!$A$43:$A$70,'Basic Data'!$B$43:$B$70),"")</f>
        <v>TQGXIIPL</v>
      </c>
      <c r="I78" s="102" t="str">
        <f>IFERROR(_xlfn.XLOOKUP(Table10[[#This Row],[Affected Feeder ]],'Basic Data'!$A$43:$A$70,'Basic Data'!$C$43:$C$70),"")</f>
        <v>GEDA</v>
      </c>
      <c r="J78" s="271">
        <f>IFERROR(_xlfn.XLOOKUP(Table10[[#This Row],[Affected Feeder ]],'Basic Data'!$A$43:$A$70,'Basic Data'!$E$43:$E$70),"")</f>
        <v>0.49999999999999978</v>
      </c>
      <c r="K78" s="272" t="s">
        <v>674</v>
      </c>
      <c r="L78" s="273">
        <v>1.3194444444444444E-2</v>
      </c>
      <c r="M78" s="273">
        <v>1.3194444444444444E-2</v>
      </c>
      <c r="N78" s="273">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272" t="s">
        <v>717</v>
      </c>
      <c r="S78" s="102" t="s">
        <v>268</v>
      </c>
      <c r="T78" s="274">
        <f>IFERROR(Table10[[#This Row],[Breakdown Time]]*Table10[[#This Row],[Plant Equivalent Weightage]],"")</f>
        <v>0.43333333333333313</v>
      </c>
      <c r="U78" s="102" t="s">
        <v>637</v>
      </c>
      <c r="V78" s="288">
        <f>IFERROR(_xlfn.XLOOKUP(Table10[[#This Row],[Date]],'Daily KPI'!$A:$A,'Daily KPI'!$M:$M),"")</f>
        <v>3.7634574295913192</v>
      </c>
      <c r="W78" s="102">
        <v>154.80000000000001</v>
      </c>
      <c r="X78" s="102">
        <f>Table10[[#This Row],[WTG Loss]]*13*Table10[[#This Row],[Breakdown Time]]</f>
        <v>1744.08</v>
      </c>
      <c r="Y78" s="102" t="s">
        <v>638</v>
      </c>
      <c r="Z78" s="102"/>
      <c r="AA78" s="102"/>
    </row>
    <row r="79" spans="1:27">
      <c r="A79" s="102">
        <f t="shared" si="1"/>
        <v>78</v>
      </c>
      <c r="B79" s="102">
        <f>YEAR(Table10[[#This Row],[Date]])+IF(MONTH(Table10[[#This Row],[Date]])&gt;=4,1,0)</f>
        <v>2026</v>
      </c>
      <c r="C79" s="102">
        <f>YEAR(Table10[[#This Row],[Date]])</f>
        <v>2025</v>
      </c>
      <c r="D79" s="102" t="s">
        <v>634</v>
      </c>
      <c r="E79" s="258">
        <f>Table10[[#This Row],[Date]]-DAY(Table10[[#This Row],[Date]])+1</f>
        <v>45778</v>
      </c>
      <c r="F79" s="259">
        <v>45799</v>
      </c>
      <c r="G79" s="102" t="s">
        <v>118</v>
      </c>
      <c r="H79" s="102" t="str">
        <f>IFERROR(_xlfn.XLOOKUP(Table10[[#This Row],[Affected Feeder ]],'Basic Data'!$A$43:$A$70,'Basic Data'!$B$43:$B$70),"")</f>
        <v>TQGXIIPL</v>
      </c>
      <c r="I79" s="102" t="str">
        <f>IFERROR(_xlfn.XLOOKUP(Table10[[#This Row],[Affected Feeder ]],'Basic Data'!$A$43:$A$70,'Basic Data'!$C$43:$C$70),"")</f>
        <v>GEDA</v>
      </c>
      <c r="J79" s="271">
        <f>IFERROR(_xlfn.XLOOKUP(Table10[[#This Row],[Affected Feeder ]],'Basic Data'!$A$43:$A$70,'Basic Data'!$E$43:$E$70),"")</f>
        <v>3.846153846153845E-2</v>
      </c>
      <c r="K79" s="272" t="s">
        <v>708</v>
      </c>
      <c r="L79" s="273">
        <v>4.9305555555555554E-2</v>
      </c>
      <c r="M79" s="273">
        <v>4.9305555555555554E-2</v>
      </c>
      <c r="N79" s="273">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272" t="s">
        <v>718</v>
      </c>
      <c r="S79" s="102" t="s">
        <v>268</v>
      </c>
      <c r="T79" s="274">
        <f>IFERROR(Table10[[#This Row],[Breakdown Time]]*Table10[[#This Row],[Plant Equivalent Weightage]],"")</f>
        <v>0.10192307692307689</v>
      </c>
      <c r="U79" s="102" t="s">
        <v>637</v>
      </c>
      <c r="V79" s="288">
        <f>IFERROR(_xlfn.XLOOKUP(Table10[[#This Row],[Date]],'Daily KPI'!$A:$A,'Daily KPI'!$M:$M),"")</f>
        <v>3.7634574295913192</v>
      </c>
      <c r="W79" s="102">
        <v>154.80000000000001</v>
      </c>
      <c r="X79" s="102">
        <f>Table10[[#This Row],[WTG Loss]]*1*Table10[[#This Row],[Breakdown Time]]</f>
        <v>410.22</v>
      </c>
      <c r="Y79" s="102" t="s">
        <v>638</v>
      </c>
      <c r="Z79" s="102"/>
      <c r="AA79" s="102"/>
    </row>
    <row r="80" spans="1:27">
      <c r="A80" s="102">
        <f t="shared" si="1"/>
        <v>79</v>
      </c>
      <c r="B80" s="102">
        <f>YEAR(Table10[[#This Row],[Date]])+IF(MONTH(Table10[[#This Row],[Date]])&gt;=4,1,0)</f>
        <v>2026</v>
      </c>
      <c r="C80" s="102">
        <f>YEAR(Table10[[#This Row],[Date]])</f>
        <v>2025</v>
      </c>
      <c r="D80" s="102" t="s">
        <v>634</v>
      </c>
      <c r="E80" s="258">
        <f>Table10[[#This Row],[Date]]-DAY(Table10[[#This Row],[Date]])+1</f>
        <v>45778</v>
      </c>
      <c r="F80" s="259">
        <v>45799</v>
      </c>
      <c r="G80" s="102" t="s">
        <v>121</v>
      </c>
      <c r="H80" s="102" t="str">
        <f>IFERROR(_xlfn.XLOOKUP(Table10[[#This Row],[Affected Feeder ]],'Basic Data'!$A$43:$A$70,'Basic Data'!$B$43:$B$70),"")</f>
        <v>TQGXIIPL</v>
      </c>
      <c r="I80" s="102" t="str">
        <f>IFERROR(_xlfn.XLOOKUP(Table10[[#This Row],[Affected Feeder ]],'Basic Data'!$A$43:$A$70,'Basic Data'!$C$43:$C$70),"")</f>
        <v>GEDA</v>
      </c>
      <c r="J80" s="271">
        <f>IFERROR(_xlfn.XLOOKUP(Table10[[#This Row],[Affected Feeder ]],'Basic Data'!$A$43:$A$70,'Basic Data'!$E$43:$E$70),"")</f>
        <v>3.846153846153845E-2</v>
      </c>
      <c r="K80" s="272" t="s">
        <v>706</v>
      </c>
      <c r="L80" s="273">
        <v>4.9305555555555554E-2</v>
      </c>
      <c r="M80" s="273">
        <v>4.9305555555555554E-2</v>
      </c>
      <c r="N80" s="273">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272" t="s">
        <v>718</v>
      </c>
      <c r="S80" s="102" t="s">
        <v>268</v>
      </c>
      <c r="T80" s="274">
        <f>IFERROR(Table10[[#This Row],[Breakdown Time]]*Table10[[#This Row],[Plant Equivalent Weightage]],"")</f>
        <v>0.10192307692307689</v>
      </c>
      <c r="U80" s="102" t="s">
        <v>637</v>
      </c>
      <c r="V80" s="288">
        <f>IFERROR(_xlfn.XLOOKUP(Table10[[#This Row],[Date]],'Daily KPI'!$A:$A,'Daily KPI'!$M:$M),"")</f>
        <v>3.7634574295913192</v>
      </c>
      <c r="W80" s="102">
        <v>154.80000000000001</v>
      </c>
      <c r="X80" s="102">
        <f>Table10[[#This Row],[WTG Loss]]*1*Table10[[#This Row],[Breakdown Time]]</f>
        <v>410.22</v>
      </c>
      <c r="Y80" s="102" t="s">
        <v>638</v>
      </c>
      <c r="Z80" s="102"/>
      <c r="AA80" s="102"/>
    </row>
    <row r="81" spans="1:27">
      <c r="A81" s="102">
        <f t="shared" si="1"/>
        <v>80</v>
      </c>
      <c r="B81" s="102">
        <f>YEAR(Table10[[#This Row],[Date]])+IF(MONTH(Table10[[#This Row],[Date]])&gt;=4,1,0)</f>
        <v>2026</v>
      </c>
      <c r="C81" s="102">
        <f>YEAR(Table10[[#This Row],[Date]])</f>
        <v>2025</v>
      </c>
      <c r="D81" s="102" t="s">
        <v>634</v>
      </c>
      <c r="E81" s="258">
        <f>Table10[[#This Row],[Date]]-DAY(Table10[[#This Row],[Date]])+1</f>
        <v>45778</v>
      </c>
      <c r="F81" s="259">
        <v>45799</v>
      </c>
      <c r="G81" s="102" t="s">
        <v>133</v>
      </c>
      <c r="H81" s="102" t="str">
        <f>IFERROR(_xlfn.XLOOKUP(Table10[[#This Row],[Affected Feeder ]],'Basic Data'!$A$43:$A$70,'Basic Data'!$B$43:$B$70),"")</f>
        <v>TQGXIIPL</v>
      </c>
      <c r="I81" s="102" t="str">
        <f>IFERROR(_xlfn.XLOOKUP(Table10[[#This Row],[Affected Feeder ]],'Basic Data'!$A$43:$A$70,'Basic Data'!$C$43:$C$70),"")</f>
        <v>GEDA</v>
      </c>
      <c r="J81" s="271">
        <f>IFERROR(_xlfn.XLOOKUP(Table10[[#This Row],[Affected Feeder ]],'Basic Data'!$A$43:$A$70,'Basic Data'!$E$43:$E$70),"")</f>
        <v>3.846153846153845E-2</v>
      </c>
      <c r="K81" s="272" t="s">
        <v>689</v>
      </c>
      <c r="L81" s="273">
        <v>4.9305555555555554E-2</v>
      </c>
      <c r="M81" s="273">
        <v>4.9305555555555554E-2</v>
      </c>
      <c r="N81" s="273">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272" t="s">
        <v>718</v>
      </c>
      <c r="S81" s="102" t="s">
        <v>268</v>
      </c>
      <c r="T81" s="274">
        <f>IFERROR(Table10[[#This Row],[Breakdown Time]]*Table10[[#This Row],[Plant Equivalent Weightage]],"")</f>
        <v>0.10192307692307689</v>
      </c>
      <c r="U81" s="102" t="s">
        <v>637</v>
      </c>
      <c r="V81" s="288">
        <f>IFERROR(_xlfn.XLOOKUP(Table10[[#This Row],[Date]],'Daily KPI'!$A:$A,'Daily KPI'!$M:$M),"")</f>
        <v>3.7634574295913192</v>
      </c>
      <c r="W81" s="102">
        <v>154.80000000000001</v>
      </c>
      <c r="X81" s="102">
        <f>Table10[[#This Row],[WTG Loss]]*1*Table10[[#This Row],[Breakdown Time]]</f>
        <v>410.22</v>
      </c>
      <c r="Y81" s="102" t="s">
        <v>638</v>
      </c>
      <c r="Z81" s="102"/>
      <c r="AA81" s="102"/>
    </row>
    <row r="82" spans="1:27">
      <c r="A82" s="102">
        <f t="shared" si="1"/>
        <v>81</v>
      </c>
      <c r="B82" s="102">
        <f>YEAR(Table10[[#This Row],[Date]])+IF(MONTH(Table10[[#This Row],[Date]])&gt;=4,1,0)</f>
        <v>2026</v>
      </c>
      <c r="C82" s="102">
        <f>YEAR(Table10[[#This Row],[Date]])</f>
        <v>2025</v>
      </c>
      <c r="D82" s="102" t="s">
        <v>634</v>
      </c>
      <c r="E82" s="258">
        <f>Table10[[#This Row],[Date]]-DAY(Table10[[#This Row],[Date]])+1</f>
        <v>45778</v>
      </c>
      <c r="F82" s="259">
        <v>45799</v>
      </c>
      <c r="G82" s="102" t="s">
        <v>639</v>
      </c>
      <c r="H82" s="102" t="str">
        <f>IFERROR(_xlfn.XLOOKUP(Table10[[#This Row],[Affected Feeder ]],'Basic Data'!$A$43:$A$70,'Basic Data'!$B$43:$B$70),"")</f>
        <v>TQGXIIPL</v>
      </c>
      <c r="I82" s="102" t="str">
        <f>IFERROR(_xlfn.XLOOKUP(Table10[[#This Row],[Affected Feeder ]],'Basic Data'!$A$43:$A$70,'Basic Data'!$C$43:$C$70),"")</f>
        <v>GEDA</v>
      </c>
      <c r="J82" s="271">
        <f>IFERROR(_xlfn.XLOOKUP(Table10[[#This Row],[Affected Feeder ]],'Basic Data'!$A$43:$A$70,'Basic Data'!$E$43:$E$70),"")</f>
        <v>0.49999999999999978</v>
      </c>
      <c r="K82" s="272" t="s">
        <v>709</v>
      </c>
      <c r="L82" s="273">
        <v>0.38263888888888886</v>
      </c>
      <c r="M82" s="273">
        <v>0.38263888888888886</v>
      </c>
      <c r="N82" s="273">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272" t="s">
        <v>719</v>
      </c>
      <c r="S82" s="102" t="s">
        <v>268</v>
      </c>
      <c r="T82" s="274">
        <f>IFERROR(Table10[[#This Row],[Breakdown Time]]*Table10[[#This Row],[Plant Equivalent Weightage]],"")</f>
        <v>1.0999999999999996</v>
      </c>
      <c r="U82" s="102" t="s">
        <v>637</v>
      </c>
      <c r="V82" s="288">
        <f>IFERROR(_xlfn.XLOOKUP(Table10[[#This Row],[Date]],'Daily KPI'!$A:$A,'Daily KPI'!$M:$M),"")</f>
        <v>3.7634574295913192</v>
      </c>
      <c r="W82" s="102">
        <v>154.80000000000001</v>
      </c>
      <c r="X82" s="102">
        <f>Table10[[#This Row],[WTG Loss]]*13*Table10[[#This Row],[Breakdown Time]]</f>
        <v>4427.2800000000007</v>
      </c>
      <c r="Y82" s="102" t="s">
        <v>638</v>
      </c>
      <c r="Z82" s="102"/>
      <c r="AA82" s="102"/>
    </row>
    <row r="83" spans="1:27">
      <c r="A83" s="102">
        <f t="shared" si="1"/>
        <v>82</v>
      </c>
      <c r="B83" s="102">
        <f>YEAR(Table10[[#This Row],[Date]])+IF(MONTH(Table10[[#This Row],[Date]])&gt;=4,1,0)</f>
        <v>2026</v>
      </c>
      <c r="C83" s="102">
        <f>YEAR(Table10[[#This Row],[Date]])</f>
        <v>2025</v>
      </c>
      <c r="D83" s="102" t="s">
        <v>634</v>
      </c>
      <c r="E83" s="258">
        <f>Table10[[#This Row],[Date]]-DAY(Table10[[#This Row],[Date]])+1</f>
        <v>45778</v>
      </c>
      <c r="F83" s="259">
        <v>45799</v>
      </c>
      <c r="G83" s="102" t="s">
        <v>115</v>
      </c>
      <c r="H83" s="102" t="str">
        <f>IFERROR(_xlfn.XLOOKUP(Table10[[#This Row],[Affected Feeder ]],'Basic Data'!$A$43:$A$70,'Basic Data'!$B$43:$B$70),"")</f>
        <v>TQGXIIPL</v>
      </c>
      <c r="I83" s="102" t="str">
        <f>IFERROR(_xlfn.XLOOKUP(Table10[[#This Row],[Affected Feeder ]],'Basic Data'!$A$43:$A$70,'Basic Data'!$C$43:$C$70),"")</f>
        <v>GEDA</v>
      </c>
      <c r="J83" s="271">
        <f>IFERROR(_xlfn.XLOOKUP(Table10[[#This Row],[Affected Feeder ]],'Basic Data'!$A$43:$A$70,'Basic Data'!$E$43:$E$70),"")</f>
        <v>3.846153846153845E-2</v>
      </c>
      <c r="K83" s="272" t="s">
        <v>720</v>
      </c>
      <c r="L83" s="273">
        <v>0.47430555555555554</v>
      </c>
      <c r="M83" s="273">
        <v>0.47430555555555554</v>
      </c>
      <c r="N83" s="273">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272" t="s">
        <v>721</v>
      </c>
      <c r="S83" s="102" t="s">
        <v>268</v>
      </c>
      <c r="T83" s="274">
        <f>IFERROR(Table10[[#This Row],[Breakdown Time]]*Table10[[#This Row],[Plant Equivalent Weightage]],"")</f>
        <v>0.25128205128205122</v>
      </c>
      <c r="U83" s="102" t="s">
        <v>637</v>
      </c>
      <c r="V83" s="288">
        <f>IFERROR(_xlfn.XLOOKUP(Table10[[#This Row],[Date]],'Daily KPI'!$A:$A,'Daily KPI'!$M:$M),"")</f>
        <v>3.7634574295913192</v>
      </c>
      <c r="W83" s="102">
        <v>154.80000000000001</v>
      </c>
      <c r="X83" s="102">
        <f>Table10[[#This Row],[WTG Loss]]*1*Table10[[#This Row],[Breakdown Time]]</f>
        <v>1011.3600000000002</v>
      </c>
      <c r="Y83" s="102" t="s">
        <v>638</v>
      </c>
      <c r="Z83" s="102"/>
      <c r="AA83" s="102"/>
    </row>
    <row r="84" spans="1:27">
      <c r="A84" s="102">
        <f t="shared" si="1"/>
        <v>83</v>
      </c>
      <c r="B84" s="102">
        <f>YEAR(Table10[[#This Row],[Date]])+IF(MONTH(Table10[[#This Row],[Date]])&gt;=4,1,0)</f>
        <v>2026</v>
      </c>
      <c r="C84" s="102">
        <f>YEAR(Table10[[#This Row],[Date]])</f>
        <v>2025</v>
      </c>
      <c r="D84" s="102" t="s">
        <v>634</v>
      </c>
      <c r="E84" s="258">
        <f>Table10[[#This Row],[Date]]-DAY(Table10[[#This Row],[Date]])+1</f>
        <v>45778</v>
      </c>
      <c r="F84" s="259">
        <v>45799</v>
      </c>
      <c r="G84" s="102" t="s">
        <v>116</v>
      </c>
      <c r="H84" s="102" t="str">
        <f>IFERROR(_xlfn.XLOOKUP(Table10[[#This Row],[Affected Feeder ]],'Basic Data'!$A$43:$A$70,'Basic Data'!$B$43:$B$70),"")</f>
        <v>TQGXIIPL</v>
      </c>
      <c r="I84" s="102" t="str">
        <f>IFERROR(_xlfn.XLOOKUP(Table10[[#This Row],[Affected Feeder ]],'Basic Data'!$A$43:$A$70,'Basic Data'!$C$43:$C$70),"")</f>
        <v>GEDA</v>
      </c>
      <c r="J84" s="271">
        <f>IFERROR(_xlfn.XLOOKUP(Table10[[#This Row],[Affected Feeder ]],'Basic Data'!$A$43:$A$70,'Basic Data'!$E$43:$E$70),"")</f>
        <v>3.846153846153845E-2</v>
      </c>
      <c r="K84" s="272" t="s">
        <v>722</v>
      </c>
      <c r="L84" s="273">
        <v>0.47430555555555554</v>
      </c>
      <c r="M84" s="273">
        <v>0.47430555555555554</v>
      </c>
      <c r="N84" s="273">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272" t="s">
        <v>721</v>
      </c>
      <c r="S84" s="102" t="s">
        <v>268</v>
      </c>
      <c r="T84" s="274">
        <f>IFERROR(Table10[[#This Row],[Breakdown Time]]*Table10[[#This Row],[Plant Equivalent Weightage]],"")</f>
        <v>0.25128205128205122</v>
      </c>
      <c r="U84" s="102" t="s">
        <v>637</v>
      </c>
      <c r="V84" s="288">
        <f>IFERROR(_xlfn.XLOOKUP(Table10[[#This Row],[Date]],'Daily KPI'!$A:$A,'Daily KPI'!$M:$M),"")</f>
        <v>3.7634574295913192</v>
      </c>
      <c r="W84" s="102">
        <v>154.80000000000001</v>
      </c>
      <c r="X84" s="102">
        <f>Table10[[#This Row],[WTG Loss]]*1*Table10[[#This Row],[Breakdown Time]]</f>
        <v>1011.3600000000002</v>
      </c>
      <c r="Y84" s="102" t="s">
        <v>638</v>
      </c>
      <c r="Z84" s="102"/>
      <c r="AA84" s="102"/>
    </row>
    <row r="85" spans="1:27">
      <c r="A85" s="102">
        <f t="shared" si="1"/>
        <v>84</v>
      </c>
      <c r="B85" s="102">
        <f>YEAR(Table10[[#This Row],[Date]])+IF(MONTH(Table10[[#This Row],[Date]])&gt;=4,1,0)</f>
        <v>2026</v>
      </c>
      <c r="C85" s="102">
        <f>YEAR(Table10[[#This Row],[Date]])</f>
        <v>2025</v>
      </c>
      <c r="D85" s="102" t="s">
        <v>265</v>
      </c>
      <c r="E85" s="258">
        <f>Table10[[#This Row],[Date]]-DAY(Table10[[#This Row],[Date]])+1</f>
        <v>45778</v>
      </c>
      <c r="F85" s="259">
        <v>45799</v>
      </c>
      <c r="G85" s="102" t="s">
        <v>117</v>
      </c>
      <c r="H85" s="102" t="str">
        <f>IFERROR(_xlfn.XLOOKUP(Table10[[#This Row],[Affected Feeder ]],'Basic Data'!$A$43:$A$70,'Basic Data'!$B$43:$B$70),"")</f>
        <v>TQGXIIPL</v>
      </c>
      <c r="I85" s="102" t="str">
        <f>IFERROR(_xlfn.XLOOKUP(Table10[[#This Row],[Affected Feeder ]],'Basic Data'!$A$43:$A$70,'Basic Data'!$C$43:$C$70),"")</f>
        <v>GEDA</v>
      </c>
      <c r="J85" s="271">
        <f>IFERROR(_xlfn.XLOOKUP(Table10[[#This Row],[Affected Feeder ]],'Basic Data'!$A$43:$A$70,'Basic Data'!$E$43:$E$70),"")</f>
        <v>3.846153846153845E-2</v>
      </c>
      <c r="K85" s="272" t="s">
        <v>723</v>
      </c>
      <c r="L85" s="273">
        <v>0.47430555555555554</v>
      </c>
      <c r="M85" s="273">
        <v>0.47430555555555554</v>
      </c>
      <c r="N85" s="273">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272" t="s">
        <v>721</v>
      </c>
      <c r="S85" s="102" t="s">
        <v>268</v>
      </c>
      <c r="T85" s="274">
        <f>IFERROR(Table10[[#This Row],[Breakdown Time]]*Table10[[#This Row],[Plant Equivalent Weightage]],"")</f>
        <v>0.25128205128205122</v>
      </c>
      <c r="U85" s="102" t="s">
        <v>637</v>
      </c>
      <c r="V85" s="288">
        <f>IFERROR(_xlfn.XLOOKUP(Table10[[#This Row],[Date]],'Daily KPI'!$A:$A,'Daily KPI'!$M:$M),"")</f>
        <v>3.7634574295913192</v>
      </c>
      <c r="W85" s="102">
        <v>154.80000000000001</v>
      </c>
      <c r="X85" s="102">
        <f>Table10[[#This Row],[WTG Loss]]*1*Table10[[#This Row],[Breakdown Time]]</f>
        <v>1011.3600000000002</v>
      </c>
      <c r="Y85" s="102" t="s">
        <v>638</v>
      </c>
      <c r="Z85" s="102"/>
      <c r="AA85" s="102"/>
    </row>
    <row r="86" spans="1:27">
      <c r="A86" s="102">
        <f t="shared" si="1"/>
        <v>85</v>
      </c>
      <c r="B86" s="102">
        <f>YEAR(Table10[[#This Row],[Date]])+IF(MONTH(Table10[[#This Row],[Date]])&gt;=4,1,0)</f>
        <v>2026</v>
      </c>
      <c r="C86" s="102">
        <f>YEAR(Table10[[#This Row],[Date]])</f>
        <v>2025</v>
      </c>
      <c r="D86" s="102" t="s">
        <v>265</v>
      </c>
      <c r="E86" s="258">
        <f>Table10[[#This Row],[Date]]-DAY(Table10[[#This Row],[Date]])+1</f>
        <v>45778</v>
      </c>
      <c r="F86" s="259">
        <v>45799</v>
      </c>
      <c r="G86" s="102" t="s">
        <v>119</v>
      </c>
      <c r="H86" s="102" t="str">
        <f>IFERROR(_xlfn.XLOOKUP(Table10[[#This Row],[Affected Feeder ]],'Basic Data'!$A$43:$A$70,'Basic Data'!$B$43:$B$70),"")</f>
        <v>TQGXIIPL</v>
      </c>
      <c r="I86" s="102" t="str">
        <f>IFERROR(_xlfn.XLOOKUP(Table10[[#This Row],[Affected Feeder ]],'Basic Data'!$A$43:$A$70,'Basic Data'!$C$43:$C$70),"")</f>
        <v>GEDA</v>
      </c>
      <c r="J86" s="271">
        <f>IFERROR(_xlfn.XLOOKUP(Table10[[#This Row],[Affected Feeder ]],'Basic Data'!$A$43:$A$70,'Basic Data'!$E$43:$E$70),"")</f>
        <v>3.846153846153845E-2</v>
      </c>
      <c r="K86" s="272" t="s">
        <v>724</v>
      </c>
      <c r="L86" s="273">
        <v>0.47430555555555554</v>
      </c>
      <c r="M86" s="273">
        <v>0.47430555555555554</v>
      </c>
      <c r="N86" s="273">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272" t="s">
        <v>721</v>
      </c>
      <c r="S86" s="102" t="s">
        <v>268</v>
      </c>
      <c r="T86" s="274">
        <f>IFERROR(Table10[[#This Row],[Breakdown Time]]*Table10[[#This Row],[Plant Equivalent Weightage]],"")</f>
        <v>0.25128205128205122</v>
      </c>
      <c r="U86" s="102" t="s">
        <v>637</v>
      </c>
      <c r="V86" s="288">
        <f>IFERROR(_xlfn.XLOOKUP(Table10[[#This Row],[Date]],'Daily KPI'!$A:$A,'Daily KPI'!$M:$M),"")</f>
        <v>3.7634574295913192</v>
      </c>
      <c r="W86" s="102">
        <v>154.80000000000001</v>
      </c>
      <c r="X86" s="102">
        <f>Table10[[#This Row],[WTG Loss]]*1*Table10[[#This Row],[Breakdown Time]]</f>
        <v>1011.3600000000002</v>
      </c>
      <c r="Y86" s="102" t="s">
        <v>638</v>
      </c>
      <c r="Z86" s="102"/>
      <c r="AA86" s="102"/>
    </row>
    <row r="87" spans="1:27">
      <c r="A87" s="102">
        <f t="shared" si="1"/>
        <v>86</v>
      </c>
      <c r="B87" s="102">
        <f>YEAR(Table10[[#This Row],[Date]])+IF(MONTH(Table10[[#This Row],[Date]])&gt;=4,1,0)</f>
        <v>2026</v>
      </c>
      <c r="C87" s="102">
        <f>YEAR(Table10[[#This Row],[Date]])</f>
        <v>2025</v>
      </c>
      <c r="D87" s="102" t="s">
        <v>265</v>
      </c>
      <c r="E87" s="258">
        <f>Table10[[#This Row],[Date]]-DAY(Table10[[#This Row],[Date]])+1</f>
        <v>45778</v>
      </c>
      <c r="F87" s="259">
        <v>45799</v>
      </c>
      <c r="G87" s="102" t="s">
        <v>122</v>
      </c>
      <c r="H87" s="102" t="str">
        <f>IFERROR(_xlfn.XLOOKUP(Table10[[#This Row],[Affected Feeder ]],'Basic Data'!$A$43:$A$70,'Basic Data'!$B$43:$B$70),"")</f>
        <v>TQGXIIPL</v>
      </c>
      <c r="I87" s="102" t="str">
        <f>IFERROR(_xlfn.XLOOKUP(Table10[[#This Row],[Affected Feeder ]],'Basic Data'!$A$43:$A$70,'Basic Data'!$C$43:$C$70),"")</f>
        <v>GEDA</v>
      </c>
      <c r="J87" s="271">
        <f>IFERROR(_xlfn.XLOOKUP(Table10[[#This Row],[Affected Feeder ]],'Basic Data'!$A$43:$A$70,'Basic Data'!$E$43:$E$70),"")</f>
        <v>3.846153846153845E-2</v>
      </c>
      <c r="K87" s="272" t="s">
        <v>725</v>
      </c>
      <c r="L87" s="273">
        <v>0.47430555555555554</v>
      </c>
      <c r="M87" s="273">
        <v>0.47430555555555554</v>
      </c>
      <c r="N87" s="273">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272" t="s">
        <v>721</v>
      </c>
      <c r="S87" s="102" t="s">
        <v>268</v>
      </c>
      <c r="T87" s="274">
        <f>IFERROR(Table10[[#This Row],[Breakdown Time]]*Table10[[#This Row],[Plant Equivalent Weightage]],"")</f>
        <v>0.25128205128205122</v>
      </c>
      <c r="U87" s="102" t="s">
        <v>637</v>
      </c>
      <c r="V87" s="288">
        <f>IFERROR(_xlfn.XLOOKUP(Table10[[#This Row],[Date]],'Daily KPI'!$A:$A,'Daily KPI'!$M:$M),"")</f>
        <v>3.7634574295913192</v>
      </c>
      <c r="W87" s="102">
        <v>154.80000000000001</v>
      </c>
      <c r="X87" s="102">
        <f>Table10[[#This Row],[WTG Loss]]*1*Table10[[#This Row],[Breakdown Time]]</f>
        <v>1011.3600000000002</v>
      </c>
      <c r="Y87" s="102" t="s">
        <v>638</v>
      </c>
      <c r="Z87" s="102"/>
      <c r="AA87" s="102"/>
    </row>
    <row r="88" spans="1:27">
      <c r="A88" s="102">
        <f t="shared" si="1"/>
        <v>87</v>
      </c>
      <c r="B88" s="102">
        <f>YEAR(Table10[[#This Row],[Date]])+IF(MONTH(Table10[[#This Row],[Date]])&gt;=4,1,0)</f>
        <v>2026</v>
      </c>
      <c r="C88" s="102">
        <f>YEAR(Table10[[#This Row],[Date]])</f>
        <v>2025</v>
      </c>
      <c r="D88" s="102" t="s">
        <v>265</v>
      </c>
      <c r="E88" s="258">
        <f>Table10[[#This Row],[Date]]-DAY(Table10[[#This Row],[Date]])+1</f>
        <v>45778</v>
      </c>
      <c r="F88" s="259">
        <v>45799</v>
      </c>
      <c r="G88" s="102" t="s">
        <v>123</v>
      </c>
      <c r="H88" s="102" t="str">
        <f>IFERROR(_xlfn.XLOOKUP(Table10[[#This Row],[Affected Feeder ]],'Basic Data'!$A$43:$A$70,'Basic Data'!$B$43:$B$70),"")</f>
        <v>TQGXIIPL</v>
      </c>
      <c r="I88" s="102" t="str">
        <f>IFERROR(_xlfn.XLOOKUP(Table10[[#This Row],[Affected Feeder ]],'Basic Data'!$A$43:$A$70,'Basic Data'!$C$43:$C$70),"")</f>
        <v>GEDA</v>
      </c>
      <c r="J88" s="271">
        <f>IFERROR(_xlfn.XLOOKUP(Table10[[#This Row],[Affected Feeder ]],'Basic Data'!$A$43:$A$70,'Basic Data'!$E$43:$E$70),"")</f>
        <v>3.846153846153845E-2</v>
      </c>
      <c r="K88" s="272" t="s">
        <v>726</v>
      </c>
      <c r="L88" s="273">
        <v>0.47430555555555554</v>
      </c>
      <c r="M88" s="273">
        <v>0.47430555555555554</v>
      </c>
      <c r="N88" s="273">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272" t="s">
        <v>721</v>
      </c>
      <c r="S88" s="102" t="s">
        <v>268</v>
      </c>
      <c r="T88" s="274">
        <f>IFERROR(Table10[[#This Row],[Breakdown Time]]*Table10[[#This Row],[Plant Equivalent Weightage]],"")</f>
        <v>0.25128205128205122</v>
      </c>
      <c r="U88" s="102" t="s">
        <v>637</v>
      </c>
      <c r="V88" s="288">
        <f>IFERROR(_xlfn.XLOOKUP(Table10[[#This Row],[Date]],'Daily KPI'!$A:$A,'Daily KPI'!$M:$M),"")</f>
        <v>3.7634574295913192</v>
      </c>
      <c r="W88" s="102">
        <v>154.80000000000001</v>
      </c>
      <c r="X88" s="102">
        <f>Table10[[#This Row],[WTG Loss]]*1*Table10[[#This Row],[Breakdown Time]]</f>
        <v>1011.3600000000002</v>
      </c>
      <c r="Y88" s="102" t="s">
        <v>638</v>
      </c>
      <c r="Z88" s="102"/>
      <c r="AA88" s="102"/>
    </row>
    <row r="89" spans="1:27">
      <c r="A89" s="102">
        <f t="shared" si="1"/>
        <v>88</v>
      </c>
      <c r="B89" s="102">
        <f>YEAR(Table10[[#This Row],[Date]])+IF(MONTH(Table10[[#This Row],[Date]])&gt;=4,1,0)</f>
        <v>2026</v>
      </c>
      <c r="C89" s="102">
        <f>YEAR(Table10[[#This Row],[Date]])</f>
        <v>2025</v>
      </c>
      <c r="D89" s="102" t="s">
        <v>265</v>
      </c>
      <c r="E89" s="258">
        <f>Table10[[#This Row],[Date]]-DAY(Table10[[#This Row],[Date]])+1</f>
        <v>45778</v>
      </c>
      <c r="F89" s="259">
        <v>45799</v>
      </c>
      <c r="G89" s="102" t="s">
        <v>125</v>
      </c>
      <c r="H89" s="102" t="str">
        <f>IFERROR(_xlfn.XLOOKUP(Table10[[#This Row],[Affected Feeder ]],'Basic Data'!$A$43:$A$70,'Basic Data'!$B$43:$B$70),"")</f>
        <v>TQGXIIPL</v>
      </c>
      <c r="I89" s="102" t="str">
        <f>IFERROR(_xlfn.XLOOKUP(Table10[[#This Row],[Affected Feeder ]],'Basic Data'!$A$43:$A$70,'Basic Data'!$C$43:$C$70),"")</f>
        <v>GEDA</v>
      </c>
      <c r="J89" s="271">
        <f>IFERROR(_xlfn.XLOOKUP(Table10[[#This Row],[Affected Feeder ]],'Basic Data'!$A$43:$A$70,'Basic Data'!$E$43:$E$70),"")</f>
        <v>3.846153846153845E-2</v>
      </c>
      <c r="K89" s="272" t="s">
        <v>727</v>
      </c>
      <c r="L89" s="273">
        <v>0.47430555555555554</v>
      </c>
      <c r="M89" s="273">
        <v>0.47430555555555554</v>
      </c>
      <c r="N89" s="273">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272" t="s">
        <v>721</v>
      </c>
      <c r="S89" s="102" t="s">
        <v>268</v>
      </c>
      <c r="T89" s="274">
        <f>IFERROR(Table10[[#This Row],[Breakdown Time]]*Table10[[#This Row],[Plant Equivalent Weightage]],"")</f>
        <v>0.25128205128205122</v>
      </c>
      <c r="U89" s="102" t="s">
        <v>637</v>
      </c>
      <c r="V89" s="288">
        <f>IFERROR(_xlfn.XLOOKUP(Table10[[#This Row],[Date]],'Daily KPI'!$A:$A,'Daily KPI'!$M:$M),"")</f>
        <v>3.7634574295913192</v>
      </c>
      <c r="W89" s="102">
        <v>154.80000000000001</v>
      </c>
      <c r="X89" s="102">
        <f>Table10[[#This Row],[WTG Loss]]*1*Table10[[#This Row],[Breakdown Time]]</f>
        <v>1011.3600000000002</v>
      </c>
      <c r="Y89" s="102" t="s">
        <v>638</v>
      </c>
      <c r="Z89" s="102"/>
      <c r="AA89" s="102"/>
    </row>
    <row r="90" spans="1:27">
      <c r="A90" s="102">
        <f t="shared" si="1"/>
        <v>89</v>
      </c>
      <c r="B90" s="102">
        <f>YEAR(Table10[[#This Row],[Date]])+IF(MONTH(Table10[[#This Row],[Date]])&gt;=4,1,0)</f>
        <v>2026</v>
      </c>
      <c r="C90" s="102">
        <f>YEAR(Table10[[#This Row],[Date]])</f>
        <v>2025</v>
      </c>
      <c r="D90" s="102" t="s">
        <v>265</v>
      </c>
      <c r="E90" s="258">
        <f>Table10[[#This Row],[Date]]-DAY(Table10[[#This Row],[Date]])+1</f>
        <v>45778</v>
      </c>
      <c r="F90" s="259">
        <v>45799</v>
      </c>
      <c r="G90" s="102" t="s">
        <v>126</v>
      </c>
      <c r="H90" s="102" t="str">
        <f>IFERROR(_xlfn.XLOOKUP(Table10[[#This Row],[Affected Feeder ]],'Basic Data'!$A$43:$A$70,'Basic Data'!$B$43:$B$70),"")</f>
        <v>TQGXIIPL</v>
      </c>
      <c r="I90" s="102" t="str">
        <f>IFERROR(_xlfn.XLOOKUP(Table10[[#This Row],[Affected Feeder ]],'Basic Data'!$A$43:$A$70,'Basic Data'!$C$43:$C$70),"")</f>
        <v>GEDA</v>
      </c>
      <c r="J90" s="271">
        <f>IFERROR(_xlfn.XLOOKUP(Table10[[#This Row],[Affected Feeder ]],'Basic Data'!$A$43:$A$70,'Basic Data'!$E$43:$E$70),"")</f>
        <v>3.846153846153845E-2</v>
      </c>
      <c r="K90" s="272" t="s">
        <v>728</v>
      </c>
      <c r="L90" s="273">
        <v>0.47430555555555554</v>
      </c>
      <c r="M90" s="273">
        <v>0.47430555555555554</v>
      </c>
      <c r="N90" s="273">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272" t="s">
        <v>721</v>
      </c>
      <c r="S90" s="102" t="s">
        <v>268</v>
      </c>
      <c r="T90" s="274">
        <f>IFERROR(Table10[[#This Row],[Breakdown Time]]*Table10[[#This Row],[Plant Equivalent Weightage]],"")</f>
        <v>0.25128205128205122</v>
      </c>
      <c r="U90" s="102" t="s">
        <v>637</v>
      </c>
      <c r="V90" s="288">
        <f>IFERROR(_xlfn.XLOOKUP(Table10[[#This Row],[Date]],'Daily KPI'!$A:$A,'Daily KPI'!$M:$M),"")</f>
        <v>3.7634574295913192</v>
      </c>
      <c r="W90" s="102">
        <v>154.80000000000001</v>
      </c>
      <c r="X90" s="102">
        <f>Table10[[#This Row],[WTG Loss]]*1*Table10[[#This Row],[Breakdown Time]]</f>
        <v>1011.3600000000002</v>
      </c>
      <c r="Y90" s="102" t="s">
        <v>638</v>
      </c>
      <c r="Z90" s="102"/>
      <c r="AA90" s="102"/>
    </row>
    <row r="91" spans="1:27">
      <c r="A91" s="102">
        <f t="shared" si="1"/>
        <v>90</v>
      </c>
      <c r="B91" s="102">
        <f>YEAR(Table10[[#This Row],[Date]])+IF(MONTH(Table10[[#This Row],[Date]])&gt;=4,1,0)</f>
        <v>2026</v>
      </c>
      <c r="C91" s="102">
        <f>YEAR(Table10[[#This Row],[Date]])</f>
        <v>2025</v>
      </c>
      <c r="D91" s="102" t="s">
        <v>265</v>
      </c>
      <c r="E91" s="258">
        <f>Table10[[#This Row],[Date]]-DAY(Table10[[#This Row],[Date]])+1</f>
        <v>45778</v>
      </c>
      <c r="F91" s="259">
        <v>45799</v>
      </c>
      <c r="G91" s="102" t="s">
        <v>128</v>
      </c>
      <c r="H91" s="102" t="str">
        <f>IFERROR(_xlfn.XLOOKUP(Table10[[#This Row],[Affected Feeder ]],'Basic Data'!$A$43:$A$70,'Basic Data'!$B$43:$B$70),"")</f>
        <v>TQGXIIPL</v>
      </c>
      <c r="I91" s="102" t="str">
        <f>IFERROR(_xlfn.XLOOKUP(Table10[[#This Row],[Affected Feeder ]],'Basic Data'!$A$43:$A$70,'Basic Data'!$C$43:$C$70),"")</f>
        <v>GEDA</v>
      </c>
      <c r="J91" s="271">
        <f>IFERROR(_xlfn.XLOOKUP(Table10[[#This Row],[Affected Feeder ]],'Basic Data'!$A$43:$A$70,'Basic Data'!$E$43:$E$70),"")</f>
        <v>3.846153846153845E-2</v>
      </c>
      <c r="K91" s="272" t="s">
        <v>662</v>
      </c>
      <c r="L91" s="273">
        <v>0.47430555555555554</v>
      </c>
      <c r="M91" s="273">
        <v>0.47430555555555554</v>
      </c>
      <c r="N91" s="273">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272" t="s">
        <v>721</v>
      </c>
      <c r="S91" s="102" t="s">
        <v>268</v>
      </c>
      <c r="T91" s="274">
        <f>IFERROR(Table10[[#This Row],[Breakdown Time]]*Table10[[#This Row],[Plant Equivalent Weightage]],"")</f>
        <v>0.25128205128205122</v>
      </c>
      <c r="U91" s="102" t="s">
        <v>637</v>
      </c>
      <c r="V91" s="288">
        <f>IFERROR(_xlfn.XLOOKUP(Table10[[#This Row],[Date]],'Daily KPI'!$A:$A,'Daily KPI'!$M:$M),"")</f>
        <v>3.7634574295913192</v>
      </c>
      <c r="W91" s="102">
        <v>154.80000000000001</v>
      </c>
      <c r="X91" s="102">
        <f>Table10[[#This Row],[WTG Loss]]*1*Table10[[#This Row],[Breakdown Time]]</f>
        <v>1011.3600000000002</v>
      </c>
      <c r="Y91" s="102" t="s">
        <v>638</v>
      </c>
      <c r="Z91" s="102"/>
      <c r="AA91" s="102"/>
    </row>
    <row r="92" spans="1:27">
      <c r="A92" s="102">
        <f t="shared" si="1"/>
        <v>91</v>
      </c>
      <c r="B92" s="102">
        <f>YEAR(Table10[[#This Row],[Date]])+IF(MONTH(Table10[[#This Row],[Date]])&gt;=4,1,0)</f>
        <v>2026</v>
      </c>
      <c r="C92" s="102">
        <f>YEAR(Table10[[#This Row],[Date]])</f>
        <v>2025</v>
      </c>
      <c r="D92" s="102" t="s">
        <v>265</v>
      </c>
      <c r="E92" s="258">
        <f>Table10[[#This Row],[Date]]-DAY(Table10[[#This Row],[Date]])+1</f>
        <v>45778</v>
      </c>
      <c r="F92" s="259">
        <v>45799</v>
      </c>
      <c r="G92" s="102" t="s">
        <v>137</v>
      </c>
      <c r="H92" s="102" t="str">
        <f>IFERROR(_xlfn.XLOOKUP(Table10[[#This Row],[Affected Feeder ]],'Basic Data'!$A$43:$A$70,'Basic Data'!$B$43:$B$70),"")</f>
        <v>TQGXIIPL</v>
      </c>
      <c r="I92" s="102" t="str">
        <f>IFERROR(_xlfn.XLOOKUP(Table10[[#This Row],[Affected Feeder ]],'Basic Data'!$A$43:$A$70,'Basic Data'!$C$43:$C$70),"")</f>
        <v>GEDA</v>
      </c>
      <c r="J92" s="271">
        <f>IFERROR(_xlfn.XLOOKUP(Table10[[#This Row],[Affected Feeder ]],'Basic Data'!$A$43:$A$70,'Basic Data'!$E$43:$E$70),"")</f>
        <v>3.846153846153845E-2</v>
      </c>
      <c r="K92" s="272" t="s">
        <v>729</v>
      </c>
      <c r="L92" s="273">
        <v>0.47430555555555554</v>
      </c>
      <c r="M92" s="273">
        <v>0.47430555555555554</v>
      </c>
      <c r="N92" s="273">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272" t="s">
        <v>721</v>
      </c>
      <c r="S92" s="102" t="s">
        <v>268</v>
      </c>
      <c r="T92" s="274">
        <f>IFERROR(Table10[[#This Row],[Breakdown Time]]*Table10[[#This Row],[Plant Equivalent Weightage]],"")</f>
        <v>0.25128205128205122</v>
      </c>
      <c r="U92" s="102" t="s">
        <v>637</v>
      </c>
      <c r="V92" s="288">
        <f>IFERROR(_xlfn.XLOOKUP(Table10[[#This Row],[Date]],'Daily KPI'!$A:$A,'Daily KPI'!$M:$M),"")</f>
        <v>3.7634574295913192</v>
      </c>
      <c r="W92" s="102">
        <v>154.80000000000001</v>
      </c>
      <c r="X92" s="102">
        <f>Table10[[#This Row],[WTG Loss]]*1*Table10[[#This Row],[Breakdown Time]]</f>
        <v>1011.3600000000002</v>
      </c>
      <c r="Y92" s="102" t="s">
        <v>638</v>
      </c>
      <c r="Z92" s="102"/>
      <c r="AA92" s="102"/>
    </row>
    <row r="93" spans="1:27">
      <c r="A93" s="102">
        <f t="shared" si="1"/>
        <v>92</v>
      </c>
      <c r="B93" s="102">
        <f>YEAR(Table10[[#This Row],[Date]])+IF(MONTH(Table10[[#This Row],[Date]])&gt;=4,1,0)</f>
        <v>2026</v>
      </c>
      <c r="C93" s="102">
        <f>YEAR(Table10[[#This Row],[Date]])</f>
        <v>2025</v>
      </c>
      <c r="D93" s="102" t="s">
        <v>265</v>
      </c>
      <c r="E93" s="258">
        <f>Table10[[#This Row],[Date]]-DAY(Table10[[#This Row],[Date]])+1</f>
        <v>45778</v>
      </c>
      <c r="F93" s="259">
        <v>45799</v>
      </c>
      <c r="G93" s="102" t="s">
        <v>139</v>
      </c>
      <c r="H93" s="102" t="str">
        <f>IFERROR(_xlfn.XLOOKUP(Table10[[#This Row],[Affected Feeder ]],'Basic Data'!$A$43:$A$70,'Basic Data'!$B$43:$B$70),"")</f>
        <v>TQGXIIPL</v>
      </c>
      <c r="I93" s="102" t="str">
        <f>IFERROR(_xlfn.XLOOKUP(Table10[[#This Row],[Affected Feeder ]],'Basic Data'!$A$43:$A$70,'Basic Data'!$C$43:$C$70),"")</f>
        <v>GEDA</v>
      </c>
      <c r="J93" s="271">
        <f>IFERROR(_xlfn.XLOOKUP(Table10[[#This Row],[Affected Feeder ]],'Basic Data'!$A$43:$A$70,'Basic Data'!$E$43:$E$70),"")</f>
        <v>3.846153846153845E-2</v>
      </c>
      <c r="K93" s="272" t="s">
        <v>730</v>
      </c>
      <c r="L93" s="273">
        <v>0.47430555555555554</v>
      </c>
      <c r="M93" s="273">
        <v>0.47430555555555554</v>
      </c>
      <c r="N93" s="273">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272" t="s">
        <v>721</v>
      </c>
      <c r="S93" s="102" t="s">
        <v>268</v>
      </c>
      <c r="T93" s="274">
        <f>IFERROR(Table10[[#This Row],[Breakdown Time]]*Table10[[#This Row],[Plant Equivalent Weightage]],"")</f>
        <v>0.25128205128205122</v>
      </c>
      <c r="U93" s="102" t="s">
        <v>637</v>
      </c>
      <c r="V93" s="288">
        <f>IFERROR(_xlfn.XLOOKUP(Table10[[#This Row],[Date]],'Daily KPI'!$A:$A,'Daily KPI'!$M:$M),"")</f>
        <v>3.7634574295913192</v>
      </c>
      <c r="W93" s="102">
        <v>154.80000000000001</v>
      </c>
      <c r="X93" s="102">
        <f>Table10[[#This Row],[WTG Loss]]*1*Table10[[#This Row],[Breakdown Time]]</f>
        <v>1011.3600000000002</v>
      </c>
      <c r="Y93" s="102" t="s">
        <v>638</v>
      </c>
      <c r="Z93" s="102"/>
      <c r="AA93" s="102"/>
    </row>
    <row r="94" spans="1:27">
      <c r="A94" s="102">
        <f t="shared" si="1"/>
        <v>93</v>
      </c>
      <c r="B94" s="102">
        <f>YEAR(Table10[[#This Row],[Date]])+IF(MONTH(Table10[[#This Row],[Date]])&gt;=4,1,0)</f>
        <v>2026</v>
      </c>
      <c r="C94" s="102">
        <f>YEAR(Table10[[#This Row],[Date]])</f>
        <v>2025</v>
      </c>
      <c r="D94" s="102" t="s">
        <v>265</v>
      </c>
      <c r="E94" s="258">
        <f>Table10[[#This Row],[Date]]-DAY(Table10[[#This Row],[Date]])+1</f>
        <v>45778</v>
      </c>
      <c r="F94" s="259">
        <v>45799</v>
      </c>
      <c r="G94" s="102" t="s">
        <v>140</v>
      </c>
      <c r="H94" s="102" t="str">
        <f>IFERROR(_xlfn.XLOOKUP(Table10[[#This Row],[Affected Feeder ]],'Basic Data'!$A$43:$A$70,'Basic Data'!$B$43:$B$70),"")</f>
        <v>TQGXIIPL</v>
      </c>
      <c r="I94" s="102" t="str">
        <f>IFERROR(_xlfn.XLOOKUP(Table10[[#This Row],[Affected Feeder ]],'Basic Data'!$A$43:$A$70,'Basic Data'!$C$43:$C$70),"")</f>
        <v>GEDA</v>
      </c>
      <c r="J94" s="271">
        <f>IFERROR(_xlfn.XLOOKUP(Table10[[#This Row],[Affected Feeder ]],'Basic Data'!$A$43:$A$70,'Basic Data'!$E$43:$E$70),"")</f>
        <v>3.846153846153845E-2</v>
      </c>
      <c r="K94" s="272" t="s">
        <v>731</v>
      </c>
      <c r="L94" s="273">
        <v>0.47430555555555554</v>
      </c>
      <c r="M94" s="273">
        <v>0.47430555555555554</v>
      </c>
      <c r="N94" s="273">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272" t="s">
        <v>721</v>
      </c>
      <c r="S94" s="102" t="s">
        <v>268</v>
      </c>
      <c r="T94" s="274">
        <f>IFERROR(Table10[[#This Row],[Breakdown Time]]*Table10[[#This Row],[Plant Equivalent Weightage]],"")</f>
        <v>0.25128205128205122</v>
      </c>
      <c r="U94" s="102" t="s">
        <v>637</v>
      </c>
      <c r="V94" s="288">
        <f>IFERROR(_xlfn.XLOOKUP(Table10[[#This Row],[Date]],'Daily KPI'!$A:$A,'Daily KPI'!$M:$M),"")</f>
        <v>3.7634574295913192</v>
      </c>
      <c r="W94" s="102">
        <v>154.80000000000001</v>
      </c>
      <c r="X94" s="102">
        <f>Table10[[#This Row],[WTG Loss]]*1*Table10[[#This Row],[Breakdown Time]]</f>
        <v>1011.3600000000002</v>
      </c>
      <c r="Y94" s="102" t="s">
        <v>638</v>
      </c>
      <c r="Z94" s="102"/>
      <c r="AA94" s="102"/>
    </row>
    <row r="95" spans="1:27">
      <c r="A95" s="102">
        <f t="shared" si="1"/>
        <v>94</v>
      </c>
      <c r="B95" s="102">
        <f>YEAR(Table10[[#This Row],[Date]])+IF(MONTH(Table10[[#This Row],[Date]])&gt;=4,1,0)</f>
        <v>2026</v>
      </c>
      <c r="C95" s="102">
        <f>YEAR(Table10[[#This Row],[Date]])</f>
        <v>2025</v>
      </c>
      <c r="D95" s="102" t="s">
        <v>265</v>
      </c>
      <c r="E95" s="258">
        <f>Table10[[#This Row],[Date]]-DAY(Table10[[#This Row],[Date]])+1</f>
        <v>45778</v>
      </c>
      <c r="F95" s="259">
        <v>45799</v>
      </c>
      <c r="G95" s="102" t="s">
        <v>639</v>
      </c>
      <c r="H95" s="102" t="str">
        <f>IFERROR(_xlfn.XLOOKUP(Table10[[#This Row],[Affected Feeder ]],'Basic Data'!$A$43:$A$70,'Basic Data'!$B$43:$B$70),"")</f>
        <v>TQGXIIPL</v>
      </c>
      <c r="I95" s="102" t="str">
        <f>IFERROR(_xlfn.XLOOKUP(Table10[[#This Row],[Affected Feeder ]],'Basic Data'!$A$43:$A$70,'Basic Data'!$C$43:$C$70),"")</f>
        <v>GEDA</v>
      </c>
      <c r="J95" s="271">
        <f>IFERROR(_xlfn.XLOOKUP(Table10[[#This Row],[Affected Feeder ]],'Basic Data'!$A$43:$A$70,'Basic Data'!$E$43:$E$70),"")</f>
        <v>0.49999999999999978</v>
      </c>
      <c r="K95" s="272" t="s">
        <v>709</v>
      </c>
      <c r="L95" s="273">
        <v>0.74652777777777779</v>
      </c>
      <c r="M95" s="273">
        <v>0.74652777777777779</v>
      </c>
      <c r="N95" s="273">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272" t="s">
        <v>732</v>
      </c>
      <c r="S95" s="102" t="s">
        <v>268</v>
      </c>
      <c r="T95" s="274">
        <f>IFERROR(Table10[[#This Row],[Breakdown Time]]*Table10[[#This Row],[Plant Equivalent Weightage]],"")</f>
        <v>0.54999999999999916</v>
      </c>
      <c r="U95" s="102" t="s">
        <v>637</v>
      </c>
      <c r="V95" s="288">
        <f>IFERROR(_xlfn.XLOOKUP(Table10[[#This Row],[Date]],'Daily KPI'!$A:$A,'Daily KPI'!$M:$M),"")</f>
        <v>3.7634574295913192</v>
      </c>
      <c r="W95" s="102">
        <v>154.80000000000001</v>
      </c>
      <c r="X95" s="102">
        <f>Table10[[#This Row],[WTG Loss]]*13*Table10[[#This Row],[Breakdown Time]]</f>
        <v>2213.6399999999976</v>
      </c>
      <c r="Y95" s="102" t="s">
        <v>638</v>
      </c>
      <c r="Z95" s="102"/>
      <c r="AA95" s="102"/>
    </row>
    <row r="96" spans="1:27">
      <c r="A96" s="102">
        <f t="shared" si="1"/>
        <v>95</v>
      </c>
      <c r="B96" s="102">
        <f>YEAR(Table10[[#This Row],[Date]])+IF(MONTH(Table10[[#This Row],[Date]])&gt;=4,1,0)</f>
        <v>2026</v>
      </c>
      <c r="C96" s="102">
        <f>YEAR(Table10[[#This Row],[Date]])</f>
        <v>2025</v>
      </c>
      <c r="D96" s="102" t="s">
        <v>265</v>
      </c>
      <c r="E96" s="258">
        <f>Table10[[#This Row],[Date]]-DAY(Table10[[#This Row],[Date]])+1</f>
        <v>45778</v>
      </c>
      <c r="F96" s="259">
        <v>45800</v>
      </c>
      <c r="G96" s="102" t="s">
        <v>647</v>
      </c>
      <c r="H96" s="102" t="str">
        <f>IFERROR(_xlfn.XLOOKUP(Table10[[#This Row],[Affected Feeder ]],'Basic Data'!$A$43:$A$70,'Basic Data'!$B$43:$B$70),"")</f>
        <v>TQGXIIPL</v>
      </c>
      <c r="I96" s="102" t="str">
        <f>IFERROR(_xlfn.XLOOKUP(Table10[[#This Row],[Affected Feeder ]],'Basic Data'!$A$43:$A$70,'Basic Data'!$C$43:$C$70),"")</f>
        <v>GEDA</v>
      </c>
      <c r="J96" s="271">
        <f>IFERROR(_xlfn.XLOOKUP(Table10[[#This Row],[Affected Feeder ]],'Basic Data'!$A$43:$A$70,'Basic Data'!$E$43:$E$70),"")</f>
        <v>0.49999999999999978</v>
      </c>
      <c r="K96" s="272" t="s">
        <v>674</v>
      </c>
      <c r="L96" s="273">
        <v>0.85833333333333328</v>
      </c>
      <c r="M96" s="273">
        <v>0.85833333333333328</v>
      </c>
      <c r="N96" s="273">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272" t="s">
        <v>733</v>
      </c>
      <c r="S96" s="102" t="s">
        <v>268</v>
      </c>
      <c r="T96" s="274">
        <f>IFERROR(Table10[[#This Row],[Breakdown Time]]*Table10[[#This Row],[Plant Equivalent Weightage]],"")</f>
        <v>0.16666666666666732</v>
      </c>
      <c r="U96" s="102" t="s">
        <v>637</v>
      </c>
      <c r="V96" s="288">
        <f>IFERROR(_xlfn.XLOOKUP(Table10[[#This Row],[Date]],'Daily KPI'!$A:$A,'Daily KPI'!$M:$M),"")</f>
        <v>4.8978954647090855</v>
      </c>
      <c r="W96" s="102">
        <v>384</v>
      </c>
      <c r="X96" s="102">
        <f>Table10[[#This Row],[WTG Loss]]*13*Table10[[#This Row],[Breakdown Time]]</f>
        <v>1664.0000000000073</v>
      </c>
      <c r="Y96" s="102" t="s">
        <v>638</v>
      </c>
      <c r="Z96" s="102"/>
      <c r="AA96" s="102"/>
    </row>
    <row r="97" spans="1:27">
      <c r="A97" s="102">
        <f t="shared" si="1"/>
        <v>96</v>
      </c>
      <c r="B97" s="102">
        <f>YEAR(Table10[[#This Row],[Date]])+IF(MONTH(Table10[[#This Row],[Date]])&gt;=4,1,0)</f>
        <v>2026</v>
      </c>
      <c r="C97" s="102">
        <f>YEAR(Table10[[#This Row],[Date]])</f>
        <v>2025</v>
      </c>
      <c r="D97" s="102" t="s">
        <v>265</v>
      </c>
      <c r="E97" s="258">
        <f>Table10[[#This Row],[Date]]-DAY(Table10[[#This Row],[Date]])+1</f>
        <v>45778</v>
      </c>
      <c r="F97" s="259">
        <v>45801</v>
      </c>
      <c r="G97" s="102" t="s">
        <v>639</v>
      </c>
      <c r="H97" s="102" t="str">
        <f>IFERROR(_xlfn.XLOOKUP(Table10[[#This Row],[Affected Feeder ]],'Basic Data'!$A$43:$A$70,'Basic Data'!$B$43:$B$70),"")</f>
        <v>TQGXIIPL</v>
      </c>
      <c r="I97" s="102" t="str">
        <f>IFERROR(_xlfn.XLOOKUP(Table10[[#This Row],[Affected Feeder ]],'Basic Data'!$A$43:$A$70,'Basic Data'!$C$43:$C$70),"")</f>
        <v>GEDA</v>
      </c>
      <c r="J97" s="271">
        <f>IFERROR(_xlfn.XLOOKUP(Table10[[#This Row],[Affected Feeder ]],'Basic Data'!$A$43:$A$70,'Basic Data'!$E$43:$E$70),"")</f>
        <v>0.49999999999999978</v>
      </c>
      <c r="K97" s="272" t="s">
        <v>709</v>
      </c>
      <c r="L97" s="273">
        <v>0.39027777777777778</v>
      </c>
      <c r="M97" s="273">
        <v>0.39027777777777778</v>
      </c>
      <c r="N97" s="273">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272" t="s">
        <v>719</v>
      </c>
      <c r="S97" s="102" t="s">
        <v>268</v>
      </c>
      <c r="T97" s="274">
        <f>IFERROR(Table10[[#This Row],[Breakdown Time]]*Table10[[#This Row],[Plant Equivalent Weightage]],"")</f>
        <v>0.60833333333333295</v>
      </c>
      <c r="U97" s="102" t="s">
        <v>637</v>
      </c>
      <c r="V97" s="288">
        <f>IFERROR(_xlfn.XLOOKUP(Table10[[#This Row],[Date]],'Daily KPI'!$A:$A,'Daily KPI'!$M:$M),"")</f>
        <v>7.5679809963237359</v>
      </c>
      <c r="W97" s="102">
        <v>1490</v>
      </c>
      <c r="X97" s="102">
        <f>Table10[[#This Row],[WTG Loss]]*13*Table10[[#This Row],[Breakdown Time]]</f>
        <v>23566.833333333328</v>
      </c>
      <c r="Y97" s="102" t="s">
        <v>638</v>
      </c>
      <c r="Z97" s="102"/>
      <c r="AA97" s="102"/>
    </row>
    <row r="98" spans="1:27">
      <c r="A98" s="102">
        <f t="shared" si="1"/>
        <v>97</v>
      </c>
      <c r="B98" s="102">
        <f>YEAR(Table10[[#This Row],[Date]])+IF(MONTH(Table10[[#This Row],[Date]])&gt;=4,1,0)</f>
        <v>2026</v>
      </c>
      <c r="C98" s="102">
        <f>YEAR(Table10[[#This Row],[Date]])</f>
        <v>2025</v>
      </c>
      <c r="D98" s="102" t="s">
        <v>265</v>
      </c>
      <c r="E98" s="258">
        <f>Table10[[#This Row],[Date]]-DAY(Table10[[#This Row],[Date]])+1</f>
        <v>45778</v>
      </c>
      <c r="F98" s="259">
        <v>45801</v>
      </c>
      <c r="G98" s="102" t="s">
        <v>639</v>
      </c>
      <c r="H98" s="102" t="str">
        <f>IFERROR(_xlfn.XLOOKUP(Table10[[#This Row],[Affected Feeder ]],'Basic Data'!$A$43:$A$70,'Basic Data'!$B$43:$B$70),"")</f>
        <v>TQGXIIPL</v>
      </c>
      <c r="I98" s="102" t="str">
        <f>IFERROR(_xlfn.XLOOKUP(Table10[[#This Row],[Affected Feeder ]],'Basic Data'!$A$43:$A$70,'Basic Data'!$C$43:$C$70),"")</f>
        <v>GEDA</v>
      </c>
      <c r="J98" s="271">
        <f>IFERROR(_xlfn.XLOOKUP(Table10[[#This Row],[Affected Feeder ]],'Basic Data'!$A$43:$A$70,'Basic Data'!$E$43:$E$70),"")</f>
        <v>0.49999999999999978</v>
      </c>
      <c r="K98" s="272" t="s">
        <v>709</v>
      </c>
      <c r="L98" s="273">
        <v>0.71319444444444446</v>
      </c>
      <c r="M98" s="273">
        <v>0.71319444444444446</v>
      </c>
      <c r="N98" s="273">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272" t="s">
        <v>719</v>
      </c>
      <c r="S98" s="102" t="s">
        <v>268</v>
      </c>
      <c r="T98" s="274">
        <f>IFERROR(Table10[[#This Row],[Breakdown Time]]*Table10[[#This Row],[Plant Equivalent Weightage]],"")</f>
        <v>0.67499999999999993</v>
      </c>
      <c r="U98" s="102" t="s">
        <v>637</v>
      </c>
      <c r="V98" s="288">
        <f>IFERROR(_xlfn.XLOOKUP(Table10[[#This Row],[Date]],'Daily KPI'!$A:$A,'Daily KPI'!$M:$M),"")</f>
        <v>7.5679809963237359</v>
      </c>
      <c r="W98" s="102">
        <v>1490</v>
      </c>
      <c r="X98" s="102">
        <f>Table10[[#This Row],[WTG Loss]]*13*Table10[[#This Row],[Breakdown Time]]</f>
        <v>26149.500000000011</v>
      </c>
      <c r="Y98" s="102" t="s">
        <v>638</v>
      </c>
      <c r="Z98" s="102"/>
      <c r="AA98" s="102"/>
    </row>
    <row r="99" spans="1:27">
      <c r="A99" s="102">
        <f t="shared" si="1"/>
        <v>98</v>
      </c>
      <c r="B99" s="102">
        <f>YEAR(Table10[[#This Row],[Date]])+IF(MONTH(Table10[[#This Row],[Date]])&gt;=4,1,0)</f>
        <v>2026</v>
      </c>
      <c r="C99" s="102">
        <f>YEAR(Table10[[#This Row],[Date]])</f>
        <v>2025</v>
      </c>
      <c r="D99" s="102" t="s">
        <v>265</v>
      </c>
      <c r="E99" s="258">
        <f>Table10[[#This Row],[Date]]-DAY(Table10[[#This Row],[Date]])+1</f>
        <v>45778</v>
      </c>
      <c r="F99" s="259">
        <v>45801</v>
      </c>
      <c r="G99" s="102" t="s">
        <v>115</v>
      </c>
      <c r="H99" s="102" t="str">
        <f>IFERROR(_xlfn.XLOOKUP(Table10[[#This Row],[Affected Feeder ]],'Basic Data'!$A$43:$A$70,'Basic Data'!$B$43:$B$70),"")</f>
        <v>TQGXIIPL</v>
      </c>
      <c r="I99" s="102" t="str">
        <f>IFERROR(_xlfn.XLOOKUP(Table10[[#This Row],[Affected Feeder ]],'Basic Data'!$A$43:$A$70,'Basic Data'!$C$43:$C$70),"")</f>
        <v>GEDA</v>
      </c>
      <c r="J99" s="271">
        <f>IFERROR(_xlfn.XLOOKUP(Table10[[#This Row],[Affected Feeder ]],'Basic Data'!$A$43:$A$70,'Basic Data'!$E$43:$E$70),"")</f>
        <v>3.846153846153845E-2</v>
      </c>
      <c r="K99" s="272" t="s">
        <v>720</v>
      </c>
      <c r="L99" s="273">
        <v>0.44097222222222221</v>
      </c>
      <c r="M99" s="273">
        <v>0.44097222222222221</v>
      </c>
      <c r="N99" s="273">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272" t="s">
        <v>734</v>
      </c>
      <c r="S99" s="102" t="s">
        <v>268</v>
      </c>
      <c r="T99" s="274">
        <f>IFERROR(Table10[[#This Row],[Breakdown Time]]*Table10[[#This Row],[Plant Equivalent Weightage]],"")</f>
        <v>0.25128205128205122</v>
      </c>
      <c r="U99" s="102" t="s">
        <v>637</v>
      </c>
      <c r="V99" s="288">
        <f>IFERROR(_xlfn.XLOOKUP(Table10[[#This Row],[Date]],'Daily KPI'!$A:$A,'Daily KPI'!$M:$M),"")</f>
        <v>7.5679809963237359</v>
      </c>
      <c r="W99" s="102">
        <v>1490</v>
      </c>
      <c r="X99" s="102">
        <f>Table10[[#This Row],[WTG Loss]]*1*Table10[[#This Row],[Breakdown Time]]</f>
        <v>9734.6666666666679</v>
      </c>
      <c r="Y99" s="102" t="s">
        <v>638</v>
      </c>
      <c r="Z99" s="102"/>
      <c r="AA99" s="102"/>
    </row>
    <row r="100" spans="1:27">
      <c r="A100" s="102">
        <f t="shared" si="1"/>
        <v>99</v>
      </c>
      <c r="B100" s="102">
        <f>YEAR(Table10[[#This Row],[Date]])+IF(MONTH(Table10[[#This Row],[Date]])&gt;=4,1,0)</f>
        <v>2026</v>
      </c>
      <c r="C100" s="102">
        <f>YEAR(Table10[[#This Row],[Date]])</f>
        <v>2025</v>
      </c>
      <c r="D100" s="102" t="s">
        <v>265</v>
      </c>
      <c r="E100" s="258">
        <f>Table10[[#This Row],[Date]]-DAY(Table10[[#This Row],[Date]])+1</f>
        <v>45778</v>
      </c>
      <c r="F100" s="259">
        <v>45801</v>
      </c>
      <c r="G100" s="102" t="s">
        <v>116</v>
      </c>
      <c r="H100" s="102" t="str">
        <f>IFERROR(_xlfn.XLOOKUP(Table10[[#This Row],[Affected Feeder ]],'Basic Data'!$A$43:$A$70,'Basic Data'!$B$43:$B$70),"")</f>
        <v>TQGXIIPL</v>
      </c>
      <c r="I100" s="102" t="str">
        <f>IFERROR(_xlfn.XLOOKUP(Table10[[#This Row],[Affected Feeder ]],'Basic Data'!$A$43:$A$70,'Basic Data'!$C$43:$C$70),"")</f>
        <v>GEDA</v>
      </c>
      <c r="J100" s="271">
        <f>IFERROR(_xlfn.XLOOKUP(Table10[[#This Row],[Affected Feeder ]],'Basic Data'!$A$43:$A$70,'Basic Data'!$E$43:$E$70),"")</f>
        <v>3.846153846153845E-2</v>
      </c>
      <c r="K100" s="272" t="s">
        <v>722</v>
      </c>
      <c r="L100" s="273">
        <v>0.44097222222222221</v>
      </c>
      <c r="M100" s="273">
        <v>0.44097222222222221</v>
      </c>
      <c r="N100" s="273">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272" t="s">
        <v>734</v>
      </c>
      <c r="S100" s="102" t="s">
        <v>268</v>
      </c>
      <c r="T100" s="274">
        <f>IFERROR(Table10[[#This Row],[Breakdown Time]]*Table10[[#This Row],[Plant Equivalent Weightage]],"")</f>
        <v>0.25128205128205122</v>
      </c>
      <c r="U100" s="102" t="s">
        <v>637</v>
      </c>
      <c r="V100" s="288">
        <f>IFERROR(_xlfn.XLOOKUP(Table10[[#This Row],[Date]],'Daily KPI'!$A:$A,'Daily KPI'!$M:$M),"")</f>
        <v>7.5679809963237359</v>
      </c>
      <c r="W100" s="102">
        <v>1490</v>
      </c>
      <c r="X100" s="102">
        <f>Table10[[#This Row],[WTG Loss]]*1*Table10[[#This Row],[Breakdown Time]]</f>
        <v>9734.6666666666679</v>
      </c>
      <c r="Y100" s="102" t="s">
        <v>638</v>
      </c>
      <c r="Z100" s="102"/>
      <c r="AA100" s="102"/>
    </row>
    <row r="101" spans="1:27">
      <c r="A101" s="102">
        <f t="shared" si="1"/>
        <v>100</v>
      </c>
      <c r="B101" s="102">
        <f>YEAR(Table10[[#This Row],[Date]])+IF(MONTH(Table10[[#This Row],[Date]])&gt;=4,1,0)</f>
        <v>2026</v>
      </c>
      <c r="C101" s="102">
        <f>YEAR(Table10[[#This Row],[Date]])</f>
        <v>2025</v>
      </c>
      <c r="D101" s="102" t="s">
        <v>265</v>
      </c>
      <c r="E101" s="258">
        <f>Table10[[#This Row],[Date]]-DAY(Table10[[#This Row],[Date]])+1</f>
        <v>45778</v>
      </c>
      <c r="F101" s="259">
        <v>45801</v>
      </c>
      <c r="G101" s="102" t="s">
        <v>119</v>
      </c>
      <c r="H101" s="102" t="str">
        <f>IFERROR(_xlfn.XLOOKUP(Table10[[#This Row],[Affected Feeder ]],'Basic Data'!$A$43:$A$70,'Basic Data'!$B$43:$B$70),"")</f>
        <v>TQGXIIPL</v>
      </c>
      <c r="I101" s="102" t="str">
        <f>IFERROR(_xlfn.XLOOKUP(Table10[[#This Row],[Affected Feeder ]],'Basic Data'!$A$43:$A$70,'Basic Data'!$C$43:$C$70),"")</f>
        <v>GEDA</v>
      </c>
      <c r="J101" s="271">
        <f>IFERROR(_xlfn.XLOOKUP(Table10[[#This Row],[Affected Feeder ]],'Basic Data'!$A$43:$A$70,'Basic Data'!$E$43:$E$70),"")</f>
        <v>3.846153846153845E-2</v>
      </c>
      <c r="K101" s="272" t="s">
        <v>724</v>
      </c>
      <c r="L101" s="273">
        <v>0.44097222222222221</v>
      </c>
      <c r="M101" s="273">
        <v>0.44097222222222221</v>
      </c>
      <c r="N101" s="273">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272" t="s">
        <v>735</v>
      </c>
      <c r="S101" s="102" t="s">
        <v>268</v>
      </c>
      <c r="T101" s="274">
        <f>IFERROR(Table10[[#This Row],[Breakdown Time]]*Table10[[#This Row],[Plant Equivalent Weightage]],"")</f>
        <v>0.25128205128205122</v>
      </c>
      <c r="U101" s="102" t="s">
        <v>637</v>
      </c>
      <c r="V101" s="288">
        <f>IFERROR(_xlfn.XLOOKUP(Table10[[#This Row],[Date]],'Daily KPI'!$A:$A,'Daily KPI'!$M:$M),"")</f>
        <v>7.5679809963237359</v>
      </c>
      <c r="W101" s="102">
        <v>1490</v>
      </c>
      <c r="X101" s="102">
        <f>Table10[[#This Row],[WTG Loss]]*1*Table10[[#This Row],[Breakdown Time]]</f>
        <v>9734.6666666666679</v>
      </c>
      <c r="Y101" s="102" t="s">
        <v>638</v>
      </c>
      <c r="Z101" s="102"/>
      <c r="AA101" s="102"/>
    </row>
    <row r="102" spans="1:27">
      <c r="A102" s="102">
        <f t="shared" si="1"/>
        <v>101</v>
      </c>
      <c r="B102" s="102">
        <f>YEAR(Table10[[#This Row],[Date]])+IF(MONTH(Table10[[#This Row],[Date]])&gt;=4,1,0)</f>
        <v>2026</v>
      </c>
      <c r="C102" s="102">
        <f>YEAR(Table10[[#This Row],[Date]])</f>
        <v>2025</v>
      </c>
      <c r="D102" s="102" t="s">
        <v>265</v>
      </c>
      <c r="E102" s="258">
        <f>Table10[[#This Row],[Date]]-DAY(Table10[[#This Row],[Date]])+1</f>
        <v>45778</v>
      </c>
      <c r="F102" s="259">
        <v>45801</v>
      </c>
      <c r="G102" s="102" t="s">
        <v>122</v>
      </c>
      <c r="H102" s="102" t="str">
        <f>IFERROR(_xlfn.XLOOKUP(Table10[[#This Row],[Affected Feeder ]],'Basic Data'!$A$43:$A$70,'Basic Data'!$B$43:$B$70),"")</f>
        <v>TQGXIIPL</v>
      </c>
      <c r="I102" s="102" t="str">
        <f>IFERROR(_xlfn.XLOOKUP(Table10[[#This Row],[Affected Feeder ]],'Basic Data'!$A$43:$A$70,'Basic Data'!$C$43:$C$70),"")</f>
        <v>GEDA</v>
      </c>
      <c r="J102" s="271">
        <f>IFERROR(_xlfn.XLOOKUP(Table10[[#This Row],[Affected Feeder ]],'Basic Data'!$A$43:$A$70,'Basic Data'!$E$43:$E$70),"")</f>
        <v>3.846153846153845E-2</v>
      </c>
      <c r="K102" s="272" t="s">
        <v>725</v>
      </c>
      <c r="L102" s="273">
        <v>0.44097222222222221</v>
      </c>
      <c r="M102" s="273">
        <v>0.44097222222222221</v>
      </c>
      <c r="N102" s="273">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272" t="s">
        <v>735</v>
      </c>
      <c r="S102" s="102" t="s">
        <v>268</v>
      </c>
      <c r="T102" s="274">
        <f>IFERROR(Table10[[#This Row],[Breakdown Time]]*Table10[[#This Row],[Plant Equivalent Weightage]],"")</f>
        <v>0.25128205128205122</v>
      </c>
      <c r="U102" s="102" t="s">
        <v>637</v>
      </c>
      <c r="V102" s="288">
        <f>IFERROR(_xlfn.XLOOKUP(Table10[[#This Row],[Date]],'Daily KPI'!$A:$A,'Daily KPI'!$M:$M),"")</f>
        <v>7.5679809963237359</v>
      </c>
      <c r="W102" s="102">
        <v>1490</v>
      </c>
      <c r="X102" s="102">
        <f>Table10[[#This Row],[WTG Loss]]*1*Table10[[#This Row],[Breakdown Time]]</f>
        <v>9734.6666666666679</v>
      </c>
      <c r="Y102" s="102" t="s">
        <v>638</v>
      </c>
      <c r="Z102" s="102"/>
      <c r="AA102" s="102"/>
    </row>
    <row r="103" spans="1:27">
      <c r="A103" s="102">
        <f t="shared" ref="A103:A140" si="2">A102+1</f>
        <v>102</v>
      </c>
      <c r="B103" s="102">
        <f>YEAR(Table10[[#This Row],[Date]])+IF(MONTH(Table10[[#This Row],[Date]])&gt;=4,1,0)</f>
        <v>2026</v>
      </c>
      <c r="C103" s="102">
        <f>YEAR(Table10[[#This Row],[Date]])</f>
        <v>2025</v>
      </c>
      <c r="D103" s="102" t="s">
        <v>265</v>
      </c>
      <c r="E103" s="258">
        <f>Table10[[#This Row],[Date]]-DAY(Table10[[#This Row],[Date]])+1</f>
        <v>45778</v>
      </c>
      <c r="F103" s="259">
        <v>45801</v>
      </c>
      <c r="G103" s="102" t="s">
        <v>123</v>
      </c>
      <c r="H103" s="102" t="str">
        <f>IFERROR(_xlfn.XLOOKUP(Table10[[#This Row],[Affected Feeder ]],'Basic Data'!$A$43:$A$70,'Basic Data'!$B$43:$B$70),"")</f>
        <v>TQGXIIPL</v>
      </c>
      <c r="I103" s="102" t="str">
        <f>IFERROR(_xlfn.XLOOKUP(Table10[[#This Row],[Affected Feeder ]],'Basic Data'!$A$43:$A$70,'Basic Data'!$C$43:$C$70),"")</f>
        <v>GEDA</v>
      </c>
      <c r="J103" s="271">
        <f>IFERROR(_xlfn.XLOOKUP(Table10[[#This Row],[Affected Feeder ]],'Basic Data'!$A$43:$A$70,'Basic Data'!$E$43:$E$70),"")</f>
        <v>3.846153846153845E-2</v>
      </c>
      <c r="K103" s="272" t="s">
        <v>726</v>
      </c>
      <c r="L103" s="273">
        <v>0.44097222222222221</v>
      </c>
      <c r="M103" s="273">
        <v>0.44097222222222221</v>
      </c>
      <c r="N103" s="273">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272" t="s">
        <v>734</v>
      </c>
      <c r="S103" s="102" t="s">
        <v>268</v>
      </c>
      <c r="T103" s="274">
        <f>IFERROR(Table10[[#This Row],[Breakdown Time]]*Table10[[#This Row],[Plant Equivalent Weightage]],"")</f>
        <v>0.25128205128205122</v>
      </c>
      <c r="U103" s="102" t="s">
        <v>637</v>
      </c>
      <c r="V103" s="288">
        <f>IFERROR(_xlfn.XLOOKUP(Table10[[#This Row],[Date]],'Daily KPI'!$A:$A,'Daily KPI'!$M:$M),"")</f>
        <v>7.5679809963237359</v>
      </c>
      <c r="W103" s="102">
        <v>1490</v>
      </c>
      <c r="X103" s="102">
        <f>Table10[[#This Row],[WTG Loss]]*1*Table10[[#This Row],[Breakdown Time]]</f>
        <v>9734.6666666666679</v>
      </c>
      <c r="Y103" s="102" t="s">
        <v>638</v>
      </c>
      <c r="Z103" s="102"/>
      <c r="AA103" s="102"/>
    </row>
    <row r="104" spans="1:27">
      <c r="A104" s="102">
        <f t="shared" si="2"/>
        <v>103</v>
      </c>
      <c r="B104" s="102">
        <f>YEAR(Table10[[#This Row],[Date]])+IF(MONTH(Table10[[#This Row],[Date]])&gt;=4,1,0)</f>
        <v>2026</v>
      </c>
      <c r="C104" s="102">
        <f>YEAR(Table10[[#This Row],[Date]])</f>
        <v>2025</v>
      </c>
      <c r="D104" s="102" t="s">
        <v>265</v>
      </c>
      <c r="E104" s="258">
        <f>Table10[[#This Row],[Date]]-DAY(Table10[[#This Row],[Date]])+1</f>
        <v>45778</v>
      </c>
      <c r="F104" s="259">
        <v>45801</v>
      </c>
      <c r="G104" s="102" t="s">
        <v>139</v>
      </c>
      <c r="H104" s="102" t="str">
        <f>IFERROR(_xlfn.XLOOKUP(Table10[[#This Row],[Affected Feeder ]],'Basic Data'!$A$43:$A$70,'Basic Data'!$B$43:$B$70),"")</f>
        <v>TQGXIIPL</v>
      </c>
      <c r="I104" s="102" t="str">
        <f>IFERROR(_xlfn.XLOOKUP(Table10[[#This Row],[Affected Feeder ]],'Basic Data'!$A$43:$A$70,'Basic Data'!$C$43:$C$70),"")</f>
        <v>GEDA</v>
      </c>
      <c r="J104" s="271">
        <f>IFERROR(_xlfn.XLOOKUP(Table10[[#This Row],[Affected Feeder ]],'Basic Data'!$A$43:$A$70,'Basic Data'!$E$43:$E$70),"")</f>
        <v>3.846153846153845E-2</v>
      </c>
      <c r="K104" s="272" t="s">
        <v>730</v>
      </c>
      <c r="L104" s="273">
        <v>0.44097222222222221</v>
      </c>
      <c r="M104" s="273">
        <v>0.44097222222222221</v>
      </c>
      <c r="N104" s="273">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272" t="s">
        <v>734</v>
      </c>
      <c r="S104" s="102" t="s">
        <v>268</v>
      </c>
      <c r="T104" s="274">
        <f>IFERROR(Table10[[#This Row],[Breakdown Time]]*Table10[[#This Row],[Plant Equivalent Weightage]],"")</f>
        <v>0.25128205128205122</v>
      </c>
      <c r="U104" s="102" t="s">
        <v>637</v>
      </c>
      <c r="V104" s="288">
        <f>IFERROR(_xlfn.XLOOKUP(Table10[[#This Row],[Date]],'Daily KPI'!$A:$A,'Daily KPI'!$M:$M),"")</f>
        <v>7.5679809963237359</v>
      </c>
      <c r="W104" s="102">
        <v>1490</v>
      </c>
      <c r="X104" s="102">
        <f>Table10[[#This Row],[WTG Loss]]*1*Table10[[#This Row],[Breakdown Time]]</f>
        <v>9734.6666666666679</v>
      </c>
      <c r="Y104" s="102" t="s">
        <v>638</v>
      </c>
      <c r="Z104" s="102"/>
      <c r="AA104" s="102"/>
    </row>
    <row r="105" spans="1:27">
      <c r="A105" s="102">
        <f t="shared" si="2"/>
        <v>104</v>
      </c>
      <c r="B105" s="102">
        <f>YEAR(Table10[[#This Row],[Date]])+IF(MONTH(Table10[[#This Row],[Date]])&gt;=4,1,0)</f>
        <v>2026</v>
      </c>
      <c r="C105" s="102">
        <f>YEAR(Table10[[#This Row],[Date]])</f>
        <v>2025</v>
      </c>
      <c r="D105" s="102" t="s">
        <v>265</v>
      </c>
      <c r="E105" s="258">
        <f>Table10[[#This Row],[Date]]-DAY(Table10[[#This Row],[Date]])+1</f>
        <v>45778</v>
      </c>
      <c r="F105" s="259">
        <v>45801</v>
      </c>
      <c r="G105" s="102" t="s">
        <v>140</v>
      </c>
      <c r="H105" s="102" t="str">
        <f>IFERROR(_xlfn.XLOOKUP(Table10[[#This Row],[Affected Feeder ]],'Basic Data'!$A$43:$A$70,'Basic Data'!$B$43:$B$70),"")</f>
        <v>TQGXIIPL</v>
      </c>
      <c r="I105" s="102" t="str">
        <f>IFERROR(_xlfn.XLOOKUP(Table10[[#This Row],[Affected Feeder ]],'Basic Data'!$A$43:$A$70,'Basic Data'!$C$43:$C$70),"")</f>
        <v>GEDA</v>
      </c>
      <c r="J105" s="271">
        <f>IFERROR(_xlfn.XLOOKUP(Table10[[#This Row],[Affected Feeder ]],'Basic Data'!$A$43:$A$70,'Basic Data'!$E$43:$E$70),"")</f>
        <v>3.846153846153845E-2</v>
      </c>
      <c r="K105" s="272" t="s">
        <v>731</v>
      </c>
      <c r="L105" s="273">
        <v>0.44097222222222221</v>
      </c>
      <c r="M105" s="273">
        <v>0.44097222222222221</v>
      </c>
      <c r="N105" s="273">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272" t="s">
        <v>734</v>
      </c>
      <c r="S105" s="102" t="s">
        <v>268</v>
      </c>
      <c r="T105" s="274">
        <f>IFERROR(Table10[[#This Row],[Breakdown Time]]*Table10[[#This Row],[Plant Equivalent Weightage]],"")</f>
        <v>0.25128205128205122</v>
      </c>
      <c r="U105" s="102" t="s">
        <v>637</v>
      </c>
      <c r="V105" s="288">
        <f>IFERROR(_xlfn.XLOOKUP(Table10[[#This Row],[Date]],'Daily KPI'!$A:$A,'Daily KPI'!$M:$M),"")</f>
        <v>7.5679809963237359</v>
      </c>
      <c r="W105" s="102">
        <v>1490</v>
      </c>
      <c r="X105" s="102">
        <f>Table10[[#This Row],[WTG Loss]]*1*Table10[[#This Row],[Breakdown Time]]</f>
        <v>9734.6666666666679</v>
      </c>
      <c r="Y105" s="102" t="s">
        <v>638</v>
      </c>
      <c r="Z105" s="102"/>
      <c r="AA105" s="102"/>
    </row>
    <row r="106" spans="1:27">
      <c r="A106" s="102">
        <f t="shared" si="2"/>
        <v>105</v>
      </c>
      <c r="B106" s="102">
        <f>YEAR(Table10[[#This Row],[Date]])+IF(MONTH(Table10[[#This Row],[Date]])&gt;=4,1,0)</f>
        <v>2026</v>
      </c>
      <c r="C106" s="102">
        <f>YEAR(Table10[[#This Row],[Date]])</f>
        <v>2025</v>
      </c>
      <c r="D106" s="102" t="s">
        <v>265</v>
      </c>
      <c r="E106" s="258">
        <f>Table10[[#This Row],[Date]]-DAY(Table10[[#This Row],[Date]])+1</f>
        <v>45778</v>
      </c>
      <c r="F106" s="259">
        <v>45802</v>
      </c>
      <c r="G106" s="102" t="s">
        <v>639</v>
      </c>
      <c r="H106" s="102" t="str">
        <f>IFERROR(_xlfn.XLOOKUP(Table10[[#This Row],[Affected Feeder ]],'Basic Data'!$A$43:$A$70,'Basic Data'!$B$43:$B$70),"")</f>
        <v>TQGXIIPL</v>
      </c>
      <c r="I106" s="102" t="str">
        <f>IFERROR(_xlfn.XLOOKUP(Table10[[#This Row],[Affected Feeder ]],'Basic Data'!$A$43:$A$70,'Basic Data'!$C$43:$C$70),"")</f>
        <v>GEDA</v>
      </c>
      <c r="J106" s="271">
        <f>IFERROR(_xlfn.XLOOKUP(Table10[[#This Row],[Affected Feeder ]],'Basic Data'!$A$43:$A$70,'Basic Data'!$E$43:$E$70),"")</f>
        <v>0.49999999999999978</v>
      </c>
      <c r="K106" s="272" t="s">
        <v>736</v>
      </c>
      <c r="L106" s="273">
        <v>0.39583333333333331</v>
      </c>
      <c r="M106" s="273">
        <v>0.39583333333333331</v>
      </c>
      <c r="N106" s="273">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272" t="s">
        <v>719</v>
      </c>
      <c r="S106" s="102" t="s">
        <v>268</v>
      </c>
      <c r="T106" s="274">
        <f>IFERROR(Table10[[#This Row],[Breakdown Time]]*Table10[[#This Row],[Plant Equivalent Weightage]],"")</f>
        <v>0.41666666666666702</v>
      </c>
      <c r="U106" s="102" t="s">
        <v>637</v>
      </c>
      <c r="V106" s="288">
        <f>IFERROR(_xlfn.XLOOKUP(Table10[[#This Row],[Date]],'Daily KPI'!$A:$A,'Daily KPI'!$M:$M),"")</f>
        <v>7.6819230769230789</v>
      </c>
      <c r="W106" s="102">
        <v>1543.5</v>
      </c>
      <c r="X106" s="102">
        <f>Table10[[#This Row],[WTG Loss]]*13*Table10[[#This Row],[Breakdown Time]]</f>
        <v>16721.250000000022</v>
      </c>
      <c r="Y106" s="102" t="s">
        <v>638</v>
      </c>
      <c r="Z106" s="102"/>
      <c r="AA106" s="102"/>
    </row>
    <row r="107" spans="1:27">
      <c r="A107" s="102">
        <f t="shared" si="2"/>
        <v>106</v>
      </c>
      <c r="B107" s="102">
        <f>YEAR(Table10[[#This Row],[Date]])+IF(MONTH(Table10[[#This Row],[Date]])&gt;=4,1,0)</f>
        <v>2026</v>
      </c>
      <c r="C107" s="102">
        <f>YEAR(Table10[[#This Row],[Date]])</f>
        <v>2025</v>
      </c>
      <c r="D107" s="102" t="s">
        <v>265</v>
      </c>
      <c r="E107" s="258">
        <f>Table10[[#This Row],[Date]]-DAY(Table10[[#This Row],[Date]])+1</f>
        <v>45778</v>
      </c>
      <c r="F107" s="259">
        <v>45802</v>
      </c>
      <c r="G107" s="102" t="s">
        <v>639</v>
      </c>
      <c r="H107" s="102" t="str">
        <f>IFERROR(_xlfn.XLOOKUP(Table10[[#This Row],[Affected Feeder ]],'Basic Data'!$A$43:$A$70,'Basic Data'!$B$43:$B$70),"")</f>
        <v>TQGXIIPL</v>
      </c>
      <c r="I107" s="102" t="str">
        <f>IFERROR(_xlfn.XLOOKUP(Table10[[#This Row],[Affected Feeder ]],'Basic Data'!$A$43:$A$70,'Basic Data'!$C$43:$C$70),"")</f>
        <v>GEDA</v>
      </c>
      <c r="J107" s="271">
        <f>IFERROR(_xlfn.XLOOKUP(Table10[[#This Row],[Affected Feeder ]],'Basic Data'!$A$43:$A$70,'Basic Data'!$E$43:$E$70),"")</f>
        <v>0.49999999999999978</v>
      </c>
      <c r="K107" s="272" t="s">
        <v>737</v>
      </c>
      <c r="L107" s="273">
        <v>0.65416666666666667</v>
      </c>
      <c r="M107" s="273">
        <v>0.65416666666666667</v>
      </c>
      <c r="N107" s="273">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272" t="s">
        <v>738</v>
      </c>
      <c r="S107" s="102" t="s">
        <v>268</v>
      </c>
      <c r="T107" s="274">
        <f>IFERROR(Table10[[#This Row],[Breakdown Time]]*Table10[[#This Row],[Plant Equivalent Weightage]],"")</f>
        <v>0.61666666666666692</v>
      </c>
      <c r="U107" s="102" t="s">
        <v>637</v>
      </c>
      <c r="V107" s="288">
        <f>IFERROR(_xlfn.XLOOKUP(Table10[[#This Row],[Date]],'Daily KPI'!$A:$A,'Daily KPI'!$M:$M),"")</f>
        <v>7.6819230769230789</v>
      </c>
      <c r="W107" s="102">
        <v>1543.5</v>
      </c>
      <c r="X107" s="102">
        <f>Table10[[#This Row],[WTG Loss]]*13*Table10[[#This Row],[Breakdown Time]]</f>
        <v>24747.450000000019</v>
      </c>
      <c r="Y107" s="102" t="s">
        <v>638</v>
      </c>
      <c r="Z107" s="102"/>
      <c r="AA107" s="102"/>
    </row>
    <row r="108" spans="1:27">
      <c r="A108" s="102">
        <f t="shared" si="2"/>
        <v>107</v>
      </c>
      <c r="B108" s="102">
        <f>YEAR(Table10[[#This Row],[Date]])+IF(MONTH(Table10[[#This Row],[Date]])&gt;=4,1,0)</f>
        <v>2026</v>
      </c>
      <c r="C108" s="102">
        <f>YEAR(Table10[[#This Row],[Date]])</f>
        <v>2025</v>
      </c>
      <c r="D108" s="102" t="s">
        <v>265</v>
      </c>
      <c r="E108" s="258">
        <f>Table10[[#This Row],[Date]]-DAY(Table10[[#This Row],[Date]])+1</f>
        <v>45778</v>
      </c>
      <c r="F108" s="259">
        <v>45802</v>
      </c>
      <c r="G108" s="102" t="s">
        <v>119</v>
      </c>
      <c r="H108" s="102" t="str">
        <f>IFERROR(_xlfn.XLOOKUP(Table10[[#This Row],[Affected Feeder ]],'Basic Data'!$A$43:$A$70,'Basic Data'!$B$43:$B$70),"")</f>
        <v>TQGXIIPL</v>
      </c>
      <c r="I108" s="102" t="str">
        <f>IFERROR(_xlfn.XLOOKUP(Table10[[#This Row],[Affected Feeder ]],'Basic Data'!$A$43:$A$70,'Basic Data'!$C$43:$C$70),"")</f>
        <v>GEDA</v>
      </c>
      <c r="J108" s="271">
        <f>IFERROR(_xlfn.XLOOKUP(Table10[[#This Row],[Affected Feeder ]],'Basic Data'!$A$43:$A$70,'Basic Data'!$E$43:$E$70),"")</f>
        <v>3.846153846153845E-2</v>
      </c>
      <c r="K108" s="272" t="s">
        <v>724</v>
      </c>
      <c r="L108" s="273">
        <v>0.43055555555555558</v>
      </c>
      <c r="M108" s="273">
        <v>0.43055555555555558</v>
      </c>
      <c r="N108" s="273">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272" t="s">
        <v>734</v>
      </c>
      <c r="S108" s="102" t="s">
        <v>268</v>
      </c>
      <c r="T108" s="274">
        <f>IFERROR(Table10[[#This Row],[Breakdown Time]]*Table10[[#This Row],[Plant Equivalent Weightage]],"")</f>
        <v>0.20641025641025634</v>
      </c>
      <c r="U108" s="102" t="s">
        <v>637</v>
      </c>
      <c r="V108" s="288">
        <f>IFERROR(_xlfn.XLOOKUP(Table10[[#This Row],[Date]],'Daily KPI'!$A:$A,'Daily KPI'!$M:$M),"")</f>
        <v>7.6819230769230789</v>
      </c>
      <c r="W108" s="102">
        <v>1543.5</v>
      </c>
      <c r="X108" s="102">
        <f>Table10[[#This Row],[WTG Loss]]*1*Table10[[#This Row],[Breakdown Time]]</f>
        <v>8283.4499999999989</v>
      </c>
      <c r="Y108" s="102" t="s">
        <v>638</v>
      </c>
      <c r="Z108" s="102"/>
      <c r="AA108" s="102"/>
    </row>
    <row r="109" spans="1:27">
      <c r="A109" s="102">
        <f t="shared" si="2"/>
        <v>108</v>
      </c>
      <c r="B109" s="102">
        <f>YEAR(Table10[[#This Row],[Date]])+IF(MONTH(Table10[[#This Row],[Date]])&gt;=4,1,0)</f>
        <v>2026</v>
      </c>
      <c r="C109" s="102">
        <f>YEAR(Table10[[#This Row],[Date]])</f>
        <v>2025</v>
      </c>
      <c r="D109" s="102" t="s">
        <v>265</v>
      </c>
      <c r="E109" s="258">
        <f>Table10[[#This Row],[Date]]-DAY(Table10[[#This Row],[Date]])+1</f>
        <v>45778</v>
      </c>
      <c r="F109" s="259">
        <v>45802</v>
      </c>
      <c r="G109" s="102" t="s">
        <v>139</v>
      </c>
      <c r="H109" s="102" t="str">
        <f>IFERROR(_xlfn.XLOOKUP(Table10[[#This Row],[Affected Feeder ]],'Basic Data'!$A$43:$A$70,'Basic Data'!$B$43:$B$70),"")</f>
        <v>TQGXIIPL</v>
      </c>
      <c r="I109" s="102" t="str">
        <f>IFERROR(_xlfn.XLOOKUP(Table10[[#This Row],[Affected Feeder ]],'Basic Data'!$A$43:$A$70,'Basic Data'!$C$43:$C$70),"")</f>
        <v>GEDA</v>
      </c>
      <c r="J109" s="271">
        <f>IFERROR(_xlfn.XLOOKUP(Table10[[#This Row],[Affected Feeder ]],'Basic Data'!$A$43:$A$70,'Basic Data'!$E$43:$E$70),"")</f>
        <v>3.846153846153845E-2</v>
      </c>
      <c r="K109" s="272" t="s">
        <v>730</v>
      </c>
      <c r="L109" s="273">
        <v>0.43055555555555558</v>
      </c>
      <c r="M109" s="273">
        <v>0.43055555555555558</v>
      </c>
      <c r="N109" s="273">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272" t="s">
        <v>734</v>
      </c>
      <c r="S109" s="102" t="s">
        <v>268</v>
      </c>
      <c r="T109" s="274">
        <f>IFERROR(Table10[[#This Row],[Breakdown Time]]*Table10[[#This Row],[Plant Equivalent Weightage]],"")</f>
        <v>0.20641025641025634</v>
      </c>
      <c r="U109" s="102" t="s">
        <v>637</v>
      </c>
      <c r="V109" s="288">
        <f>IFERROR(_xlfn.XLOOKUP(Table10[[#This Row],[Date]],'Daily KPI'!$A:$A,'Daily KPI'!$M:$M),"")</f>
        <v>7.6819230769230789</v>
      </c>
      <c r="W109" s="102">
        <v>1543.5</v>
      </c>
      <c r="X109" s="102">
        <f>Table10[[#This Row],[WTG Loss]]*1*Table10[[#This Row],[Breakdown Time]]</f>
        <v>8283.4499999999989</v>
      </c>
      <c r="Y109" s="102" t="s">
        <v>638</v>
      </c>
      <c r="Z109" s="102"/>
      <c r="AA109" s="102"/>
    </row>
    <row r="110" spans="1:27">
      <c r="A110" s="102">
        <f t="shared" si="2"/>
        <v>109</v>
      </c>
      <c r="B110" s="102">
        <f>YEAR(Table10[[#This Row],[Date]])+IF(MONTH(Table10[[#This Row],[Date]])&gt;=4,1,0)</f>
        <v>2026</v>
      </c>
      <c r="C110" s="102">
        <f>YEAR(Table10[[#This Row],[Date]])</f>
        <v>2025</v>
      </c>
      <c r="D110" s="102" t="s">
        <v>265</v>
      </c>
      <c r="E110" s="258">
        <f>Table10[[#This Row],[Date]]-DAY(Table10[[#This Row],[Date]])+1</f>
        <v>45778</v>
      </c>
      <c r="F110" s="259">
        <v>45802</v>
      </c>
      <c r="G110" s="102" t="s">
        <v>116</v>
      </c>
      <c r="H110" s="102" t="str">
        <f>IFERROR(_xlfn.XLOOKUP(Table10[[#This Row],[Affected Feeder ]],'Basic Data'!$A$43:$A$70,'Basic Data'!$B$43:$B$70),"")</f>
        <v>TQGXIIPL</v>
      </c>
      <c r="I110" s="102" t="str">
        <f>IFERROR(_xlfn.XLOOKUP(Table10[[#This Row],[Affected Feeder ]],'Basic Data'!$A$43:$A$70,'Basic Data'!$C$43:$C$70),"")</f>
        <v>GEDA</v>
      </c>
      <c r="J110" s="271">
        <f>IFERROR(_xlfn.XLOOKUP(Table10[[#This Row],[Affected Feeder ]],'Basic Data'!$A$43:$A$70,'Basic Data'!$E$43:$E$70),"")</f>
        <v>3.846153846153845E-2</v>
      </c>
      <c r="K110" s="272" t="s">
        <v>722</v>
      </c>
      <c r="L110" s="273">
        <v>0.43055555555555558</v>
      </c>
      <c r="M110" s="273">
        <v>0.43055555555555558</v>
      </c>
      <c r="N110" s="273">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272" t="s">
        <v>734</v>
      </c>
      <c r="S110" s="102" t="s">
        <v>268</v>
      </c>
      <c r="T110" s="274">
        <f>IFERROR(Table10[[#This Row],[Breakdown Time]]*Table10[[#This Row],[Plant Equivalent Weightage]],"")</f>
        <v>0.20641025641025634</v>
      </c>
      <c r="U110" s="102" t="s">
        <v>637</v>
      </c>
      <c r="V110" s="288">
        <f>IFERROR(_xlfn.XLOOKUP(Table10[[#This Row],[Date]],'Daily KPI'!$A:$A,'Daily KPI'!$M:$M),"")</f>
        <v>7.6819230769230789</v>
      </c>
      <c r="W110" s="102">
        <v>1543.5</v>
      </c>
      <c r="X110" s="102">
        <f>Table10[[#This Row],[WTG Loss]]*1*Table10[[#This Row],[Breakdown Time]]</f>
        <v>8283.4499999999989</v>
      </c>
      <c r="Y110" s="102" t="s">
        <v>638</v>
      </c>
      <c r="Z110" s="102"/>
      <c r="AA110" s="102"/>
    </row>
    <row r="111" spans="1:27">
      <c r="A111" s="102">
        <f t="shared" si="2"/>
        <v>110</v>
      </c>
      <c r="B111" s="102">
        <f>YEAR(Table10[[#This Row],[Date]])+IF(MONTH(Table10[[#This Row],[Date]])&gt;=4,1,0)</f>
        <v>2026</v>
      </c>
      <c r="C111" s="102">
        <f>YEAR(Table10[[#This Row],[Date]])</f>
        <v>2025</v>
      </c>
      <c r="D111" s="102" t="s">
        <v>265</v>
      </c>
      <c r="E111" s="258">
        <f>Table10[[#This Row],[Date]]-DAY(Table10[[#This Row],[Date]])+1</f>
        <v>45778</v>
      </c>
      <c r="F111" s="259">
        <v>45803</v>
      </c>
      <c r="G111" s="102" t="s">
        <v>639</v>
      </c>
      <c r="H111" s="102" t="str">
        <f>IFERROR(_xlfn.XLOOKUP(Table10[[#This Row],[Affected Feeder ]],'Basic Data'!$A$43:$A$70,'Basic Data'!$B$43:$B$70),"")</f>
        <v>TQGXIIPL</v>
      </c>
      <c r="I111" s="102" t="str">
        <f>IFERROR(_xlfn.XLOOKUP(Table10[[#This Row],[Affected Feeder ]],'Basic Data'!$A$43:$A$70,'Basic Data'!$C$43:$C$70),"")</f>
        <v>GEDA</v>
      </c>
      <c r="J111" s="271">
        <f>IFERROR(_xlfn.XLOOKUP(Table10[[#This Row],[Affected Feeder ]],'Basic Data'!$A$43:$A$70,'Basic Data'!$E$43:$E$70),"")</f>
        <v>0.49999999999999978</v>
      </c>
      <c r="K111" s="272" t="s">
        <v>737</v>
      </c>
      <c r="L111" s="273">
        <v>2.5694444444444443E-2</v>
      </c>
      <c r="M111" s="273">
        <v>2.5694444444444443E-2</v>
      </c>
      <c r="N111" s="273">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272" t="s">
        <v>738</v>
      </c>
      <c r="S111" s="102" t="s">
        <v>268</v>
      </c>
      <c r="T111" s="274">
        <f>IFERROR(Table10[[#This Row],[Breakdown Time]]*Table10[[#This Row],[Plant Equivalent Weightage]],"")</f>
        <v>0.11666666666666661</v>
      </c>
      <c r="U111" s="102" t="s">
        <v>637</v>
      </c>
      <c r="V111" s="288">
        <f>IFERROR(_xlfn.XLOOKUP(Table10[[#This Row],[Date]],'Daily KPI'!$A:$A,'Daily KPI'!$M:$M),"")</f>
        <v>7.1199999999999992</v>
      </c>
      <c r="W111" s="102">
        <v>1222.5</v>
      </c>
      <c r="X111" s="102">
        <f>Table10[[#This Row],[WTG Loss]]*13*Table10[[#This Row],[Breakdown Time]]</f>
        <v>3708.25</v>
      </c>
      <c r="Y111" s="102" t="s">
        <v>638</v>
      </c>
      <c r="Z111" s="102"/>
      <c r="AA111" s="102"/>
    </row>
    <row r="112" spans="1:27">
      <c r="A112" s="102">
        <f t="shared" si="2"/>
        <v>111</v>
      </c>
      <c r="B112" s="102">
        <f>YEAR(Table10[[#This Row],[Date]])+IF(MONTH(Table10[[#This Row],[Date]])&gt;=4,1,0)</f>
        <v>2026</v>
      </c>
      <c r="C112" s="102">
        <f>YEAR(Table10[[#This Row],[Date]])</f>
        <v>2025</v>
      </c>
      <c r="D112" s="102" t="s">
        <v>265</v>
      </c>
      <c r="E112" s="258">
        <f>Table10[[#This Row],[Date]]-DAY(Table10[[#This Row],[Date]])+1</f>
        <v>45778</v>
      </c>
      <c r="F112" s="259">
        <v>45803</v>
      </c>
      <c r="G112" s="102" t="s">
        <v>647</v>
      </c>
      <c r="H112" s="102" t="str">
        <f>IFERROR(_xlfn.XLOOKUP(Table10[[#This Row],[Affected Feeder ]],'Basic Data'!$A$43:$A$70,'Basic Data'!$B$43:$B$70),"")</f>
        <v>TQGXIIPL</v>
      </c>
      <c r="I112" s="102" t="str">
        <f>IFERROR(_xlfn.XLOOKUP(Table10[[#This Row],[Affected Feeder ]],'Basic Data'!$A$43:$A$70,'Basic Data'!$C$43:$C$70),"")</f>
        <v>GEDA</v>
      </c>
      <c r="J112" s="271">
        <f>IFERROR(_xlfn.XLOOKUP(Table10[[#This Row],[Affected Feeder ]],'Basic Data'!$A$43:$A$70,'Basic Data'!$E$43:$E$70),"")</f>
        <v>0.49999999999999978</v>
      </c>
      <c r="K112" s="272" t="s">
        <v>674</v>
      </c>
      <c r="L112" s="273">
        <v>1.3888888888888889E-3</v>
      </c>
      <c r="M112" s="273">
        <v>1.3888888888888889E-3</v>
      </c>
      <c r="N112" s="273">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272" t="s">
        <v>733</v>
      </c>
      <c r="S112" s="102" t="s">
        <v>268</v>
      </c>
      <c r="T112" s="274">
        <f>IFERROR(Table10[[#This Row],[Breakdown Time]]*Table10[[#This Row],[Plant Equivalent Weightage]],"")</f>
        <v>0.41666666666666646</v>
      </c>
      <c r="U112" s="102" t="s">
        <v>637</v>
      </c>
      <c r="V112" s="288">
        <f>IFERROR(_xlfn.XLOOKUP(Table10[[#This Row],[Date]],'Daily KPI'!$A:$A,'Daily KPI'!$M:$M),"")</f>
        <v>7.1199999999999992</v>
      </c>
      <c r="W112" s="102">
        <v>1222.5</v>
      </c>
      <c r="X112" s="102">
        <f>Table10[[#This Row],[WTG Loss]]*13*Table10[[#This Row],[Breakdown Time]]</f>
        <v>13243.749999999998</v>
      </c>
      <c r="Y112" s="102" t="s">
        <v>638</v>
      </c>
      <c r="Z112" s="102"/>
      <c r="AA112" s="102"/>
    </row>
    <row r="113" spans="1:27">
      <c r="A113" s="102">
        <f t="shared" si="2"/>
        <v>112</v>
      </c>
      <c r="B113" s="102">
        <f>YEAR(Table10[[#This Row],[Date]])+IF(MONTH(Table10[[#This Row],[Date]])&gt;=4,1,0)</f>
        <v>2026</v>
      </c>
      <c r="C113" s="102">
        <f>YEAR(Table10[[#This Row],[Date]])</f>
        <v>2025</v>
      </c>
      <c r="D113" s="102" t="s">
        <v>265</v>
      </c>
      <c r="E113" s="258">
        <f>Table10[[#This Row],[Date]]-DAY(Table10[[#This Row],[Date]])+1</f>
        <v>45778</v>
      </c>
      <c r="F113" s="259">
        <v>45804</v>
      </c>
      <c r="G113" s="102" t="s">
        <v>639</v>
      </c>
      <c r="H113" s="102" t="str">
        <f>IFERROR(_xlfn.XLOOKUP(Table10[[#This Row],[Affected Feeder ]],'Basic Data'!$A$43:$A$70,'Basic Data'!$B$43:$B$70),"")</f>
        <v>TQGXIIPL</v>
      </c>
      <c r="I113" s="102" t="str">
        <f>IFERROR(_xlfn.XLOOKUP(Table10[[#This Row],[Affected Feeder ]],'Basic Data'!$A$43:$A$70,'Basic Data'!$C$43:$C$70),"")</f>
        <v>GEDA</v>
      </c>
      <c r="J113" s="271">
        <f>IFERROR(_xlfn.XLOOKUP(Table10[[#This Row],[Affected Feeder ]],'Basic Data'!$A$43:$A$70,'Basic Data'!$E$43:$E$70),"")</f>
        <v>0.49999999999999978</v>
      </c>
      <c r="K113" s="272" t="s">
        <v>739</v>
      </c>
      <c r="L113" s="273">
        <v>0.44166666666666665</v>
      </c>
      <c r="M113" s="273">
        <v>0.44166666666666665</v>
      </c>
      <c r="N113" s="273">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272" t="s">
        <v>738</v>
      </c>
      <c r="S113" s="102" t="s">
        <v>268</v>
      </c>
      <c r="T113" s="274">
        <f>IFERROR(Table10[[#This Row],[Breakdown Time]]*Table10[[#This Row],[Plant Equivalent Weightage]],"")</f>
        <v>1.4749999999999994</v>
      </c>
      <c r="U113" s="102" t="s">
        <v>637</v>
      </c>
      <c r="V113" s="288">
        <f>IFERROR(_xlfn.XLOOKUP(Table10[[#This Row],[Date]],'Daily KPI'!$A:$A,'Daily KPI'!$M:$M),"")</f>
        <v>9.4784615384615396</v>
      </c>
      <c r="W113" s="102">
        <v>2435.5</v>
      </c>
      <c r="X113" s="102">
        <f>Table10[[#This Row],[WTG Loss]]*13*Table10[[#This Row],[Breakdown Time]]</f>
        <v>93401.425000000003</v>
      </c>
      <c r="Y113" s="102" t="s">
        <v>638</v>
      </c>
      <c r="Z113" s="102"/>
      <c r="AA113" s="102"/>
    </row>
    <row r="114" spans="1:27">
      <c r="A114" s="102">
        <f t="shared" si="2"/>
        <v>113</v>
      </c>
      <c r="B114" s="102">
        <f>YEAR(Table10[[#This Row],[Date]])+IF(MONTH(Table10[[#This Row],[Date]])&gt;=4,1,0)</f>
        <v>2026</v>
      </c>
      <c r="C114" s="102">
        <f>YEAR(Table10[[#This Row],[Date]])</f>
        <v>2025</v>
      </c>
      <c r="D114" s="102" t="s">
        <v>265</v>
      </c>
      <c r="E114" s="258">
        <f>Table10[[#This Row],[Date]]-DAY(Table10[[#This Row],[Date]])+1</f>
        <v>45778</v>
      </c>
      <c r="F114" s="259">
        <v>45805</v>
      </c>
      <c r="G114" s="102" t="s">
        <v>639</v>
      </c>
      <c r="H114" s="102" t="str">
        <f>IFERROR(_xlfn.XLOOKUP(Table10[[#This Row],[Affected Feeder ]],'Basic Data'!$A$43:$A$70,'Basic Data'!$B$43:$B$70),"")</f>
        <v>TQGXIIPL</v>
      </c>
      <c r="I114" s="102" t="str">
        <f>IFERROR(_xlfn.XLOOKUP(Table10[[#This Row],[Affected Feeder ]],'Basic Data'!$A$43:$A$70,'Basic Data'!$C$43:$C$70),"")</f>
        <v>GEDA</v>
      </c>
      <c r="J114" s="271">
        <f>IFERROR(_xlfn.XLOOKUP(Table10[[#This Row],[Affected Feeder ]],'Basic Data'!$A$43:$A$70,'Basic Data'!$E$43:$E$70),"")</f>
        <v>0.49999999999999978</v>
      </c>
      <c r="K114" s="272" t="s">
        <v>736</v>
      </c>
      <c r="L114" s="273">
        <v>0.38333333333333336</v>
      </c>
      <c r="M114" s="273">
        <v>0.38333333333333336</v>
      </c>
      <c r="N114" s="273">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272" t="s">
        <v>719</v>
      </c>
      <c r="S114" s="102" t="s">
        <v>268</v>
      </c>
      <c r="T114" s="274">
        <f>IFERROR(Table10[[#This Row],[Breakdown Time]]*Table10[[#This Row],[Plant Equivalent Weightage]],"")</f>
        <v>0.24166666666666636</v>
      </c>
      <c r="U114" s="102" t="s">
        <v>637</v>
      </c>
      <c r="V114" s="288">
        <f>IFERROR(_xlfn.XLOOKUP(Table10[[#This Row],[Date]],'Daily KPI'!$A:$A,'Daily KPI'!$M:$M),"")</f>
        <v>8.4200000000000017</v>
      </c>
      <c r="W114" s="102">
        <v>1922.8</v>
      </c>
      <c r="X114" s="102">
        <f>Table10[[#This Row],[WTG Loss]]*13*Table10[[#This Row],[Breakdown Time]]</f>
        <v>12081.593333333323</v>
      </c>
      <c r="Y114" s="102" t="s">
        <v>638</v>
      </c>
      <c r="Z114" s="102"/>
      <c r="AA114" s="102"/>
    </row>
    <row r="115" spans="1:27">
      <c r="A115" s="102">
        <f t="shared" si="2"/>
        <v>114</v>
      </c>
      <c r="B115" s="102">
        <f>YEAR(Table10[[#This Row],[Date]])+IF(MONTH(Table10[[#This Row],[Date]])&gt;=4,1,0)</f>
        <v>2026</v>
      </c>
      <c r="C115" s="102">
        <f>YEAR(Table10[[#This Row],[Date]])</f>
        <v>2025</v>
      </c>
      <c r="D115" s="102" t="s">
        <v>265</v>
      </c>
      <c r="E115" s="258">
        <f>Table10[[#This Row],[Date]]-DAY(Table10[[#This Row],[Date]])+1</f>
        <v>45778</v>
      </c>
      <c r="F115" s="259">
        <v>45805</v>
      </c>
      <c r="G115" s="102" t="s">
        <v>639</v>
      </c>
      <c r="H115" s="102" t="str">
        <f>IFERROR(_xlfn.XLOOKUP(Table10[[#This Row],[Affected Feeder ]],'Basic Data'!$A$43:$A$70,'Basic Data'!$B$43:$B$70),"")</f>
        <v>TQGXIIPL</v>
      </c>
      <c r="I115" s="102" t="str">
        <f>IFERROR(_xlfn.XLOOKUP(Table10[[#This Row],[Affected Feeder ]],'Basic Data'!$A$43:$A$70,'Basic Data'!$C$43:$C$70),"")</f>
        <v>GEDA</v>
      </c>
      <c r="J115" s="271">
        <f>IFERROR(_xlfn.XLOOKUP(Table10[[#This Row],[Affected Feeder ]],'Basic Data'!$A$43:$A$70,'Basic Data'!$E$43:$E$70),"")</f>
        <v>0.49999999999999978</v>
      </c>
      <c r="K115" s="272" t="s">
        <v>736</v>
      </c>
      <c r="L115" s="273">
        <v>0.4826388888888889</v>
      </c>
      <c r="M115" s="273">
        <v>0.4826388888888889</v>
      </c>
      <c r="N115" s="273">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272" t="s">
        <v>719</v>
      </c>
      <c r="S115" s="102" t="s">
        <v>268</v>
      </c>
      <c r="T115" s="274">
        <f>IFERROR(Table10[[#This Row],[Breakdown Time]]*Table10[[#This Row],[Plant Equivalent Weightage]],"")</f>
        <v>0.53333333333333321</v>
      </c>
      <c r="U115" s="102" t="s">
        <v>637</v>
      </c>
      <c r="V115" s="288">
        <f>IFERROR(_xlfn.XLOOKUP(Table10[[#This Row],[Date]],'Daily KPI'!$A:$A,'Daily KPI'!$M:$M),"")</f>
        <v>8.4200000000000017</v>
      </c>
      <c r="W115" s="102">
        <v>1922.8</v>
      </c>
      <c r="X115" s="102">
        <f>Table10[[#This Row],[WTG Loss]]*13*Table10[[#This Row],[Breakdown Time]]</f>
        <v>26662.826666666668</v>
      </c>
      <c r="Y115" s="102" t="s">
        <v>638</v>
      </c>
      <c r="Z115" s="102"/>
      <c r="AA115" s="102"/>
    </row>
    <row r="116" spans="1:27">
      <c r="A116" s="102">
        <f t="shared" si="2"/>
        <v>115</v>
      </c>
      <c r="B116" s="102">
        <f>YEAR(Table10[[#This Row],[Date]])+IF(MONTH(Table10[[#This Row],[Date]])&gt;=4,1,0)</f>
        <v>2026</v>
      </c>
      <c r="C116" s="102">
        <f>YEAR(Table10[[#This Row],[Date]])</f>
        <v>2025</v>
      </c>
      <c r="D116" s="102" t="s">
        <v>265</v>
      </c>
      <c r="E116" s="258">
        <f>Table10[[#This Row],[Date]]-DAY(Table10[[#This Row],[Date]])+1</f>
        <v>45778</v>
      </c>
      <c r="F116" s="259">
        <v>45805</v>
      </c>
      <c r="G116" s="102" t="s">
        <v>115</v>
      </c>
      <c r="H116" s="102" t="str">
        <f>IFERROR(_xlfn.XLOOKUP(Table10[[#This Row],[Affected Feeder ]],'Basic Data'!$A$43:$A$70,'Basic Data'!$B$43:$B$70),"")</f>
        <v>TQGXIIPL</v>
      </c>
      <c r="I116" s="102" t="str">
        <f>IFERROR(_xlfn.XLOOKUP(Table10[[#This Row],[Affected Feeder ]],'Basic Data'!$A$43:$A$70,'Basic Data'!$C$43:$C$70),"")</f>
        <v>GEDA</v>
      </c>
      <c r="J116" s="271">
        <f>IFERROR(_xlfn.XLOOKUP(Table10[[#This Row],[Affected Feeder ]],'Basic Data'!$A$43:$A$70,'Basic Data'!$E$43:$E$70),"")</f>
        <v>3.846153846153845E-2</v>
      </c>
      <c r="K116" s="272" t="s">
        <v>720</v>
      </c>
      <c r="L116" s="273">
        <v>0.40347222222222223</v>
      </c>
      <c r="M116" s="273">
        <v>0.40347222222222223</v>
      </c>
      <c r="N116" s="273">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272" t="s">
        <v>734</v>
      </c>
      <c r="S116" s="102" t="s">
        <v>268</v>
      </c>
      <c r="T116" s="274">
        <f>IFERROR(Table10[[#This Row],[Breakdown Time]]*Table10[[#This Row],[Plant Equivalent Weightage]],"")</f>
        <v>7.3076923076923053E-2</v>
      </c>
      <c r="U116" s="102" t="s">
        <v>637</v>
      </c>
      <c r="V116" s="288">
        <f>IFERROR(_xlfn.XLOOKUP(Table10[[#This Row],[Date]],'Daily KPI'!$A:$A,'Daily KPI'!$M:$M),"")</f>
        <v>8.4200000000000017</v>
      </c>
      <c r="W116" s="102">
        <v>1922.8</v>
      </c>
      <c r="X116" s="102">
        <f>Table10[[#This Row],[WTG Loss]]*1*Table10[[#This Row],[Breakdown Time]]</f>
        <v>3653.3199999999997</v>
      </c>
      <c r="Y116" s="102" t="s">
        <v>638</v>
      </c>
      <c r="Z116" s="102"/>
      <c r="AA116" s="102"/>
    </row>
    <row r="117" spans="1:27">
      <c r="A117" s="102">
        <f t="shared" si="2"/>
        <v>116</v>
      </c>
      <c r="B117" s="102">
        <f>YEAR(Table10[[#This Row],[Date]])+IF(MONTH(Table10[[#This Row],[Date]])&gt;=4,1,0)</f>
        <v>2026</v>
      </c>
      <c r="C117" s="102">
        <f>YEAR(Table10[[#This Row],[Date]])</f>
        <v>2025</v>
      </c>
      <c r="D117" s="102" t="s">
        <v>265</v>
      </c>
      <c r="E117" s="258">
        <f>Table10[[#This Row],[Date]]-DAY(Table10[[#This Row],[Date]])+1</f>
        <v>45778</v>
      </c>
      <c r="F117" s="259">
        <v>45805</v>
      </c>
      <c r="G117" s="102" t="s">
        <v>123</v>
      </c>
      <c r="H117" s="102" t="str">
        <f>IFERROR(_xlfn.XLOOKUP(Table10[[#This Row],[Affected Feeder ]],'Basic Data'!$A$43:$A$70,'Basic Data'!$B$43:$B$70),"")</f>
        <v>TQGXIIPL</v>
      </c>
      <c r="I117" s="102" t="str">
        <f>IFERROR(_xlfn.XLOOKUP(Table10[[#This Row],[Affected Feeder ]],'Basic Data'!$A$43:$A$70,'Basic Data'!$C$43:$C$70),"")</f>
        <v>GEDA</v>
      </c>
      <c r="J117" s="271">
        <f>IFERROR(_xlfn.XLOOKUP(Table10[[#This Row],[Affected Feeder ]],'Basic Data'!$A$43:$A$70,'Basic Data'!$E$43:$E$70),"")</f>
        <v>3.846153846153845E-2</v>
      </c>
      <c r="K117" s="272" t="s">
        <v>726</v>
      </c>
      <c r="L117" s="273">
        <v>0.40347222222222223</v>
      </c>
      <c r="M117" s="273">
        <v>0.40347222222222223</v>
      </c>
      <c r="N117" s="273">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272" t="s">
        <v>734</v>
      </c>
      <c r="S117" s="102" t="s">
        <v>268</v>
      </c>
      <c r="T117" s="274">
        <f>IFERROR(Table10[[#This Row],[Breakdown Time]]*Table10[[#This Row],[Plant Equivalent Weightage]],"")</f>
        <v>7.3076923076923053E-2</v>
      </c>
      <c r="U117" s="102" t="s">
        <v>637</v>
      </c>
      <c r="V117" s="288">
        <f>IFERROR(_xlfn.XLOOKUP(Table10[[#This Row],[Date]],'Daily KPI'!$A:$A,'Daily KPI'!$M:$M),"")</f>
        <v>8.4200000000000017</v>
      </c>
      <c r="W117" s="102">
        <v>1922.8</v>
      </c>
      <c r="X117" s="102">
        <f>Table10[[#This Row],[WTG Loss]]*1*Table10[[#This Row],[Breakdown Time]]</f>
        <v>3653.3199999999997</v>
      </c>
      <c r="Y117" s="102" t="s">
        <v>638</v>
      </c>
      <c r="Z117" s="102"/>
      <c r="AA117" s="102"/>
    </row>
    <row r="118" spans="1:27">
      <c r="A118" s="102">
        <f t="shared" si="2"/>
        <v>117</v>
      </c>
      <c r="B118" s="102">
        <f>YEAR(Table10[[#This Row],[Date]])+IF(MONTH(Table10[[#This Row],[Date]])&gt;=4,1,0)</f>
        <v>2026</v>
      </c>
      <c r="C118" s="102">
        <f>YEAR(Table10[[#This Row],[Date]])</f>
        <v>2025</v>
      </c>
      <c r="D118" s="102" t="s">
        <v>265</v>
      </c>
      <c r="E118" s="258">
        <f>Table10[[#This Row],[Date]]-DAY(Table10[[#This Row],[Date]])+1</f>
        <v>45778</v>
      </c>
      <c r="F118" s="259">
        <v>45805</v>
      </c>
      <c r="G118" s="102" t="s">
        <v>139</v>
      </c>
      <c r="H118" s="102" t="str">
        <f>IFERROR(_xlfn.XLOOKUP(Table10[[#This Row],[Affected Feeder ]],'Basic Data'!$A$43:$A$70,'Basic Data'!$B$43:$B$70),"")</f>
        <v>TQGXIIPL</v>
      </c>
      <c r="I118" s="102" t="str">
        <f>IFERROR(_xlfn.XLOOKUP(Table10[[#This Row],[Affected Feeder ]],'Basic Data'!$A$43:$A$70,'Basic Data'!$C$43:$C$70),"")</f>
        <v>GEDA</v>
      </c>
      <c r="J118" s="271">
        <f>IFERROR(_xlfn.XLOOKUP(Table10[[#This Row],[Affected Feeder ]],'Basic Data'!$A$43:$A$70,'Basic Data'!$E$43:$E$70),"")</f>
        <v>3.846153846153845E-2</v>
      </c>
      <c r="K118" s="272" t="s">
        <v>730</v>
      </c>
      <c r="L118" s="273">
        <v>0.40347222222222223</v>
      </c>
      <c r="M118" s="273">
        <v>0.40347222222222223</v>
      </c>
      <c r="N118" s="273">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272" t="s">
        <v>734</v>
      </c>
      <c r="S118" s="102" t="s">
        <v>268</v>
      </c>
      <c r="T118" s="274">
        <f>IFERROR(Table10[[#This Row],[Breakdown Time]]*Table10[[#This Row],[Plant Equivalent Weightage]],"")</f>
        <v>7.3076923076923053E-2</v>
      </c>
      <c r="U118" s="102" t="s">
        <v>637</v>
      </c>
      <c r="V118" s="288">
        <f>IFERROR(_xlfn.XLOOKUP(Table10[[#This Row],[Date]],'Daily KPI'!$A:$A,'Daily KPI'!$M:$M),"")</f>
        <v>8.4200000000000017</v>
      </c>
      <c r="W118" s="102">
        <v>1922.8</v>
      </c>
      <c r="X118" s="102">
        <f>Table10[[#This Row],[WTG Loss]]*1*Table10[[#This Row],[Breakdown Time]]</f>
        <v>3653.3199999999997</v>
      </c>
      <c r="Y118" s="102" t="s">
        <v>638</v>
      </c>
      <c r="Z118" s="102"/>
      <c r="AA118" s="102"/>
    </row>
    <row r="119" spans="1:27">
      <c r="A119" s="102">
        <f t="shared" si="2"/>
        <v>118</v>
      </c>
      <c r="B119" s="102">
        <f>YEAR(Table10[[#This Row],[Date]])+IF(MONTH(Table10[[#This Row],[Date]])&gt;=4,1,0)</f>
        <v>2026</v>
      </c>
      <c r="C119" s="102">
        <f>YEAR(Table10[[#This Row],[Date]])</f>
        <v>2025</v>
      </c>
      <c r="D119" s="102" t="s">
        <v>265</v>
      </c>
      <c r="E119" s="258">
        <f>Table10[[#This Row],[Date]]-DAY(Table10[[#This Row],[Date]])+1</f>
        <v>45778</v>
      </c>
      <c r="F119" s="259">
        <v>45805</v>
      </c>
      <c r="G119" s="102" t="s">
        <v>140</v>
      </c>
      <c r="H119" s="102" t="str">
        <f>IFERROR(_xlfn.XLOOKUP(Table10[[#This Row],[Affected Feeder ]],'Basic Data'!$A$43:$A$70,'Basic Data'!$B$43:$B$70),"")</f>
        <v>TQGXIIPL</v>
      </c>
      <c r="I119" s="102" t="str">
        <f>IFERROR(_xlfn.XLOOKUP(Table10[[#This Row],[Affected Feeder ]],'Basic Data'!$A$43:$A$70,'Basic Data'!$C$43:$C$70),"")</f>
        <v>GEDA</v>
      </c>
      <c r="J119" s="271">
        <f>IFERROR(_xlfn.XLOOKUP(Table10[[#This Row],[Affected Feeder ]],'Basic Data'!$A$43:$A$70,'Basic Data'!$E$43:$E$70),"")</f>
        <v>3.846153846153845E-2</v>
      </c>
      <c r="K119" s="272" t="s">
        <v>731</v>
      </c>
      <c r="L119" s="273">
        <v>0.40347222222222223</v>
      </c>
      <c r="M119" s="273">
        <v>0.40347222222222223</v>
      </c>
      <c r="N119" s="273">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272" t="s">
        <v>734</v>
      </c>
      <c r="S119" s="102" t="s">
        <v>268</v>
      </c>
      <c r="T119" s="274">
        <f>IFERROR(Table10[[#This Row],[Breakdown Time]]*Table10[[#This Row],[Plant Equivalent Weightage]],"")</f>
        <v>7.3076923076923053E-2</v>
      </c>
      <c r="U119" s="102" t="s">
        <v>637</v>
      </c>
      <c r="V119" s="288">
        <f>IFERROR(_xlfn.XLOOKUP(Table10[[#This Row],[Date]],'Daily KPI'!$A:$A,'Daily KPI'!$M:$M),"")</f>
        <v>8.4200000000000017</v>
      </c>
      <c r="W119" s="102">
        <v>1922.8</v>
      </c>
      <c r="X119" s="102">
        <f>Table10[[#This Row],[WTG Loss]]*1*Table10[[#This Row],[Breakdown Time]]</f>
        <v>3653.3199999999997</v>
      </c>
      <c r="Y119" s="102" t="s">
        <v>638</v>
      </c>
      <c r="Z119" s="102"/>
      <c r="AA119" s="102"/>
    </row>
    <row r="120" spans="1:27">
      <c r="A120" s="102">
        <f t="shared" si="2"/>
        <v>119</v>
      </c>
      <c r="B120" s="102">
        <f>YEAR(Table10[[#This Row],[Date]])+IF(MONTH(Table10[[#This Row],[Date]])&gt;=4,1,0)</f>
        <v>2026</v>
      </c>
      <c r="C120" s="102">
        <f>YEAR(Table10[[#This Row],[Date]])</f>
        <v>2025</v>
      </c>
      <c r="D120" s="102" t="s">
        <v>265</v>
      </c>
      <c r="E120" s="258">
        <f>Table10[[#This Row],[Date]]-DAY(Table10[[#This Row],[Date]])+1</f>
        <v>45778</v>
      </c>
      <c r="F120" s="259">
        <v>45805</v>
      </c>
      <c r="G120" s="102" t="s">
        <v>122</v>
      </c>
      <c r="H120" s="102" t="str">
        <f>IFERROR(_xlfn.XLOOKUP(Table10[[#This Row],[Affected Feeder ]],'Basic Data'!$A$43:$A$70,'Basic Data'!$B$43:$B$70),"")</f>
        <v>TQGXIIPL</v>
      </c>
      <c r="I120" s="102" t="str">
        <f>IFERROR(_xlfn.XLOOKUP(Table10[[#This Row],[Affected Feeder ]],'Basic Data'!$A$43:$A$70,'Basic Data'!$C$43:$C$70),"")</f>
        <v>GEDA</v>
      </c>
      <c r="J120" s="271">
        <f>IFERROR(_xlfn.XLOOKUP(Table10[[#This Row],[Affected Feeder ]],'Basic Data'!$A$43:$A$70,'Basic Data'!$E$43:$E$70),"")</f>
        <v>3.846153846153845E-2</v>
      </c>
      <c r="K120" s="272" t="s">
        <v>725</v>
      </c>
      <c r="L120" s="273">
        <v>0.40347222222222223</v>
      </c>
      <c r="M120" s="273">
        <v>0.40347222222222223</v>
      </c>
      <c r="N120" s="273">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272" t="s">
        <v>734</v>
      </c>
      <c r="S120" s="102" t="s">
        <v>268</v>
      </c>
      <c r="T120" s="274">
        <f>IFERROR(Table10[[#This Row],[Breakdown Time]]*Table10[[#This Row],[Plant Equivalent Weightage]],"")</f>
        <v>7.3076923076923053E-2</v>
      </c>
      <c r="U120" s="102" t="s">
        <v>637</v>
      </c>
      <c r="V120" s="288">
        <f>IFERROR(_xlfn.XLOOKUP(Table10[[#This Row],[Date]],'Daily KPI'!$A:$A,'Daily KPI'!$M:$M),"")</f>
        <v>8.4200000000000017</v>
      </c>
      <c r="W120" s="102">
        <v>1922.8</v>
      </c>
      <c r="X120" s="102">
        <f>Table10[[#This Row],[WTG Loss]]*1*Table10[[#This Row],[Breakdown Time]]</f>
        <v>3653.3199999999997</v>
      </c>
      <c r="Y120" s="102" t="s">
        <v>638</v>
      </c>
      <c r="Z120" s="102"/>
      <c r="AA120" s="102"/>
    </row>
    <row r="121" spans="1:27">
      <c r="A121" s="102">
        <f t="shared" si="2"/>
        <v>120</v>
      </c>
      <c r="B121" s="102">
        <f>YEAR(Table10[[#This Row],[Date]])+IF(MONTH(Table10[[#This Row],[Date]])&gt;=4,1,0)</f>
        <v>2026</v>
      </c>
      <c r="C121" s="102">
        <f>YEAR(Table10[[#This Row],[Date]])</f>
        <v>2025</v>
      </c>
      <c r="D121" s="102" t="s">
        <v>265</v>
      </c>
      <c r="E121" s="258">
        <f>Table10[[#This Row],[Date]]-DAY(Table10[[#This Row],[Date]])+1</f>
        <v>45778</v>
      </c>
      <c r="F121" s="259">
        <v>45805</v>
      </c>
      <c r="G121" s="102" t="s">
        <v>119</v>
      </c>
      <c r="H121" s="102" t="str">
        <f>IFERROR(_xlfn.XLOOKUP(Table10[[#This Row],[Affected Feeder ]],'Basic Data'!$A$43:$A$70,'Basic Data'!$B$43:$B$70),"")</f>
        <v>TQGXIIPL</v>
      </c>
      <c r="I121" s="102" t="str">
        <f>IFERROR(_xlfn.XLOOKUP(Table10[[#This Row],[Affected Feeder ]],'Basic Data'!$A$43:$A$70,'Basic Data'!$C$43:$C$70),"")</f>
        <v>GEDA</v>
      </c>
      <c r="J121" s="271">
        <f>IFERROR(_xlfn.XLOOKUP(Table10[[#This Row],[Affected Feeder ]],'Basic Data'!$A$43:$A$70,'Basic Data'!$E$43:$E$70),"")</f>
        <v>3.846153846153845E-2</v>
      </c>
      <c r="K121" s="272" t="s">
        <v>724</v>
      </c>
      <c r="L121" s="273">
        <v>0.40347222222222223</v>
      </c>
      <c r="M121" s="273">
        <v>0.40347222222222223</v>
      </c>
      <c r="N121" s="273">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272" t="s">
        <v>734</v>
      </c>
      <c r="S121" s="102" t="s">
        <v>268</v>
      </c>
      <c r="T121" s="274">
        <f>IFERROR(Table10[[#This Row],[Breakdown Time]]*Table10[[#This Row],[Plant Equivalent Weightage]],"")</f>
        <v>7.3076923076923053E-2</v>
      </c>
      <c r="U121" s="102" t="s">
        <v>637</v>
      </c>
      <c r="V121" s="288">
        <f>IFERROR(_xlfn.XLOOKUP(Table10[[#This Row],[Date]],'Daily KPI'!$A:$A,'Daily KPI'!$M:$M),"")</f>
        <v>8.4200000000000017</v>
      </c>
      <c r="W121" s="102">
        <v>1922.8</v>
      </c>
      <c r="X121" s="102">
        <f>Table10[[#This Row],[WTG Loss]]*1*Table10[[#This Row],[Breakdown Time]]</f>
        <v>3653.3199999999997</v>
      </c>
      <c r="Y121" s="102" t="s">
        <v>638</v>
      </c>
      <c r="Z121" s="102"/>
      <c r="AA121" s="102"/>
    </row>
    <row r="122" spans="1:27">
      <c r="A122" s="102">
        <f t="shared" si="2"/>
        <v>121</v>
      </c>
      <c r="B122" s="102">
        <f>YEAR(Table10[[#This Row],[Date]])+IF(MONTH(Table10[[#This Row],[Date]])&gt;=4,1,0)</f>
        <v>2026</v>
      </c>
      <c r="C122" s="102">
        <f>YEAR(Table10[[#This Row],[Date]])</f>
        <v>2025</v>
      </c>
      <c r="D122" s="102" t="s">
        <v>265</v>
      </c>
      <c r="E122" s="258">
        <f>Table10[[#This Row],[Date]]-DAY(Table10[[#This Row],[Date]])+1</f>
        <v>45778</v>
      </c>
      <c r="F122" s="259">
        <v>45805</v>
      </c>
      <c r="G122" s="102" t="s">
        <v>116</v>
      </c>
      <c r="H122" s="102" t="str">
        <f>IFERROR(_xlfn.XLOOKUP(Table10[[#This Row],[Affected Feeder ]],'Basic Data'!$A$43:$A$70,'Basic Data'!$B$43:$B$70),"")</f>
        <v>TQGXIIPL</v>
      </c>
      <c r="I122" s="102" t="str">
        <f>IFERROR(_xlfn.XLOOKUP(Table10[[#This Row],[Affected Feeder ]],'Basic Data'!$A$43:$A$70,'Basic Data'!$C$43:$C$70),"")</f>
        <v>GEDA</v>
      </c>
      <c r="J122" s="271">
        <f>IFERROR(_xlfn.XLOOKUP(Table10[[#This Row],[Affected Feeder ]],'Basic Data'!$A$43:$A$70,'Basic Data'!$E$43:$E$70),"")</f>
        <v>3.846153846153845E-2</v>
      </c>
      <c r="K122" s="272" t="s">
        <v>722</v>
      </c>
      <c r="L122" s="273">
        <v>0.40347222222222223</v>
      </c>
      <c r="M122" s="273">
        <v>0.40347222222222223</v>
      </c>
      <c r="N122" s="273">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272" t="s">
        <v>734</v>
      </c>
      <c r="S122" s="102" t="s">
        <v>268</v>
      </c>
      <c r="T122" s="274">
        <f>IFERROR(Table10[[#This Row],[Breakdown Time]]*Table10[[#This Row],[Plant Equivalent Weightage]],"")</f>
        <v>7.3076923076923053E-2</v>
      </c>
      <c r="U122" s="102" t="s">
        <v>637</v>
      </c>
      <c r="V122" s="288">
        <f>IFERROR(_xlfn.XLOOKUP(Table10[[#This Row],[Date]],'Daily KPI'!$A:$A,'Daily KPI'!$M:$M),"")</f>
        <v>8.4200000000000017</v>
      </c>
      <c r="W122" s="102">
        <v>1922.8</v>
      </c>
      <c r="X122" s="102">
        <f>Table10[[#This Row],[WTG Loss]]*1*Table10[[#This Row],[Breakdown Time]]</f>
        <v>3653.3199999999997</v>
      </c>
      <c r="Y122" s="102" t="s">
        <v>638</v>
      </c>
      <c r="Z122" s="102"/>
      <c r="AA122" s="102"/>
    </row>
    <row r="123" spans="1:27">
      <c r="A123" s="102">
        <f t="shared" si="2"/>
        <v>122</v>
      </c>
      <c r="B123" s="102">
        <f>YEAR(Table10[[#This Row],[Date]])+IF(MONTH(Table10[[#This Row],[Date]])&gt;=4,1,0)</f>
        <v>2026</v>
      </c>
      <c r="C123" s="102">
        <f>YEAR(Table10[[#This Row],[Date]])</f>
        <v>2025</v>
      </c>
      <c r="D123" s="102" t="s">
        <v>265</v>
      </c>
      <c r="E123" s="258">
        <f>Table10[[#This Row],[Date]]-DAY(Table10[[#This Row],[Date]])+1</f>
        <v>45778</v>
      </c>
      <c r="F123" s="259">
        <v>45805</v>
      </c>
      <c r="G123" s="102" t="s">
        <v>647</v>
      </c>
      <c r="H123" s="102" t="str">
        <f>IFERROR(_xlfn.XLOOKUP(Table10[[#This Row],[Affected Feeder ]],'Basic Data'!$A$43:$A$70,'Basic Data'!$B$43:$B$70),"")</f>
        <v>TQGXIIPL</v>
      </c>
      <c r="I123" s="102" t="str">
        <f>IFERROR(_xlfn.XLOOKUP(Table10[[#This Row],[Affected Feeder ]],'Basic Data'!$A$43:$A$70,'Basic Data'!$C$43:$C$70),"")</f>
        <v>GEDA</v>
      </c>
      <c r="J123" s="271">
        <f>IFERROR(_xlfn.XLOOKUP(Table10[[#This Row],[Affected Feeder ]],'Basic Data'!$A$43:$A$70,'Basic Data'!$E$43:$E$70),"")</f>
        <v>0.49999999999999978</v>
      </c>
      <c r="K123" s="272" t="s">
        <v>740</v>
      </c>
      <c r="L123" s="273">
        <v>0.53611111111111109</v>
      </c>
      <c r="M123" s="273">
        <v>0.53611111111111109</v>
      </c>
      <c r="N123" s="273">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272" t="s">
        <v>741</v>
      </c>
      <c r="S123" s="102" t="s">
        <v>268</v>
      </c>
      <c r="T123" s="274">
        <f>IFERROR(Table10[[#This Row],[Breakdown Time]]*Table10[[#This Row],[Plant Equivalent Weightage]],"")</f>
        <v>2.1333333333333329</v>
      </c>
      <c r="U123" s="102" t="s">
        <v>637</v>
      </c>
      <c r="V123" s="288">
        <f>IFERROR(_xlfn.XLOOKUP(Table10[[#This Row],[Date]],'Daily KPI'!$A:$A,'Daily KPI'!$M:$M),"")</f>
        <v>8.4200000000000017</v>
      </c>
      <c r="W123" s="102">
        <v>1922.8</v>
      </c>
      <c r="X123" s="102">
        <f>Table10[[#This Row],[WTG Loss]]*13*Table10[[#This Row],[Breakdown Time]]</f>
        <v>106651.30666666667</v>
      </c>
      <c r="Y123" s="102" t="s">
        <v>638</v>
      </c>
      <c r="Z123" s="102"/>
      <c r="AA123" s="102"/>
    </row>
    <row r="124" spans="1:27">
      <c r="A124" s="102">
        <f t="shared" si="2"/>
        <v>123</v>
      </c>
      <c r="B124" s="102">
        <f>YEAR(Table10[[#This Row],[Date]])+IF(MONTH(Table10[[#This Row],[Date]])&gt;=4,1,0)</f>
        <v>2026</v>
      </c>
      <c r="C124" s="102">
        <f>YEAR(Table10[[#This Row],[Date]])</f>
        <v>2025</v>
      </c>
      <c r="D124" s="102" t="s">
        <v>265</v>
      </c>
      <c r="E124" s="258">
        <f>Table10[[#This Row],[Date]]-DAY(Table10[[#This Row],[Date]])+1</f>
        <v>45778</v>
      </c>
      <c r="F124" s="259">
        <v>45805</v>
      </c>
      <c r="G124" s="102" t="s">
        <v>122</v>
      </c>
      <c r="H124" s="102" t="str">
        <f>IFERROR(_xlfn.XLOOKUP(Table10[[#This Row],[Affected Feeder ]],'Basic Data'!$A$43:$A$70,'Basic Data'!$B$43:$B$70),"")</f>
        <v>TQGXIIPL</v>
      </c>
      <c r="I124" s="102" t="str">
        <f>IFERROR(_xlfn.XLOOKUP(Table10[[#This Row],[Affected Feeder ]],'Basic Data'!$A$43:$A$70,'Basic Data'!$C$43:$C$70),"")</f>
        <v>GEDA</v>
      </c>
      <c r="J124" s="271">
        <f>IFERROR(_xlfn.XLOOKUP(Table10[[#This Row],[Affected Feeder ]],'Basic Data'!$A$43:$A$70,'Basic Data'!$E$43:$E$70),"")</f>
        <v>3.846153846153845E-2</v>
      </c>
      <c r="K124" s="272" t="s">
        <v>725</v>
      </c>
      <c r="L124" s="273">
        <v>0.52708333333333335</v>
      </c>
      <c r="M124" s="273">
        <v>0.52708333333333335</v>
      </c>
      <c r="N124" s="273">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272" t="s">
        <v>734</v>
      </c>
      <c r="S124" s="102" t="s">
        <v>268</v>
      </c>
      <c r="T124" s="274">
        <f>IFERROR(Table10[[#This Row],[Breakdown Time]]*Table10[[#This Row],[Plant Equivalent Weightage]],"")</f>
        <v>0.17243589743589738</v>
      </c>
      <c r="U124" s="102" t="s">
        <v>637</v>
      </c>
      <c r="V124" s="288">
        <f>IFERROR(_xlfn.XLOOKUP(Table10[[#This Row],[Date]],'Daily KPI'!$A:$A,'Daily KPI'!$M:$M),"")</f>
        <v>8.4200000000000017</v>
      </c>
      <c r="W124" s="102">
        <v>1922.8</v>
      </c>
      <c r="X124" s="102">
        <f>Table10[[#This Row],[WTG Loss]]*1*Table10[[#This Row],[Breakdown Time]]</f>
        <v>8620.5533333333333</v>
      </c>
      <c r="Y124" s="102" t="s">
        <v>638</v>
      </c>
      <c r="Z124" s="102"/>
      <c r="AA124" s="102"/>
    </row>
    <row r="125" spans="1:27">
      <c r="A125" s="102">
        <f t="shared" si="2"/>
        <v>124</v>
      </c>
      <c r="B125" s="102">
        <f>YEAR(Table10[[#This Row],[Date]])+IF(MONTH(Table10[[#This Row],[Date]])&gt;=4,1,0)</f>
        <v>2026</v>
      </c>
      <c r="C125" s="102">
        <f>YEAR(Table10[[#This Row],[Date]])</f>
        <v>2025</v>
      </c>
      <c r="D125" s="102" t="s">
        <v>265</v>
      </c>
      <c r="E125" s="258">
        <f>Table10[[#This Row],[Date]]-DAY(Table10[[#This Row],[Date]])+1</f>
        <v>45778</v>
      </c>
      <c r="F125" s="259">
        <v>45805</v>
      </c>
      <c r="G125" s="102" t="s">
        <v>140</v>
      </c>
      <c r="H125" s="102" t="str">
        <f>IFERROR(_xlfn.XLOOKUP(Table10[[#This Row],[Affected Feeder ]],'Basic Data'!$A$43:$A$70,'Basic Data'!$B$43:$B$70),"")</f>
        <v>TQGXIIPL</v>
      </c>
      <c r="I125" s="102" t="str">
        <f>IFERROR(_xlfn.XLOOKUP(Table10[[#This Row],[Affected Feeder ]],'Basic Data'!$A$43:$A$70,'Basic Data'!$C$43:$C$70),"")</f>
        <v>GEDA</v>
      </c>
      <c r="J125" s="271">
        <f>IFERROR(_xlfn.XLOOKUP(Table10[[#This Row],[Affected Feeder ]],'Basic Data'!$A$43:$A$70,'Basic Data'!$E$43:$E$70),"")</f>
        <v>3.846153846153845E-2</v>
      </c>
      <c r="K125" s="272" t="s">
        <v>731</v>
      </c>
      <c r="L125" s="273">
        <v>0.52708333333333335</v>
      </c>
      <c r="M125" s="273">
        <v>0.52708333333333335</v>
      </c>
      <c r="N125" s="273">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272" t="s">
        <v>734</v>
      </c>
      <c r="S125" s="102" t="s">
        <v>268</v>
      </c>
      <c r="T125" s="274">
        <f>IFERROR(Table10[[#This Row],[Breakdown Time]]*Table10[[#This Row],[Plant Equivalent Weightage]],"")</f>
        <v>0.17243589743589738</v>
      </c>
      <c r="U125" s="102" t="s">
        <v>637</v>
      </c>
      <c r="V125" s="288">
        <f>IFERROR(_xlfn.XLOOKUP(Table10[[#This Row],[Date]],'Daily KPI'!$A:$A,'Daily KPI'!$M:$M),"")</f>
        <v>8.4200000000000017</v>
      </c>
      <c r="W125" s="102">
        <v>1922.8</v>
      </c>
      <c r="X125" s="102">
        <f>Table10[[#This Row],[WTG Loss]]*1*Table10[[#This Row],[Breakdown Time]]</f>
        <v>8620.5533333333333</v>
      </c>
      <c r="Y125" s="102" t="s">
        <v>638</v>
      </c>
      <c r="Z125" s="102"/>
      <c r="AA125" s="102"/>
    </row>
    <row r="126" spans="1:27">
      <c r="A126" s="102">
        <f t="shared" si="2"/>
        <v>125</v>
      </c>
      <c r="B126" s="102">
        <f>YEAR(Table10[[#This Row],[Date]])+IF(MONTH(Table10[[#This Row],[Date]])&gt;=4,1,0)</f>
        <v>2026</v>
      </c>
      <c r="C126" s="102">
        <f>YEAR(Table10[[#This Row],[Date]])</f>
        <v>2025</v>
      </c>
      <c r="D126" s="102" t="s">
        <v>265</v>
      </c>
      <c r="E126" s="258">
        <f>Table10[[#This Row],[Date]]-DAY(Table10[[#This Row],[Date]])+1</f>
        <v>45778</v>
      </c>
      <c r="F126" s="259">
        <v>45808</v>
      </c>
      <c r="G126" s="102" t="s">
        <v>647</v>
      </c>
      <c r="H126" s="102" t="str">
        <f>IFERROR(_xlfn.XLOOKUP(Table10[[#This Row],[Affected Feeder ]],'Basic Data'!$A$43:$A$70,'Basic Data'!$B$43:$B$70),"")</f>
        <v>TQGXIIPL</v>
      </c>
      <c r="I126" s="102" t="str">
        <f>IFERROR(_xlfn.XLOOKUP(Table10[[#This Row],[Affected Feeder ]],'Basic Data'!$A$43:$A$70,'Basic Data'!$C$43:$C$70),"")</f>
        <v>GEDA</v>
      </c>
      <c r="J126" s="271">
        <f>IFERROR(_xlfn.XLOOKUP(Table10[[#This Row],[Affected Feeder ]],'Basic Data'!$A$43:$A$70,'Basic Data'!$E$43:$E$70),"")</f>
        <v>0.49999999999999978</v>
      </c>
      <c r="K126" s="272" t="s">
        <v>674</v>
      </c>
      <c r="L126" s="273">
        <v>0.63541666666666663</v>
      </c>
      <c r="M126" s="273">
        <v>0.63541666666666663</v>
      </c>
      <c r="N126" s="273">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272" t="s">
        <v>675</v>
      </c>
      <c r="S126" s="102" t="s">
        <v>268</v>
      </c>
      <c r="T126" s="274">
        <f>IFERROR(Table10[[#This Row],[Breakdown Time]]*Table10[[#This Row],[Plant Equivalent Weightage]],"")</f>
        <v>0.38333333333333314</v>
      </c>
      <c r="U126" s="102" t="s">
        <v>637</v>
      </c>
      <c r="V126" s="288">
        <f>IFERROR(_xlfn.XLOOKUP(Table10[[#This Row],[Date]],'Daily KPI'!$A:$A,'Daily KPI'!$M:$M),"")</f>
        <v>9.6238461538461557</v>
      </c>
      <c r="W126" s="102">
        <v>2472.4</v>
      </c>
      <c r="X126" s="102">
        <f>Table10[[#This Row],[WTG Loss]]*13*Table10[[#This Row],[Breakdown Time]]</f>
        <v>24641.586666666666</v>
      </c>
      <c r="Y126" s="102" t="s">
        <v>638</v>
      </c>
      <c r="Z126" s="102"/>
      <c r="AA126" s="102"/>
    </row>
    <row r="127" spans="1:27">
      <c r="A127" s="102">
        <f t="shared" si="2"/>
        <v>126</v>
      </c>
      <c r="B127" s="102">
        <f>YEAR(Table10[[#This Row],[Date]])+IF(MONTH(Table10[[#This Row],[Date]])&gt;=4,1,0)</f>
        <v>2026</v>
      </c>
      <c r="C127" s="102">
        <f>YEAR(Table10[[#This Row],[Date]])</f>
        <v>2025</v>
      </c>
      <c r="D127" s="102" t="s">
        <v>265</v>
      </c>
      <c r="E127" s="258">
        <f>Table10[[#This Row],[Date]]-DAY(Table10[[#This Row],[Date]])+1</f>
        <v>45778</v>
      </c>
      <c r="F127" s="259">
        <v>45808</v>
      </c>
      <c r="G127" s="102" t="s">
        <v>121</v>
      </c>
      <c r="H127" s="102" t="str">
        <f>IFERROR(_xlfn.XLOOKUP(Table10[[#This Row],[Affected Feeder ]],'Basic Data'!$A$43:$A$70,'Basic Data'!$B$43:$B$70),"")</f>
        <v>TQGXIIPL</v>
      </c>
      <c r="I127" s="102" t="str">
        <f>IFERROR(_xlfn.XLOOKUP(Table10[[#This Row],[Affected Feeder ]],'Basic Data'!$A$43:$A$70,'Basic Data'!$C$43:$C$70),"")</f>
        <v>GEDA</v>
      </c>
      <c r="J127" s="271">
        <f>IFERROR(_xlfn.XLOOKUP(Table10[[#This Row],[Affected Feeder ]],'Basic Data'!$A$43:$A$70,'Basic Data'!$E$43:$E$70),"")</f>
        <v>3.846153846153845E-2</v>
      </c>
      <c r="K127" s="272" t="s">
        <v>706</v>
      </c>
      <c r="L127" s="273">
        <v>0.66736111111111107</v>
      </c>
      <c r="M127" s="273">
        <v>0.66736111111111107</v>
      </c>
      <c r="N127" s="273">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272" t="s">
        <v>742</v>
      </c>
      <c r="S127" s="102" t="s">
        <v>268</v>
      </c>
      <c r="T127" s="274">
        <f>IFERROR(Table10[[#This Row],[Breakdown Time]]*Table10[[#This Row],[Plant Equivalent Weightage]],"")</f>
        <v>4.3589743589743629E-2</v>
      </c>
      <c r="U127" s="102" t="s">
        <v>637</v>
      </c>
      <c r="V127" s="288">
        <f>IFERROR(_xlfn.XLOOKUP(Table10[[#This Row],[Date]],'Daily KPI'!$A:$A,'Daily KPI'!$M:$M),"")</f>
        <v>9.6238461538461557</v>
      </c>
      <c r="W127" s="102">
        <v>2472.4</v>
      </c>
      <c r="X127" s="102">
        <f>Table10[[#This Row],[WTG Loss]]*1*Table10[[#This Row],[Breakdown Time]]</f>
        <v>2802.0533333333365</v>
      </c>
      <c r="Y127" s="102" t="s">
        <v>638</v>
      </c>
      <c r="Z127" s="102"/>
      <c r="AA127" s="102"/>
    </row>
    <row r="128" spans="1:27">
      <c r="A128" s="102">
        <f t="shared" si="2"/>
        <v>127</v>
      </c>
      <c r="B128" s="102">
        <f>YEAR(Table10[[#This Row],[Date]])+IF(MONTH(Table10[[#This Row],[Date]])&gt;=4,1,0)</f>
        <v>2026</v>
      </c>
      <c r="C128" s="102">
        <f>YEAR(Table10[[#This Row],[Date]])</f>
        <v>2025</v>
      </c>
      <c r="D128" s="102" t="s">
        <v>265</v>
      </c>
      <c r="E128" s="258">
        <f>Table10[[#This Row],[Date]]-DAY(Table10[[#This Row],[Date]])+1</f>
        <v>45809</v>
      </c>
      <c r="F128" s="259">
        <v>45811</v>
      </c>
      <c r="G128" s="102" t="s">
        <v>117</v>
      </c>
      <c r="H128" s="102" t="str">
        <f>IFERROR(_xlfn.XLOOKUP(Table10[[#This Row],[Affected Feeder ]],'Basic Data'!$A$43:$A$70,'Basic Data'!$B$43:$B$70),"")</f>
        <v>TQGXIIPL</v>
      </c>
      <c r="I128" s="102" t="str">
        <f>IFERROR(_xlfn.XLOOKUP(Table10[[#This Row],[Affected Feeder ]],'Basic Data'!$A$43:$A$70,'Basic Data'!$C$43:$C$70),"")</f>
        <v>GEDA</v>
      </c>
      <c r="J128" s="271">
        <f>IFERROR(_xlfn.XLOOKUP(Table10[[#This Row],[Affected Feeder ]],'Basic Data'!$A$43:$A$70,'Basic Data'!$E$43:$E$70),"")</f>
        <v>3.846153846153845E-2</v>
      </c>
      <c r="K128" s="272" t="s">
        <v>723</v>
      </c>
      <c r="L128" s="273">
        <v>0.77986111111111112</v>
      </c>
      <c r="M128" s="273">
        <v>0.77986111111111112</v>
      </c>
      <c r="N128" s="273">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272" t="s">
        <v>743</v>
      </c>
      <c r="S128" s="102" t="s">
        <v>268</v>
      </c>
      <c r="T128" s="274">
        <f>IFERROR(Table10[[#This Row],[Breakdown Time]]*Table10[[#This Row],[Plant Equivalent Weightage]],"")</f>
        <v>1.1538461538461494E-2</v>
      </c>
      <c r="U128" s="102" t="s">
        <v>637</v>
      </c>
      <c r="V128" s="288">
        <f>IFERROR(_xlfn.XLOOKUP(Table10[[#This Row],[Date]],'Daily KPI'!$A:$A,'Daily KPI'!$M:$M),"")</f>
        <v>8.4554725520298923</v>
      </c>
      <c r="W128" s="102">
        <v>1813.4</v>
      </c>
      <c r="X128" s="102">
        <f>Table10[[#This Row],[WTG Loss]]*1*Table10[[#This Row],[Breakdown Time]]</f>
        <v>544.01999999999805</v>
      </c>
      <c r="Y128" s="102" t="s">
        <v>638</v>
      </c>
      <c r="Z128" s="102"/>
      <c r="AA128" s="102"/>
    </row>
    <row r="129" spans="1:27">
      <c r="A129" s="102">
        <f t="shared" si="2"/>
        <v>128</v>
      </c>
      <c r="B129" s="102">
        <f>YEAR(Table10[[#This Row],[Date]])+IF(MONTH(Table10[[#This Row],[Date]])&gt;=4,1,0)</f>
        <v>2026</v>
      </c>
      <c r="C129" s="102">
        <f>YEAR(Table10[[#This Row],[Date]])</f>
        <v>2025</v>
      </c>
      <c r="D129" s="102" t="s">
        <v>265</v>
      </c>
      <c r="E129" s="258">
        <f>Table10[[#This Row],[Date]]-DAY(Table10[[#This Row],[Date]])+1</f>
        <v>45809</v>
      </c>
      <c r="F129" s="259">
        <v>45822</v>
      </c>
      <c r="G129" s="102" t="s">
        <v>647</v>
      </c>
      <c r="H129" s="102" t="str">
        <f>IFERROR(_xlfn.XLOOKUP(Table10[[#This Row],[Affected Feeder ]],'Basic Data'!$A$43:$A$70,'Basic Data'!$B$43:$B$70),"")</f>
        <v>TQGXIIPL</v>
      </c>
      <c r="I129" s="102" t="str">
        <f>IFERROR(_xlfn.XLOOKUP(Table10[[#This Row],[Affected Feeder ]],'Basic Data'!$A$43:$A$70,'Basic Data'!$C$43:$C$70),"")</f>
        <v>GEDA</v>
      </c>
      <c r="J129" s="271">
        <f>IFERROR(_xlfn.XLOOKUP(Table10[[#This Row],[Affected Feeder ]],'Basic Data'!$A$43:$A$70,'Basic Data'!$E$43:$E$70),"")</f>
        <v>0.49999999999999978</v>
      </c>
      <c r="K129" s="272" t="s">
        <v>744</v>
      </c>
      <c r="L129" s="273">
        <v>0.73402777777777772</v>
      </c>
      <c r="M129" s="273">
        <v>0.73402777777777772</v>
      </c>
      <c r="N129" s="273">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272" t="s">
        <v>745</v>
      </c>
      <c r="S129" s="102" t="s">
        <v>268</v>
      </c>
      <c r="T129" s="274">
        <f>IFERROR(Table10[[#This Row],[Breakdown Time]]*Table10[[#This Row],[Plant Equivalent Weightage]],"")</f>
        <v>0.80000000000000082</v>
      </c>
      <c r="U129" s="102" t="s">
        <v>637</v>
      </c>
      <c r="V129" s="288">
        <f>IFERROR(_xlfn.XLOOKUP(Table10[[#This Row],[Date]],'Daily KPI'!$A:$A,'Daily KPI'!$M:$M),"")</f>
        <v>5.4571030507578548</v>
      </c>
      <c r="W129" s="102">
        <v>564.5</v>
      </c>
      <c r="X129" s="102">
        <f>Table10[[#This Row],[WTG Loss]]*13*Table10[[#This Row],[Breakdown Time]]</f>
        <v>11741.600000000017</v>
      </c>
      <c r="Y129" s="102" t="s">
        <v>638</v>
      </c>
      <c r="Z129" s="102"/>
      <c r="AA129" s="102"/>
    </row>
    <row r="130" spans="1:27">
      <c r="A130" s="102">
        <f t="shared" si="2"/>
        <v>129</v>
      </c>
      <c r="B130" s="102">
        <f>YEAR(Table10[[#This Row],[Date]])+IF(MONTH(Table10[[#This Row],[Date]])&gt;=4,1,0)</f>
        <v>2026</v>
      </c>
      <c r="C130" s="102">
        <f>YEAR(Table10[[#This Row],[Date]])</f>
        <v>2025</v>
      </c>
      <c r="D130" s="102" t="s">
        <v>265</v>
      </c>
      <c r="E130" s="258">
        <f>Table10[[#This Row],[Date]]-DAY(Table10[[#This Row],[Date]])+1</f>
        <v>45809</v>
      </c>
      <c r="F130" s="259">
        <v>45822</v>
      </c>
      <c r="G130" s="102" t="s">
        <v>647</v>
      </c>
      <c r="H130" s="102" t="str">
        <f>IFERROR(_xlfn.XLOOKUP(Table10[[#This Row],[Affected Feeder ]],'Basic Data'!$A$43:$A$70,'Basic Data'!$B$43:$B$70),"")</f>
        <v>TQGXIIPL</v>
      </c>
      <c r="I130" s="102" t="str">
        <f>IFERROR(_xlfn.XLOOKUP(Table10[[#This Row],[Affected Feeder ]],'Basic Data'!$A$43:$A$70,'Basic Data'!$C$43:$C$70),"")</f>
        <v>GEDA</v>
      </c>
      <c r="J130" s="271">
        <f>IFERROR(_xlfn.XLOOKUP(Table10[[#This Row],[Affected Feeder ]],'Basic Data'!$A$43:$A$70,'Basic Data'!$E$43:$E$70),"")</f>
        <v>0.49999999999999978</v>
      </c>
      <c r="K130" s="272" t="s">
        <v>674</v>
      </c>
      <c r="L130" s="273">
        <v>0.83263888888888893</v>
      </c>
      <c r="M130" s="273">
        <v>0.83263888888888893</v>
      </c>
      <c r="N130" s="273">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272" t="s">
        <v>746</v>
      </c>
      <c r="S130" s="102" t="s">
        <v>268</v>
      </c>
      <c r="T130" s="274">
        <f>IFERROR(Table10[[#This Row],[Breakdown Time]]*Table10[[#This Row],[Plant Equivalent Weightage]],"")</f>
        <v>9.1666666666666299E-2</v>
      </c>
      <c r="U130" s="102" t="s">
        <v>637</v>
      </c>
      <c r="V130" s="288">
        <f>IFERROR(_xlfn.XLOOKUP(Table10[[#This Row],[Date]],'Daily KPI'!$A:$A,'Daily KPI'!$M:$M),"")</f>
        <v>5.4571030507578548</v>
      </c>
      <c r="W130" s="102">
        <v>564.5</v>
      </c>
      <c r="X130" s="102">
        <f>Table10[[#This Row],[WTG Loss]]*13*Table10[[#This Row],[Breakdown Time]]</f>
        <v>1345.3916666666619</v>
      </c>
      <c r="Y130" s="102" t="s">
        <v>638</v>
      </c>
      <c r="Z130" s="102"/>
      <c r="AA130" s="102"/>
    </row>
    <row r="131" spans="1:27">
      <c r="A131" s="102">
        <f t="shared" si="2"/>
        <v>130</v>
      </c>
      <c r="B131" s="102">
        <f>YEAR(Table10[[#This Row],[Date]])+IF(MONTH(Table10[[#This Row],[Date]])&gt;=4,1,0)</f>
        <v>2026</v>
      </c>
      <c r="C131" s="102">
        <f>YEAR(Table10[[#This Row],[Date]])</f>
        <v>2025</v>
      </c>
      <c r="D131" s="102" t="s">
        <v>265</v>
      </c>
      <c r="E131" s="258">
        <f>Table10[[#This Row],[Date]]-DAY(Table10[[#This Row],[Date]])+1</f>
        <v>45809</v>
      </c>
      <c r="F131" s="259">
        <v>45824</v>
      </c>
      <c r="G131" s="102" t="s">
        <v>647</v>
      </c>
      <c r="H131" s="102" t="str">
        <f>IFERROR(_xlfn.XLOOKUP(Table10[[#This Row],[Affected Feeder ]],'Basic Data'!$A$43:$A$70,'Basic Data'!$B$43:$B$70),"")</f>
        <v>TQGXIIPL</v>
      </c>
      <c r="I131" s="102" t="str">
        <f>IFERROR(_xlfn.XLOOKUP(Table10[[#This Row],[Affected Feeder ]],'Basic Data'!$A$43:$A$70,'Basic Data'!$C$43:$C$70),"")</f>
        <v>GEDA</v>
      </c>
      <c r="J131" s="271">
        <f>IFERROR(_xlfn.XLOOKUP(Table10[[#This Row],[Affected Feeder ]],'Basic Data'!$A$43:$A$70,'Basic Data'!$E$43:$E$70),"")</f>
        <v>0.49999999999999978</v>
      </c>
      <c r="K131" s="272" t="s">
        <v>744</v>
      </c>
      <c r="L131" s="273">
        <v>0.3298611111111111</v>
      </c>
      <c r="M131" s="273">
        <v>0.3298611111111111</v>
      </c>
      <c r="N131" s="273">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272" t="s">
        <v>747</v>
      </c>
      <c r="S131" s="102" t="s">
        <v>268</v>
      </c>
      <c r="T131" s="274">
        <f>IFERROR(Table10[[#This Row],[Breakdown Time]]*Table10[[#This Row],[Plant Equivalent Weightage]],"")</f>
        <v>0.11666666666666686</v>
      </c>
      <c r="U131" s="102" t="s">
        <v>637</v>
      </c>
      <c r="V131" s="288">
        <f>IFERROR(_xlfn.XLOOKUP(Table10[[#This Row],[Date]],'Daily KPI'!$A:$A,'Daily KPI'!$M:$M),"")</f>
        <v>8.2050000000000001</v>
      </c>
      <c r="W131" s="102">
        <v>1813.4</v>
      </c>
      <c r="X131" s="102">
        <f>Table10[[#This Row],[WTG Loss]]*13*Table10[[#This Row],[Breakdown Time]]</f>
        <v>5500.6466666666784</v>
      </c>
      <c r="Y131" s="102" t="s">
        <v>638</v>
      </c>
      <c r="Z131" s="102"/>
      <c r="AA131" s="102"/>
    </row>
    <row r="132" spans="1:27">
      <c r="A132" s="102">
        <f t="shared" si="2"/>
        <v>131</v>
      </c>
      <c r="B132" s="102">
        <f>YEAR(Table10[[#This Row],[Date]])+IF(MONTH(Table10[[#This Row],[Date]])&gt;=4,1,0)</f>
        <v>2026</v>
      </c>
      <c r="C132" s="102">
        <f>YEAR(Table10[[#This Row],[Date]])</f>
        <v>2025</v>
      </c>
      <c r="D132" s="102" t="s">
        <v>265</v>
      </c>
      <c r="E132" s="258">
        <f>Table10[[#This Row],[Date]]-DAY(Table10[[#This Row],[Date]])+1</f>
        <v>45809</v>
      </c>
      <c r="F132" s="259">
        <v>45824</v>
      </c>
      <c r="G132" s="102" t="s">
        <v>647</v>
      </c>
      <c r="H132" s="102" t="str">
        <f>IFERROR(_xlfn.XLOOKUP(Table10[[#This Row],[Affected Feeder ]],'Basic Data'!$A$43:$A$70,'Basic Data'!$B$43:$B$70),"")</f>
        <v>TQGXIIPL</v>
      </c>
      <c r="I132" s="102" t="str">
        <f>IFERROR(_xlfn.XLOOKUP(Table10[[#This Row],[Affected Feeder ]],'Basic Data'!$A$43:$A$70,'Basic Data'!$C$43:$C$70),"")</f>
        <v>GEDA</v>
      </c>
      <c r="J132" s="271">
        <f>IFERROR(_xlfn.XLOOKUP(Table10[[#This Row],[Affected Feeder ]],'Basic Data'!$A$43:$A$70,'Basic Data'!$E$43:$E$70),"")</f>
        <v>0.49999999999999978</v>
      </c>
      <c r="K132" s="272" t="s">
        <v>744</v>
      </c>
      <c r="L132" s="273">
        <v>0.56597222222222221</v>
      </c>
      <c r="M132" s="273">
        <v>0.56597222222222221</v>
      </c>
      <c r="N132" s="273">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272" t="s">
        <v>747</v>
      </c>
      <c r="S132" s="102" t="s">
        <v>268</v>
      </c>
      <c r="T132" s="274">
        <f>IFERROR(Table10[[#This Row],[Breakdown Time]]*Table10[[#This Row],[Plant Equivalent Weightage]],"")</f>
        <v>0.40833333333333305</v>
      </c>
      <c r="U132" s="102" t="s">
        <v>637</v>
      </c>
      <c r="V132" s="288">
        <f>IFERROR(_xlfn.XLOOKUP(Table10[[#This Row],[Date]],'Daily KPI'!$A:$A,'Daily KPI'!$M:$M),"")</f>
        <v>8.2050000000000001</v>
      </c>
      <c r="W132" s="102">
        <v>1813.4</v>
      </c>
      <c r="X132" s="102">
        <f>Table10[[#This Row],[WTG Loss]]*13*Table10[[#This Row],[Breakdown Time]]</f>
        <v>19252.263333333329</v>
      </c>
      <c r="Y132" s="102" t="s">
        <v>638</v>
      </c>
      <c r="Z132" s="102"/>
      <c r="AA132" s="102"/>
    </row>
    <row r="133" spans="1:27">
      <c r="A133" s="102">
        <f t="shared" si="2"/>
        <v>132</v>
      </c>
      <c r="B133" s="102">
        <f>YEAR(Table10[[#This Row],[Date]])+IF(MONTH(Table10[[#This Row],[Date]])&gt;=4,1,0)</f>
        <v>2026</v>
      </c>
      <c r="C133" s="102">
        <f>YEAR(Table10[[#This Row],[Date]])</f>
        <v>2025</v>
      </c>
      <c r="D133" s="102" t="s">
        <v>265</v>
      </c>
      <c r="E133" s="258">
        <f>Table10[[#This Row],[Date]]-DAY(Table10[[#This Row],[Date]])+1</f>
        <v>45809</v>
      </c>
      <c r="F133" s="259">
        <v>45824</v>
      </c>
      <c r="G133" s="102" t="s">
        <v>647</v>
      </c>
      <c r="H133" s="102" t="str">
        <f>IFERROR(_xlfn.XLOOKUP(Table10[[#This Row],[Affected Feeder ]],'Basic Data'!$A$43:$A$70,'Basic Data'!$B$43:$B$70),"")</f>
        <v>TQGXIIPL</v>
      </c>
      <c r="I133" s="102" t="str">
        <f>IFERROR(_xlfn.XLOOKUP(Table10[[#This Row],[Affected Feeder ]],'Basic Data'!$A$43:$A$70,'Basic Data'!$C$43:$C$70),"")</f>
        <v>GEDA</v>
      </c>
      <c r="J133" s="271">
        <f>IFERROR(_xlfn.XLOOKUP(Table10[[#This Row],[Affected Feeder ]],'Basic Data'!$A$43:$A$70,'Basic Data'!$E$43:$E$70),"")</f>
        <v>0.49999999999999978</v>
      </c>
      <c r="K133" s="272" t="s">
        <v>744</v>
      </c>
      <c r="L133" s="273">
        <v>0.79652777777777772</v>
      </c>
      <c r="M133" s="273">
        <v>0.79652777777777772</v>
      </c>
      <c r="N133" s="273">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272" t="s">
        <v>747</v>
      </c>
      <c r="S133" s="102" t="s">
        <v>268</v>
      </c>
      <c r="T133" s="274">
        <f>IFERROR(Table10[[#This Row],[Breakdown Time]]*Table10[[#This Row],[Plant Equivalent Weightage]],"")</f>
        <v>0.26666666666666694</v>
      </c>
      <c r="U133" s="102" t="s">
        <v>637</v>
      </c>
      <c r="V133" s="288">
        <f>IFERROR(_xlfn.XLOOKUP(Table10[[#This Row],[Date]],'Daily KPI'!$A:$A,'Daily KPI'!$M:$M),"")</f>
        <v>8.2050000000000001</v>
      </c>
      <c r="W133" s="102">
        <v>1813.4</v>
      </c>
      <c r="X133" s="102">
        <f>Table10[[#This Row],[WTG Loss]]*13*Table10[[#This Row],[Breakdown Time]]</f>
        <v>12572.906666666686</v>
      </c>
      <c r="Y133" s="102" t="s">
        <v>638</v>
      </c>
      <c r="Z133" s="102"/>
      <c r="AA133" s="102"/>
    </row>
    <row r="134" spans="1:27">
      <c r="A134" s="102">
        <f t="shared" si="2"/>
        <v>133</v>
      </c>
      <c r="B134" s="102">
        <f>YEAR(Table10[[#This Row],[Date]])+IF(MONTH(Table10[[#This Row],[Date]])&gt;=4,1,0)</f>
        <v>2026</v>
      </c>
      <c r="C134" s="102">
        <f>YEAR(Table10[[#This Row],[Date]])</f>
        <v>2025</v>
      </c>
      <c r="D134" s="102" t="s">
        <v>265</v>
      </c>
      <c r="E134" s="258">
        <f>Table10[[#This Row],[Date]]-DAY(Table10[[#This Row],[Date]])+1</f>
        <v>45809</v>
      </c>
      <c r="F134" s="259">
        <v>45824</v>
      </c>
      <c r="G134" s="102" t="s">
        <v>647</v>
      </c>
      <c r="H134" s="102" t="str">
        <f>IFERROR(_xlfn.XLOOKUP(Table10[[#This Row],[Affected Feeder ]],'Basic Data'!$A$43:$A$70,'Basic Data'!$B$43:$B$70),"")</f>
        <v>TQGXIIPL</v>
      </c>
      <c r="I134" s="102" t="str">
        <f>IFERROR(_xlfn.XLOOKUP(Table10[[#This Row],[Affected Feeder ]],'Basic Data'!$A$43:$A$70,'Basic Data'!$C$43:$C$70),"")</f>
        <v>GEDA</v>
      </c>
      <c r="J134" s="271">
        <f>IFERROR(_xlfn.XLOOKUP(Table10[[#This Row],[Affected Feeder ]],'Basic Data'!$A$43:$A$70,'Basic Data'!$E$43:$E$70),"")</f>
        <v>0.49999999999999978</v>
      </c>
      <c r="K134" s="272" t="s">
        <v>744</v>
      </c>
      <c r="L134" s="273">
        <v>0.85416666666666663</v>
      </c>
      <c r="M134" s="273">
        <v>0.85416666666666663</v>
      </c>
      <c r="N134" s="273">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272" t="s">
        <v>748</v>
      </c>
      <c r="S134" s="102" t="s">
        <v>268</v>
      </c>
      <c r="T134" s="274">
        <f>IFERROR(Table10[[#This Row],[Breakdown Time]]*Table10[[#This Row],[Plant Equivalent Weightage]],"")</f>
        <v>0.40833333333333305</v>
      </c>
      <c r="U134" s="102" t="s">
        <v>637</v>
      </c>
      <c r="V134" s="288">
        <f>IFERROR(_xlfn.XLOOKUP(Table10[[#This Row],[Date]],'Daily KPI'!$A:$A,'Daily KPI'!$M:$M),"")</f>
        <v>8.2050000000000001</v>
      </c>
      <c r="W134" s="102">
        <v>1813.4</v>
      </c>
      <c r="X134" s="102">
        <f>Table10[[#This Row],[WTG Loss]]*13*Table10[[#This Row],[Breakdown Time]]</f>
        <v>19252.263333333329</v>
      </c>
      <c r="Y134" s="102" t="s">
        <v>638</v>
      </c>
      <c r="Z134" s="102"/>
      <c r="AA134" s="102"/>
    </row>
    <row r="135" spans="1:27">
      <c r="A135" s="102">
        <f t="shared" si="2"/>
        <v>134</v>
      </c>
      <c r="B135" s="102">
        <f>YEAR(Table10[[#This Row],[Date]])+IF(MONTH(Table10[[#This Row],[Date]])&gt;=4,1,0)</f>
        <v>2026</v>
      </c>
      <c r="C135" s="102">
        <f>YEAR(Table10[[#This Row],[Date]])</f>
        <v>2025</v>
      </c>
      <c r="D135" s="102" t="s">
        <v>265</v>
      </c>
      <c r="E135" s="258">
        <f>Table10[[#This Row],[Date]]-DAY(Table10[[#This Row],[Date]])+1</f>
        <v>45809</v>
      </c>
      <c r="F135" s="259">
        <v>45824</v>
      </c>
      <c r="G135" s="102" t="s">
        <v>122</v>
      </c>
      <c r="H135" s="102" t="str">
        <f>IFERROR(_xlfn.XLOOKUP(Table10[[#This Row],[Affected Feeder ]],'Basic Data'!$A$43:$A$70,'Basic Data'!$B$43:$B$70),"")</f>
        <v>TQGXIIPL</v>
      </c>
      <c r="I135" s="102" t="str">
        <f>IFERROR(_xlfn.XLOOKUP(Table10[[#This Row],[Affected Feeder ]],'Basic Data'!$A$43:$A$70,'Basic Data'!$C$43:$C$70),"")</f>
        <v>GEDA</v>
      </c>
      <c r="J135" s="271">
        <f>IFERROR(_xlfn.XLOOKUP(Table10[[#This Row],[Affected Feeder ]],'Basic Data'!$A$43:$A$70,'Basic Data'!$E$43:$E$70),"")</f>
        <v>3.846153846153845E-2</v>
      </c>
      <c r="K135" s="272" t="s">
        <v>749</v>
      </c>
      <c r="L135" s="273">
        <v>0.6</v>
      </c>
      <c r="M135" s="273">
        <v>0.6</v>
      </c>
      <c r="N135" s="273">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272" t="s">
        <v>750</v>
      </c>
      <c r="S135" s="102" t="s">
        <v>268</v>
      </c>
      <c r="T135" s="274">
        <f>IFERROR(Table10[[#This Row],[Breakdown Time]]*Table10[[#This Row],[Plant Equivalent Weightage]],"")</f>
        <v>1.7948717948717982E-2</v>
      </c>
      <c r="U135" s="102" t="s">
        <v>637</v>
      </c>
      <c r="V135" s="288">
        <f>IFERROR(_xlfn.XLOOKUP(Table10[[#This Row],[Date]],'Daily KPI'!$A:$A,'Daily KPI'!$M:$M),"")</f>
        <v>8.2050000000000001</v>
      </c>
      <c r="W135" s="102">
        <v>1813.4</v>
      </c>
      <c r="X135" s="102">
        <f>Table10[[#This Row],[WTG Loss]]*1*Table10[[#This Row],[Breakdown Time]]</f>
        <v>846.25333333333515</v>
      </c>
      <c r="Y135" s="102" t="s">
        <v>638</v>
      </c>
      <c r="Z135" s="102"/>
      <c r="AA135" s="102"/>
    </row>
    <row r="136" spans="1:27">
      <c r="A136" s="102">
        <f t="shared" si="2"/>
        <v>135</v>
      </c>
      <c r="B136" s="102">
        <f>YEAR(Table10[[#This Row],[Date]])+IF(MONTH(Table10[[#This Row],[Date]])&gt;=4,1,0)</f>
        <v>2026</v>
      </c>
      <c r="C136" s="102">
        <f>YEAR(Table10[[#This Row],[Date]])</f>
        <v>2025</v>
      </c>
      <c r="D136" s="102" t="s">
        <v>265</v>
      </c>
      <c r="E136" s="258">
        <f>Table10[[#This Row],[Date]]-DAY(Table10[[#This Row],[Date]])+1</f>
        <v>45809</v>
      </c>
      <c r="F136" s="259">
        <v>45824</v>
      </c>
      <c r="G136" s="102" t="s">
        <v>140</v>
      </c>
      <c r="H136" s="102" t="str">
        <f>IFERROR(_xlfn.XLOOKUP(Table10[[#This Row],[Affected Feeder ]],'Basic Data'!$A$43:$A$70,'Basic Data'!$B$43:$B$70),"")</f>
        <v>TQGXIIPL</v>
      </c>
      <c r="I136" s="102" t="str">
        <f>IFERROR(_xlfn.XLOOKUP(Table10[[#This Row],[Affected Feeder ]],'Basic Data'!$A$43:$A$70,'Basic Data'!$C$43:$C$70),"")</f>
        <v>GEDA</v>
      </c>
      <c r="J136" s="271">
        <f>IFERROR(_xlfn.XLOOKUP(Table10[[#This Row],[Affected Feeder ]],'Basic Data'!$A$43:$A$70,'Basic Data'!$E$43:$E$70),"")</f>
        <v>3.846153846153845E-2</v>
      </c>
      <c r="K136" s="272" t="s">
        <v>751</v>
      </c>
      <c r="L136" s="273">
        <v>0.8881944444444444</v>
      </c>
      <c r="M136" s="273">
        <v>0.8881944444444444</v>
      </c>
      <c r="N136" s="273">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272" t="s">
        <v>750</v>
      </c>
      <c r="S136" s="102" t="s">
        <v>268</v>
      </c>
      <c r="T136" s="274">
        <f>IFERROR(Table10[[#This Row],[Breakdown Time]]*Table10[[#This Row],[Plant Equivalent Weightage]],"")</f>
        <v>3.2051282051282132E-2</v>
      </c>
      <c r="U136" s="102" t="s">
        <v>637</v>
      </c>
      <c r="V136" s="288">
        <f>IFERROR(_xlfn.XLOOKUP(Table10[[#This Row],[Date]],'Daily KPI'!$A:$A,'Daily KPI'!$M:$M),"")</f>
        <v>8.2050000000000001</v>
      </c>
      <c r="W136" s="102">
        <v>1813.4</v>
      </c>
      <c r="X136" s="102">
        <f>Table10[[#This Row],[WTG Loss]]*1*Table10[[#This Row],[Breakdown Time]]</f>
        <v>1511.1666666666711</v>
      </c>
      <c r="Y136" s="102" t="s">
        <v>638</v>
      </c>
      <c r="Z136" s="102"/>
      <c r="AA136" s="102"/>
    </row>
    <row r="137" spans="1:27">
      <c r="A137" s="102">
        <f t="shared" si="2"/>
        <v>136</v>
      </c>
      <c r="B137" s="102">
        <f>YEAR(Table10[[#This Row],[Date]])+IF(MONTH(Table10[[#This Row],[Date]])&gt;=4,1,0)</f>
        <v>2026</v>
      </c>
      <c r="C137" s="102">
        <f>YEAR(Table10[[#This Row],[Date]])</f>
        <v>2025</v>
      </c>
      <c r="D137" s="102" t="s">
        <v>265</v>
      </c>
      <c r="E137" s="258">
        <f>Table10[[#This Row],[Date]]-DAY(Table10[[#This Row],[Date]])+1</f>
        <v>45809</v>
      </c>
      <c r="F137" s="259">
        <v>45828</v>
      </c>
      <c r="G137" s="102" t="s">
        <v>639</v>
      </c>
      <c r="H137" s="102" t="str">
        <f>IFERROR(_xlfn.XLOOKUP(Table10[[#This Row],[Affected Feeder ]],'Basic Data'!$A$43:$A$70,'Basic Data'!$B$43:$B$70),"")</f>
        <v>TQGXIIPL</v>
      </c>
      <c r="I137" s="102" t="str">
        <f>IFERROR(_xlfn.XLOOKUP(Table10[[#This Row],[Affected Feeder ]],'Basic Data'!$A$43:$A$70,'Basic Data'!$C$43:$C$70),"")</f>
        <v>GEDA</v>
      </c>
      <c r="J137" s="271">
        <f>IFERROR(_xlfn.XLOOKUP(Table10[[#This Row],[Affected Feeder ]],'Basic Data'!$A$43:$A$70,'Basic Data'!$E$43:$E$70),"")</f>
        <v>0.49999999999999978</v>
      </c>
      <c r="K137" s="272" t="s">
        <v>752</v>
      </c>
      <c r="L137" s="273">
        <v>0.5131944444444444</v>
      </c>
      <c r="M137" s="273">
        <v>0.5131944444444444</v>
      </c>
      <c r="N137" s="273">
        <v>0.82638888888888884</v>
      </c>
      <c r="O137" s="101">
        <f>(Table10[[#This Row],[Work Start TimeStamp]]-Table10[[#This Row],[Fault Start TimeStamp]])*24</f>
        <v>0</v>
      </c>
      <c r="P137" s="101">
        <f>IF(Table10[[#This Row],[Work Start TimeStamp]]="","",(Table10[[#This Row],[Fault Clearance time]]-Table10[[#This Row],[Work Start TimeStamp]])*24)</f>
        <v>7.5166666666666666</v>
      </c>
      <c r="Q137" s="285">
        <f>(Table10[[#This Row],[Fault Clearance time]]-Table10[[#This Row],[Fault Start TimeStamp]])*24</f>
        <v>7.5166666666666666</v>
      </c>
      <c r="R137" s="272" t="s">
        <v>753</v>
      </c>
      <c r="S137" s="102" t="s">
        <v>268</v>
      </c>
      <c r="T137" s="274">
        <f>IFERROR(Table10[[#This Row],[Breakdown Time]]*Table10[[#This Row],[Plant Equivalent Weightage]],"")</f>
        <v>3.7583333333333315</v>
      </c>
      <c r="U137" s="102" t="s">
        <v>754</v>
      </c>
      <c r="V137" s="288">
        <f>IFERROR(_xlfn.XLOOKUP(Table10[[#This Row],[Date]],'Daily KPI'!$A:$A,'Daily KPI'!$M:$M),"")</f>
        <v>8.8839391657087781</v>
      </c>
      <c r="W137" s="102">
        <v>2196</v>
      </c>
      <c r="X137" s="102">
        <f>Table10[[#This Row],[WTG Loss]]*13*Table10[[#This Row],[Breakdown Time]]</f>
        <v>214585.8</v>
      </c>
      <c r="Y137" s="102" t="s">
        <v>638</v>
      </c>
      <c r="Z137" s="102"/>
      <c r="AA137" s="102"/>
    </row>
    <row r="138" spans="1:27">
      <c r="A138" s="102">
        <f t="shared" si="2"/>
        <v>137</v>
      </c>
      <c r="B138" s="102">
        <f>YEAR(Table10[[#This Row],[Date]])+IF(MONTH(Table10[[#This Row],[Date]])&gt;=4,1,0)</f>
        <v>2026</v>
      </c>
      <c r="C138" s="102">
        <f>YEAR(Table10[[#This Row],[Date]])</f>
        <v>2025</v>
      </c>
      <c r="D138" s="102" t="s">
        <v>265</v>
      </c>
      <c r="E138" s="258">
        <f>Table10[[#This Row],[Date]]-DAY(Table10[[#This Row],[Date]])+1</f>
        <v>45809</v>
      </c>
      <c r="F138" s="259">
        <v>45828</v>
      </c>
      <c r="G138" s="102" t="s">
        <v>121</v>
      </c>
      <c r="H138" s="102" t="str">
        <f>IFERROR(_xlfn.XLOOKUP(Table10[[#This Row],[Affected Feeder ]],'Basic Data'!$A$43:$A$70,'Basic Data'!$B$43:$B$70),"")</f>
        <v>TQGXIIPL</v>
      </c>
      <c r="I138" s="102" t="str">
        <f>IFERROR(_xlfn.XLOOKUP(Table10[[#This Row],[Affected Feeder ]],'Basic Data'!$A$43:$A$70,'Basic Data'!$C$43:$C$70),"")</f>
        <v>GEDA</v>
      </c>
      <c r="J138" s="271">
        <f>IFERROR(_xlfn.XLOOKUP(Table10[[#This Row],[Affected Feeder ]],'Basic Data'!$A$43:$A$70,'Basic Data'!$E$43:$E$70),"")</f>
        <v>3.846153846153845E-2</v>
      </c>
      <c r="K138" s="272" t="s">
        <v>706</v>
      </c>
      <c r="L138" s="273">
        <v>0.82638888888888884</v>
      </c>
      <c r="M138" s="273">
        <v>0.82638888888888884</v>
      </c>
      <c r="N138" s="273">
        <v>0.86041666666666672</v>
      </c>
      <c r="O138" s="101">
        <f>(Table10[[#This Row],[Work Start TimeStamp]]-Table10[[#This Row],[Fault Start TimeStamp]])*24</f>
        <v>0</v>
      </c>
      <c r="P138" s="101">
        <f>IF(Table10[[#This Row],[Work Start TimeStamp]]="","",(Table10[[#This Row],[Fault Clearance time]]-Table10[[#This Row],[Work Start TimeStamp]])*24)</f>
        <v>0.81666666666666909</v>
      </c>
      <c r="Q138" s="285">
        <f>(Table10[[#This Row],[Fault Clearance time]]-Table10[[#This Row],[Fault Start TimeStamp]])*24</f>
        <v>0.81666666666666909</v>
      </c>
      <c r="R138" s="272" t="s">
        <v>750</v>
      </c>
      <c r="S138" s="102" t="s">
        <v>268</v>
      </c>
      <c r="T138" s="274">
        <f>IFERROR(Table10[[#This Row],[Breakdown Time]]*Table10[[#This Row],[Plant Equivalent Weightage]],"")</f>
        <v>3.1410256410256493E-2</v>
      </c>
      <c r="U138" s="102" t="s">
        <v>754</v>
      </c>
      <c r="V138" s="288">
        <f>IFERROR(_xlfn.XLOOKUP(Table10[[#This Row],[Date]],'Daily KPI'!$A:$A,'Daily KPI'!$M:$M),"")</f>
        <v>8.8839391657087781</v>
      </c>
      <c r="W138" s="102">
        <v>2196</v>
      </c>
      <c r="X138" s="102">
        <f>Table10[[#This Row],[WTG Loss]]*1*Table10[[#This Row],[Breakdown Time]]</f>
        <v>1793.4000000000053</v>
      </c>
      <c r="Y138" s="102" t="s">
        <v>638</v>
      </c>
      <c r="Z138" s="102"/>
      <c r="AA138" s="102"/>
    </row>
    <row r="139" spans="1:27">
      <c r="A139" s="102">
        <f t="shared" si="2"/>
        <v>138</v>
      </c>
      <c r="B139" s="102">
        <f>YEAR(Table10[[#This Row],[Date]])+IF(MONTH(Table10[[#This Row],[Date]])&gt;=4,1,0)</f>
        <v>2026</v>
      </c>
      <c r="C139" s="102">
        <f>YEAR(Table10[[#This Row],[Date]])</f>
        <v>2025</v>
      </c>
      <c r="D139" s="102" t="s">
        <v>265</v>
      </c>
      <c r="E139" s="258">
        <f>Table10[[#This Row],[Date]]-DAY(Table10[[#This Row],[Date]])+1</f>
        <v>45809</v>
      </c>
      <c r="F139" s="259">
        <v>45828</v>
      </c>
      <c r="G139" s="102" t="s">
        <v>140</v>
      </c>
      <c r="H139" s="102" t="str">
        <f>IFERROR(_xlfn.XLOOKUP(Table10[[#This Row],[Affected Feeder ]],'Basic Data'!$A$43:$A$70,'Basic Data'!$B$43:$B$70),"")</f>
        <v>TQGXIIPL</v>
      </c>
      <c r="I139" s="102" t="str">
        <f>IFERROR(_xlfn.XLOOKUP(Table10[[#This Row],[Affected Feeder ]],'Basic Data'!$A$43:$A$70,'Basic Data'!$C$43:$C$70),"")</f>
        <v>GEDA</v>
      </c>
      <c r="J139" s="271">
        <f>IFERROR(_xlfn.XLOOKUP(Table10[[#This Row],[Affected Feeder ]],'Basic Data'!$A$43:$A$70,'Basic Data'!$E$43:$E$70),"")</f>
        <v>3.846153846153845E-2</v>
      </c>
      <c r="K139" s="272" t="s">
        <v>755</v>
      </c>
      <c r="L139" s="273">
        <v>0.82638888888888884</v>
      </c>
      <c r="M139" s="273">
        <v>0.87569444444444444</v>
      </c>
      <c r="N139" s="273">
        <v>0.87569444444444444</v>
      </c>
      <c r="O139" s="101">
        <f>(Table10[[#This Row],[Work Start TimeStamp]]-Table10[[#This Row],[Fault Start TimeStamp]])*24</f>
        <v>1.1833333333333345</v>
      </c>
      <c r="P139" s="101">
        <f>IF(Table10[[#This Row],[Work Start TimeStamp]]="","",(Table10[[#This Row],[Fault Clearance time]]-Table10[[#This Row],[Work Start TimeStamp]])*24)</f>
        <v>0</v>
      </c>
      <c r="Q139" s="285">
        <f>(Table10[[#This Row],[Fault Clearance time]]-Table10[[#This Row],[Fault Start TimeStamp]])*24</f>
        <v>1.1833333333333345</v>
      </c>
      <c r="R139" s="272" t="s">
        <v>750</v>
      </c>
      <c r="S139" s="102" t="s">
        <v>268</v>
      </c>
      <c r="T139" s="274">
        <f>IFERROR(Table10[[#This Row],[Breakdown Time]]*Table10[[#This Row],[Plant Equivalent Weightage]],"")</f>
        <v>4.5512820512820545E-2</v>
      </c>
      <c r="U139" s="102" t="s">
        <v>754</v>
      </c>
      <c r="V139" s="288">
        <f>IFERROR(_xlfn.XLOOKUP(Table10[[#This Row],[Date]],'Daily KPI'!$A:$A,'Daily KPI'!$M:$M),"")</f>
        <v>8.8839391657087781</v>
      </c>
      <c r="W139" s="102">
        <v>2196</v>
      </c>
      <c r="X139" s="102">
        <f>Table10[[#This Row],[WTG Loss]]*1*Table10[[#This Row],[Breakdown Time]]</f>
        <v>2598.6000000000026</v>
      </c>
      <c r="Y139" s="102" t="s">
        <v>638</v>
      </c>
      <c r="Z139" s="102"/>
      <c r="AA139" s="102"/>
    </row>
    <row r="140" spans="1:27">
      <c r="A140" s="102">
        <f t="shared" si="2"/>
        <v>139</v>
      </c>
      <c r="B140" s="102">
        <f>YEAR(Table10[[#This Row],[Date]])+IF(MONTH(Table10[[#This Row],[Date]])&gt;=4,1,0)</f>
        <v>2026</v>
      </c>
      <c r="C140" s="102">
        <f>YEAR(Table10[[#This Row],[Date]])</f>
        <v>2025</v>
      </c>
      <c r="D140" s="102" t="s">
        <v>265</v>
      </c>
      <c r="E140" s="258">
        <f>Table10[[#This Row],[Date]]-DAY(Table10[[#This Row],[Date]])+1</f>
        <v>45839</v>
      </c>
      <c r="F140" s="259">
        <v>45839</v>
      </c>
      <c r="G140" s="102" t="s">
        <v>639</v>
      </c>
      <c r="H140" s="102" t="str">
        <f>IFERROR(_xlfn.XLOOKUP(Table10[[#This Row],[Affected Feeder ]],'Basic Data'!$A$43:$A$70,'Basic Data'!$B$43:$B$70),"")</f>
        <v>TQGXIIPL</v>
      </c>
      <c r="I140" s="102" t="str">
        <f>IFERROR(_xlfn.XLOOKUP(Table10[[#This Row],[Affected Feeder ]],'Basic Data'!$A$43:$A$70,'Basic Data'!$C$43:$C$70),"")</f>
        <v>GEDA</v>
      </c>
      <c r="J140" s="271">
        <f>IFERROR(_xlfn.XLOOKUP(Table10[[#This Row],[Affected Feeder ]],'Basic Data'!$A$43:$A$70,'Basic Data'!$E$43:$E$70),"")</f>
        <v>0.49999999999999978</v>
      </c>
      <c r="K140" s="272" t="s">
        <v>756</v>
      </c>
      <c r="L140" s="273">
        <v>0.54861111111111116</v>
      </c>
      <c r="M140" s="273">
        <v>0.54861111111111116</v>
      </c>
      <c r="N140" s="273">
        <v>0.55763888888888891</v>
      </c>
      <c r="O140" s="101">
        <f>(Table10[[#This Row],[Work Start TimeStamp]]-Table10[[#This Row],[Fault Start TimeStamp]])*24</f>
        <v>0</v>
      </c>
      <c r="P140" s="101">
        <f>IF(Table10[[#This Row],[Work Start TimeStamp]]="","",(Table10[[#This Row],[Fault Clearance time]]-Table10[[#This Row],[Work Start TimeStamp]])*24)</f>
        <v>0.2166666666666659</v>
      </c>
      <c r="Q140" s="285">
        <f>(Table10[[#This Row],[Fault Clearance time]]-Table10[[#This Row],[Fault Start TimeStamp]])*24</f>
        <v>0.2166666666666659</v>
      </c>
      <c r="R140" s="272" t="s">
        <v>757</v>
      </c>
      <c r="S140" s="102" t="s">
        <v>268</v>
      </c>
      <c r="T140" s="274">
        <f>IFERROR(Table10[[#This Row],[Breakdown Time]]*Table10[[#This Row],[Plant Equivalent Weightage]],"")</f>
        <v>0.10833333333333291</v>
      </c>
      <c r="U140" s="102" t="s">
        <v>754</v>
      </c>
      <c r="V140" s="288">
        <f>IFERROR(_xlfn.XLOOKUP(Table10[[#This Row],[Date]],'Daily KPI'!$A:$A,'Daily KPI'!$M:$M),"")</f>
        <v>7.6018168858153654</v>
      </c>
      <c r="W140" s="102">
        <v>1490</v>
      </c>
      <c r="X140" s="102">
        <f>Table10[[#This Row],[WTG Loss]]*13*Table10[[#This Row],[Breakdown Time]]</f>
        <v>4196.8333333333185</v>
      </c>
      <c r="Y140" s="102" t="s">
        <v>638</v>
      </c>
      <c r="Z140" s="102"/>
      <c r="AA140" s="102"/>
    </row>
    <row r="141" spans="1:27">
      <c r="A141" s="102">
        <v>140</v>
      </c>
      <c r="B141" s="102">
        <f>YEAR(Table10[[#This Row],[Date]])+IF(MONTH(Table10[[#This Row],[Date]])&gt;=4,1,0)</f>
        <v>2026</v>
      </c>
      <c r="C141" s="102">
        <f>YEAR(Table10[[#This Row],[Date]])</f>
        <v>2025</v>
      </c>
      <c r="D141" s="102" t="s">
        <v>265</v>
      </c>
      <c r="E141" s="258">
        <f>Table10[[#This Row],[Date]]-DAY(Table10[[#This Row],[Date]])+1</f>
        <v>45839</v>
      </c>
      <c r="F141" s="259">
        <v>45840</v>
      </c>
      <c r="G141" s="102" t="s">
        <v>647</v>
      </c>
      <c r="H141" s="102" t="str">
        <f>IFERROR(_xlfn.XLOOKUP(Table10[[#This Row],[Affected Feeder ]],'Basic Data'!$A$43:$A$70,'Basic Data'!$B$43:$B$70),"")</f>
        <v>TQGXIIPL</v>
      </c>
      <c r="I141" s="102" t="str">
        <f>IFERROR(_xlfn.XLOOKUP(Table10[[#This Row],[Affected Feeder ]],'Basic Data'!$A$43:$A$70,'Basic Data'!$C$43:$C$70),"")</f>
        <v>GEDA</v>
      </c>
      <c r="J141" s="291">
        <f>IFERROR(_xlfn.XLOOKUP(Table10[[#This Row],[Affected Feeder ]],'Basic Data'!$A$43:$A$70,'Basic Data'!$E$43:$E$70),"")</f>
        <v>0.49999999999999978</v>
      </c>
      <c r="K141" s="272" t="s">
        <v>758</v>
      </c>
      <c r="L141" s="273">
        <v>0.74583333333333335</v>
      </c>
      <c r="M141" s="273">
        <v>0.74583333333333335</v>
      </c>
      <c r="N141" s="273">
        <v>0.75555555555555554</v>
      </c>
      <c r="O141" s="292">
        <f>(Table10[[#This Row],[Work Start TimeStamp]]-Table10[[#This Row],[Fault Start TimeStamp]])*24</f>
        <v>0</v>
      </c>
      <c r="P141" s="292">
        <f>IF(Table10[[#This Row],[Work Start TimeStamp]]="","",(Table10[[#This Row],[Fault Clearance time]]-Table10[[#This Row],[Work Start TimeStamp]])*24)</f>
        <v>0.2333333333333325</v>
      </c>
      <c r="Q141" s="293">
        <f>(Table10[[#This Row],[Fault Clearance time]]-Table10[[#This Row],[Fault Start TimeStamp]])*24</f>
        <v>0.2333333333333325</v>
      </c>
      <c r="R141" s="272" t="s">
        <v>759</v>
      </c>
      <c r="S141" s="102" t="s">
        <v>268</v>
      </c>
      <c r="T141" s="274">
        <f>IFERROR(Table10[[#This Row],[Breakdown Time]]*Table10[[#This Row],[Plant Equivalent Weightage]],"")</f>
        <v>0.1166666666666662</v>
      </c>
      <c r="U141" s="102" t="s">
        <v>754</v>
      </c>
      <c r="V141" s="288">
        <f>IFERROR(_xlfn.XLOOKUP(Table10[[#This Row],[Date]],'Daily KPI'!$A:$A,'Daily KPI'!$M:$M),"")</f>
        <v>7.2251072211121912</v>
      </c>
      <c r="W141" s="102">
        <v>1276</v>
      </c>
      <c r="X141" s="102">
        <f>Table10[[#This Row],[WTG Loss]]*13*Table10[[#This Row],[Breakdown Time]]</f>
        <v>3870.5333333333197</v>
      </c>
      <c r="Y141" s="102" t="s">
        <v>638</v>
      </c>
      <c r="Z141" s="102"/>
      <c r="AA141" s="102"/>
    </row>
    <row r="142" spans="1:27">
      <c r="A142" s="102">
        <v>141</v>
      </c>
      <c r="B142" s="102">
        <f>YEAR(Table10[[#This Row],[Date]])+IF(MONTH(Table10[[#This Row],[Date]])&gt;=4,1,0)</f>
        <v>2026</v>
      </c>
      <c r="C142" s="102">
        <f>YEAR(Table10[[#This Row],[Date]])</f>
        <v>2025</v>
      </c>
      <c r="D142" s="102" t="s">
        <v>265</v>
      </c>
      <c r="E142" s="258">
        <f>Table10[[#This Row],[Date]]-DAY(Table10[[#This Row],[Date]])+1</f>
        <v>45839</v>
      </c>
      <c r="F142" s="259">
        <v>45840</v>
      </c>
      <c r="G142" s="102" t="s">
        <v>122</v>
      </c>
      <c r="H142" s="102" t="str">
        <f>IFERROR(_xlfn.XLOOKUP(Table10[[#This Row],[Affected Feeder ]],'Basic Data'!$A$43:$A$70,'Basic Data'!$B$43:$B$70),"")</f>
        <v>TQGXIIPL</v>
      </c>
      <c r="I142" s="102" t="str">
        <f>IFERROR(_xlfn.XLOOKUP(Table10[[#This Row],[Affected Feeder ]],'Basic Data'!$A$43:$A$70,'Basic Data'!$C$43:$C$70),"")</f>
        <v>GEDA</v>
      </c>
      <c r="J142" s="291">
        <f>IFERROR(_xlfn.XLOOKUP(Table10[[#This Row],[Affected Feeder ]],'Basic Data'!$A$43:$A$70,'Basic Data'!$E$43:$E$70),"")</f>
        <v>3.846153846153845E-2</v>
      </c>
      <c r="K142" s="272" t="s">
        <v>749</v>
      </c>
      <c r="L142" s="273">
        <v>0.53194444444444444</v>
      </c>
      <c r="M142" s="273">
        <v>0.53194444444444444</v>
      </c>
      <c r="N142" s="273">
        <v>0.5541666666666667</v>
      </c>
      <c r="O142" s="292">
        <f>(Table10[[#This Row],[Work Start TimeStamp]]-Table10[[#This Row],[Fault Start TimeStamp]])*24</f>
        <v>0</v>
      </c>
      <c r="P142" s="292">
        <f>IF(Table10[[#This Row],[Work Start TimeStamp]]="","",(Table10[[#This Row],[Fault Clearance time]]-Table10[[#This Row],[Work Start TimeStamp]])*24)</f>
        <v>0.5333333333333341</v>
      </c>
      <c r="Q142" s="293">
        <f>(Table10[[#This Row],[Fault Clearance time]]-Table10[[#This Row],[Fault Start TimeStamp]])*24</f>
        <v>0.5333333333333341</v>
      </c>
      <c r="R142" s="272" t="s">
        <v>760</v>
      </c>
      <c r="S142" s="102" t="s">
        <v>268</v>
      </c>
      <c r="T142" s="274">
        <f>IFERROR(Table10[[#This Row],[Breakdown Time]]*Table10[[#This Row],[Plant Equivalent Weightage]],"")</f>
        <v>2.0512820512820537E-2</v>
      </c>
      <c r="U142" s="102" t="s">
        <v>754</v>
      </c>
      <c r="V142" s="288">
        <f>IFERROR(_xlfn.XLOOKUP(Table10[[#This Row],[Date]],'Daily KPI'!$A:$A,'Daily KPI'!$M:$M),"")</f>
        <v>7.2251072211121912</v>
      </c>
      <c r="W142" s="102">
        <v>1276</v>
      </c>
      <c r="X142" s="102">
        <f>Table10[[#This Row],[WTG Loss]]*1*Table10[[#This Row],[Breakdown Time]]</f>
        <v>680.53333333333433</v>
      </c>
      <c r="Y142" s="102" t="s">
        <v>638</v>
      </c>
      <c r="Z142" s="102"/>
      <c r="AA142" s="102"/>
    </row>
    <row r="143" spans="1:27">
      <c r="A143" s="102">
        <v>142</v>
      </c>
      <c r="B143" s="102">
        <f>YEAR(Table10[[#This Row],[Date]])+IF(MONTH(Table10[[#This Row],[Date]])&gt;=4,1,0)</f>
        <v>2026</v>
      </c>
      <c r="C143" s="102">
        <f>YEAR(Table10[[#This Row],[Date]])</f>
        <v>2025</v>
      </c>
      <c r="D143" s="102" t="s">
        <v>265</v>
      </c>
      <c r="E143" s="258">
        <f>Table10[[#This Row],[Date]]-DAY(Table10[[#This Row],[Date]])+1</f>
        <v>45839</v>
      </c>
      <c r="F143" s="259">
        <v>45844</v>
      </c>
      <c r="G143" s="102" t="s">
        <v>140</v>
      </c>
      <c r="H143" s="102" t="str">
        <f>IFERROR(_xlfn.XLOOKUP(Table10[[#This Row],[Affected Feeder ]],'Basic Data'!$A$43:$A$70,'Basic Data'!$B$43:$B$70),"")</f>
        <v>TQGXIIPL</v>
      </c>
      <c r="I143" s="102" t="str">
        <f>IFERROR(_xlfn.XLOOKUP(Table10[[#This Row],[Affected Feeder ]],'Basic Data'!$A$43:$A$70,'Basic Data'!$C$43:$C$70),"")</f>
        <v>GEDA</v>
      </c>
      <c r="J143" s="291">
        <f>IFERROR(_xlfn.XLOOKUP(Table10[[#This Row],[Affected Feeder ]],'Basic Data'!$A$43:$A$70,'Basic Data'!$E$43:$E$70),"")</f>
        <v>3.846153846153845E-2</v>
      </c>
      <c r="K143" s="272" t="s">
        <v>751</v>
      </c>
      <c r="L143" s="273">
        <v>0.80625000000000002</v>
      </c>
      <c r="M143" s="273">
        <v>0.80625000000000002</v>
      </c>
      <c r="N143" s="273">
        <v>0.84791666666666665</v>
      </c>
      <c r="O143" s="292">
        <f>(Table10[[#This Row],[Work Start TimeStamp]]-Table10[[#This Row],[Fault Start TimeStamp]])*24</f>
        <v>0</v>
      </c>
      <c r="P143" s="292">
        <f>IF(Table10[[#This Row],[Work Start TimeStamp]]="","",(Table10[[#This Row],[Fault Clearance time]]-Table10[[#This Row],[Work Start TimeStamp]])*24)</f>
        <v>0.99999999999999911</v>
      </c>
      <c r="Q143" s="293">
        <f>(Table10[[#This Row],[Fault Clearance time]]-Table10[[#This Row],[Fault Start TimeStamp]])*24</f>
        <v>0.99999999999999911</v>
      </c>
      <c r="R143" s="272" t="s">
        <v>760</v>
      </c>
      <c r="S143" s="102" t="s">
        <v>268</v>
      </c>
      <c r="T143" s="274">
        <f>IFERROR(Table10[[#This Row],[Breakdown Time]]*Table10[[#This Row],[Plant Equivalent Weightage]],"")</f>
        <v>3.8461538461538415E-2</v>
      </c>
      <c r="U143" s="102" t="s">
        <v>754</v>
      </c>
      <c r="V143" s="288">
        <v>7.7</v>
      </c>
      <c r="W143" s="102">
        <v>1543.5</v>
      </c>
      <c r="X143" s="102">
        <f>Table10[[#This Row],[WTG Loss]]*1*Table10[[#This Row],[Breakdown Time]]</f>
        <v>1543.4999999999986</v>
      </c>
      <c r="Y143" s="102" t="s">
        <v>638</v>
      </c>
      <c r="Z143" s="102"/>
      <c r="AA143" s="102"/>
    </row>
    <row r="144" spans="1:27">
      <c r="A144" s="102">
        <v>143</v>
      </c>
      <c r="B144" s="102">
        <f>YEAR(Table10[[#This Row],[Date]])+IF(MONTH(Table10[[#This Row],[Date]])&gt;=4,1,0)</f>
        <v>2026</v>
      </c>
      <c r="C144" s="102">
        <f>YEAR(Table10[[#This Row],[Date]])</f>
        <v>2025</v>
      </c>
      <c r="D144" s="102" t="s">
        <v>265</v>
      </c>
      <c r="E144" s="258">
        <f>Table10[[#This Row],[Date]]-DAY(Table10[[#This Row],[Date]])+1</f>
        <v>45839</v>
      </c>
      <c r="F144" s="259">
        <v>45844</v>
      </c>
      <c r="G144" s="102" t="s">
        <v>647</v>
      </c>
      <c r="H144" s="102" t="str">
        <f>IFERROR(_xlfn.XLOOKUP(Table10[[#This Row],[Affected Feeder ]],'Basic Data'!$A$43:$A$70,'Basic Data'!$B$43:$B$70),"")</f>
        <v>TQGXIIPL</v>
      </c>
      <c r="I144" s="102" t="str">
        <f>IFERROR(_xlfn.XLOOKUP(Table10[[#This Row],[Affected Feeder ]],'Basic Data'!$A$43:$A$70,'Basic Data'!$C$43:$C$70),"")</f>
        <v>GEDA</v>
      </c>
      <c r="J144" s="291">
        <f>IFERROR(_xlfn.XLOOKUP(Table10[[#This Row],[Affected Feeder ]],'Basic Data'!$A$43:$A$70,'Basic Data'!$E$43:$E$70),"")</f>
        <v>0.49999999999999978</v>
      </c>
      <c r="K144" s="272" t="s">
        <v>744</v>
      </c>
      <c r="L144" s="273">
        <v>0.78472222222222221</v>
      </c>
      <c r="M144" s="273">
        <v>0.78472222222222221</v>
      </c>
      <c r="N144" s="273">
        <v>0.80625000000000002</v>
      </c>
      <c r="O144" s="292">
        <f>(Table10[[#This Row],[Work Start TimeStamp]]-Table10[[#This Row],[Fault Start TimeStamp]])*24</f>
        <v>0</v>
      </c>
      <c r="P144" s="292">
        <f>IF(Table10[[#This Row],[Work Start TimeStamp]]="","",(Table10[[#This Row],[Fault Clearance time]]-Table10[[#This Row],[Work Start TimeStamp]])*24)</f>
        <v>0.5166666666666675</v>
      </c>
      <c r="Q144" s="293">
        <f>(Table10[[#This Row],[Fault Clearance time]]-Table10[[#This Row],[Fault Start TimeStamp]])*24</f>
        <v>0.5166666666666675</v>
      </c>
      <c r="R144" s="272" t="s">
        <v>747</v>
      </c>
      <c r="S144" s="102" t="s">
        <v>268</v>
      </c>
      <c r="T144" s="274">
        <f>IFERROR(Table10[[#This Row],[Breakdown Time]]*Table10[[#This Row],[Plant Equivalent Weightage]],"")</f>
        <v>0.25833333333333364</v>
      </c>
      <c r="U144" s="102" t="s">
        <v>754</v>
      </c>
      <c r="V144" s="288">
        <v>7.7</v>
      </c>
      <c r="W144" s="102">
        <v>1543.5</v>
      </c>
      <c r="X144" s="102">
        <f>Table10[[#This Row],[WTG Loss]]*13*Table10[[#This Row],[Breakdown Time]]</f>
        <v>10367.175000000017</v>
      </c>
      <c r="Y144" s="102" t="s">
        <v>638</v>
      </c>
      <c r="Z144" s="102"/>
      <c r="AA144" s="102"/>
    </row>
    <row r="145" spans="1:27">
      <c r="A145" s="102">
        <v>144</v>
      </c>
      <c r="B145" s="102">
        <f>YEAR(Table10[[#This Row],[Date]])+IF(MONTH(Table10[[#This Row],[Date]])&gt;=4,1,0)</f>
        <v>2026</v>
      </c>
      <c r="C145" s="102">
        <f>YEAR(Table10[[#This Row],[Date]])</f>
        <v>2025</v>
      </c>
      <c r="D145" s="102" t="s">
        <v>265</v>
      </c>
      <c r="E145" s="258">
        <f>Table10[[#This Row],[Date]]-DAY(Table10[[#This Row],[Date]])+1</f>
        <v>45839</v>
      </c>
      <c r="F145" s="259">
        <v>45845</v>
      </c>
      <c r="G145" s="102" t="s">
        <v>639</v>
      </c>
      <c r="H145" s="102" t="str">
        <f>IFERROR(_xlfn.XLOOKUP(Table10[[#This Row],[Affected Feeder ]],'Basic Data'!$A$43:$A$70,'Basic Data'!$B$43:$B$70),"")</f>
        <v>TQGXIIPL</v>
      </c>
      <c r="I145" s="102" t="str">
        <f>IFERROR(_xlfn.XLOOKUP(Table10[[#This Row],[Affected Feeder ]],'Basic Data'!$A$43:$A$70,'Basic Data'!$C$43:$C$70),"")</f>
        <v>GEDA</v>
      </c>
      <c r="J145" s="291">
        <f>IFERROR(_xlfn.XLOOKUP(Table10[[#This Row],[Affected Feeder ]],'Basic Data'!$A$43:$A$70,'Basic Data'!$E$43:$E$70),"")</f>
        <v>0.49999999999999978</v>
      </c>
      <c r="K145" s="272" t="s">
        <v>736</v>
      </c>
      <c r="L145" s="273">
        <v>0.71319444444444446</v>
      </c>
      <c r="M145" s="273">
        <v>0.71319444444444446</v>
      </c>
      <c r="N145" s="273">
        <v>0.7319444444444444</v>
      </c>
      <c r="O145" s="101">
        <f>(Table10[[#This Row],[Work Start TimeStamp]]-Table10[[#This Row],[Fault Start TimeStamp]])*24</f>
        <v>0</v>
      </c>
      <c r="P145" s="101">
        <f>IF(Table10[[#This Row],[Work Start TimeStamp]]="","",(Table10[[#This Row],[Fault Clearance time]]-Table10[[#This Row],[Work Start TimeStamp]])*24)</f>
        <v>0.4499999999999984</v>
      </c>
      <c r="Q145" s="285">
        <f>(Table10[[#This Row],[Fault Clearance time]]-Table10[[#This Row],[Fault Start TimeStamp]])*24</f>
        <v>0.4499999999999984</v>
      </c>
      <c r="R145" s="272" t="s">
        <v>761</v>
      </c>
      <c r="S145" s="102" t="s">
        <v>268</v>
      </c>
      <c r="T145" s="274">
        <f>IFERROR(Table10[[#This Row],[Breakdown Time]]*Table10[[#This Row],[Plant Equivalent Weightage]],"")</f>
        <v>0.22499999999999909</v>
      </c>
      <c r="U145" s="102" t="s">
        <v>754</v>
      </c>
      <c r="V145" s="288">
        <f>IFERROR(_xlfn.XLOOKUP(Table10[[#This Row],[Date]],'Daily KPI'!$A:$A,'Daily KPI'!$M:$M),"")</f>
        <v>7.7634439343385679</v>
      </c>
      <c r="W145" s="102">
        <v>1597</v>
      </c>
      <c r="X145" s="102">
        <f>Table10[[#This Row],[WTG Loss]]*13*Table10[[#This Row],[Breakdown Time]]</f>
        <v>9342.4499999999662</v>
      </c>
      <c r="Y145" s="102" t="s">
        <v>638</v>
      </c>
      <c r="Z145" s="102"/>
      <c r="AA145" s="102"/>
    </row>
    <row r="146" spans="1:27">
      <c r="A146" s="102">
        <v>145</v>
      </c>
      <c r="B146" s="102">
        <f>YEAR(Table10[[#This Row],[Date]])+IF(MONTH(Table10[[#This Row],[Date]])&gt;=4,1,0)</f>
        <v>2026</v>
      </c>
      <c r="C146" s="102">
        <f>YEAR(Table10[[#This Row],[Date]])</f>
        <v>2025</v>
      </c>
      <c r="D146" s="102" t="s">
        <v>265</v>
      </c>
      <c r="E146" s="258">
        <f>Table10[[#This Row],[Date]]-DAY(Table10[[#This Row],[Date]])+1</f>
        <v>45839</v>
      </c>
      <c r="F146" s="259">
        <v>45850</v>
      </c>
      <c r="G146" s="102" t="s">
        <v>639</v>
      </c>
      <c r="H146" s="102" t="str">
        <f>IFERROR(_xlfn.XLOOKUP(Table10[[#This Row],[Affected Feeder ]],'Basic Data'!$A$43:$A$70,'Basic Data'!$B$43:$B$70),"")</f>
        <v>TQGXIIPL</v>
      </c>
      <c r="I146" s="102" t="str">
        <f>IFERROR(_xlfn.XLOOKUP(Table10[[#This Row],[Affected Feeder ]],'Basic Data'!$A$43:$A$70,'Basic Data'!$C$43:$C$70),"")</f>
        <v>GEDA</v>
      </c>
      <c r="J146" s="291">
        <f>IFERROR(_xlfn.XLOOKUP(Table10[[#This Row],[Affected Feeder ]],'Basic Data'!$A$43:$A$70,'Basic Data'!$E$43:$E$70),"")</f>
        <v>0.49999999999999978</v>
      </c>
      <c r="K146" s="272" t="s">
        <v>762</v>
      </c>
      <c r="L146" s="273">
        <v>0.98888888888888893</v>
      </c>
      <c r="M146" s="273">
        <v>0.98888888888888893</v>
      </c>
      <c r="N146" s="273">
        <v>0.99375000000000002</v>
      </c>
      <c r="O146" s="101">
        <f>(Table10[[#This Row],[Work Start TimeStamp]]-Table10[[#This Row],[Fault Start TimeStamp]])*24</f>
        <v>0</v>
      </c>
      <c r="P146" s="101">
        <f>IF(Table10[[#This Row],[Work Start TimeStamp]]="","",(Table10[[#This Row],[Fault Clearance time]]-Table10[[#This Row],[Work Start TimeStamp]])*24)</f>
        <v>0.11666666666666625</v>
      </c>
      <c r="Q146" s="285">
        <f>(Table10[[#This Row],[Fault Clearance time]]-Table10[[#This Row],[Fault Start TimeStamp]])*24</f>
        <v>0.11666666666666625</v>
      </c>
      <c r="R146" s="272" t="s">
        <v>763</v>
      </c>
      <c r="S146" s="102" t="s">
        <v>268</v>
      </c>
      <c r="T146" s="274">
        <f>IFERROR(Table10[[#This Row],[Breakdown Time]]*Table10[[#This Row],[Plant Equivalent Weightage]],"")</f>
        <v>5.8333333333333098E-2</v>
      </c>
      <c r="U146" s="102" t="s">
        <v>754</v>
      </c>
      <c r="V146" s="288">
        <f>IFERROR(_xlfn.XLOOKUP(Table10[[#This Row],[Date]],'Daily KPI'!$A:$A,'Daily KPI'!$M:$M),"")</f>
        <v>6.0700565171497436</v>
      </c>
      <c r="W146" s="102">
        <v>767.6</v>
      </c>
      <c r="X146" s="102">
        <f>Table10[[#This Row],[WTG Loss]]*13*Table10[[#This Row],[Breakdown Time]]</f>
        <v>1164.1933333333293</v>
      </c>
      <c r="Y146" s="102" t="s">
        <v>638</v>
      </c>
      <c r="Z146" s="102"/>
      <c r="AA146" s="102"/>
    </row>
    <row r="147" spans="1:27">
      <c r="A147" s="102">
        <v>146</v>
      </c>
      <c r="B147" s="102">
        <f>YEAR(Table10[[#This Row],[Date]])+IF(MONTH(Table10[[#This Row],[Date]])&gt;=4,1,0)</f>
        <v>2026</v>
      </c>
      <c r="C147" s="102">
        <f>YEAR(Table10[[#This Row],[Date]])</f>
        <v>2025</v>
      </c>
      <c r="D147" s="102" t="s">
        <v>265</v>
      </c>
      <c r="E147" s="258">
        <f>Table10[[#This Row],[Date]]-DAY(Table10[[#This Row],[Date]])+1</f>
        <v>45839</v>
      </c>
      <c r="F147" s="259">
        <v>45850</v>
      </c>
      <c r="G147" s="102" t="s">
        <v>116</v>
      </c>
      <c r="H147" s="102" t="str">
        <f>IFERROR(_xlfn.XLOOKUP(Table10[[#This Row],[Affected Feeder ]],'Basic Data'!$A$43:$A$70,'Basic Data'!$B$43:$B$70),"")</f>
        <v>TQGXIIPL</v>
      </c>
      <c r="I147" s="102" t="str">
        <f>IFERROR(_xlfn.XLOOKUP(Table10[[#This Row],[Affected Feeder ]],'Basic Data'!$A$43:$A$70,'Basic Data'!$C$43:$C$70),"")</f>
        <v>GEDA</v>
      </c>
      <c r="J147" s="291">
        <f>IFERROR(_xlfn.XLOOKUP(Table10[[#This Row],[Affected Feeder ]],'Basic Data'!$A$43:$A$70,'Basic Data'!$E$43:$E$70),"")</f>
        <v>3.846153846153845E-2</v>
      </c>
      <c r="K147" s="272" t="s">
        <v>764</v>
      </c>
      <c r="L147" s="273">
        <v>0.99375000000000002</v>
      </c>
      <c r="M147" s="273">
        <v>0.99375000000000002</v>
      </c>
      <c r="N147" s="273">
        <v>0.99998842592592596</v>
      </c>
      <c r="O147" s="101">
        <f>(Table10[[#This Row],[Work Start TimeStamp]]-Table10[[#This Row],[Fault Start TimeStamp]])*24</f>
        <v>0</v>
      </c>
      <c r="P147" s="101">
        <f>IF(Table10[[#This Row],[Work Start TimeStamp]]="","",(Table10[[#This Row],[Fault Clearance time]]-Table10[[#This Row],[Work Start TimeStamp]])*24)</f>
        <v>0.14972222222222253</v>
      </c>
      <c r="Q147" s="285">
        <f>(Table10[[#This Row],[Fault Clearance time]]-Table10[[#This Row],[Fault Start TimeStamp]])*24</f>
        <v>0.14972222222222253</v>
      </c>
      <c r="R147" s="272" t="s">
        <v>765</v>
      </c>
      <c r="S147" s="102" t="s">
        <v>268</v>
      </c>
      <c r="T147" s="274">
        <f>IFERROR(Table10[[#This Row],[Breakdown Time]]*Table10[[#This Row],[Plant Equivalent Weightage]],"")</f>
        <v>5.7585470085470191E-3</v>
      </c>
      <c r="U147" s="102" t="s">
        <v>754</v>
      </c>
      <c r="V147" s="288">
        <f>IFERROR(_xlfn.XLOOKUP(Table10[[#This Row],[Date]],'Daily KPI'!$A:$A,'Daily KPI'!$M:$M),"")</f>
        <v>6.0700565171497436</v>
      </c>
      <c r="W147" s="102">
        <v>767.6</v>
      </c>
      <c r="X147" s="102">
        <f>Table10[[#This Row],[WTG Loss]]*1*Table10[[#This Row],[Breakdown Time]]</f>
        <v>114.92677777777801</v>
      </c>
      <c r="Y147" s="102" t="s">
        <v>638</v>
      </c>
      <c r="Z147" s="102"/>
      <c r="AA147" s="102"/>
    </row>
    <row r="148" spans="1:27">
      <c r="A148" s="102">
        <v>147</v>
      </c>
      <c r="B148" s="102">
        <f>YEAR(Table10[[#This Row],[Date]])+IF(MONTH(Table10[[#This Row],[Date]])&gt;=4,1,0)</f>
        <v>2026</v>
      </c>
      <c r="C148" s="102">
        <f>YEAR(Table10[[#This Row],[Date]])</f>
        <v>2025</v>
      </c>
      <c r="D148" s="102" t="s">
        <v>265</v>
      </c>
      <c r="E148" s="258">
        <f>Table10[[#This Row],[Date]]-DAY(Table10[[#This Row],[Date]])+1</f>
        <v>45839</v>
      </c>
      <c r="F148" s="259">
        <v>45850</v>
      </c>
      <c r="G148" s="102" t="s">
        <v>119</v>
      </c>
      <c r="H148" s="102" t="str">
        <f>IFERROR(_xlfn.XLOOKUP(Table10[[#This Row],[Affected Feeder ]],'Basic Data'!$A$43:$A$70,'Basic Data'!$B$43:$B$70),"")</f>
        <v>TQGXIIPL</v>
      </c>
      <c r="I148" s="102" t="str">
        <f>IFERROR(_xlfn.XLOOKUP(Table10[[#This Row],[Affected Feeder ]],'Basic Data'!$A$43:$A$70,'Basic Data'!$C$43:$C$70),"")</f>
        <v>GEDA</v>
      </c>
      <c r="J148" s="291">
        <f>IFERROR(_xlfn.XLOOKUP(Table10[[#This Row],[Affected Feeder ]],'Basic Data'!$A$43:$A$70,'Basic Data'!$E$43:$E$70),"")</f>
        <v>3.846153846153845E-2</v>
      </c>
      <c r="K148" s="272" t="s">
        <v>766</v>
      </c>
      <c r="L148" s="273">
        <v>0.99375000000000002</v>
      </c>
      <c r="M148" s="273">
        <v>0.99375000000000002</v>
      </c>
      <c r="N148" s="273">
        <v>0.99998842592592596</v>
      </c>
      <c r="O148" s="101">
        <f>(Table10[[#This Row],[Work Start TimeStamp]]-Table10[[#This Row],[Fault Start TimeStamp]])*24</f>
        <v>0</v>
      </c>
      <c r="P148" s="101">
        <f>IF(Table10[[#This Row],[Work Start TimeStamp]]="","",(Table10[[#This Row],[Fault Clearance time]]-Table10[[#This Row],[Work Start TimeStamp]])*24)</f>
        <v>0.14972222222222253</v>
      </c>
      <c r="Q148" s="285">
        <f>(Table10[[#This Row],[Fault Clearance time]]-Table10[[#This Row],[Fault Start TimeStamp]])*24</f>
        <v>0.14972222222222253</v>
      </c>
      <c r="R148" s="272" t="s">
        <v>765</v>
      </c>
      <c r="S148" s="102" t="s">
        <v>268</v>
      </c>
      <c r="T148" s="274">
        <f>IFERROR(Table10[[#This Row],[Breakdown Time]]*Table10[[#This Row],[Plant Equivalent Weightage]],"")</f>
        <v>5.7585470085470191E-3</v>
      </c>
      <c r="U148" s="102" t="s">
        <v>754</v>
      </c>
      <c r="V148" s="288">
        <f>IFERROR(_xlfn.XLOOKUP(Table10[[#This Row],[Date]],'Daily KPI'!$A:$A,'Daily KPI'!$M:$M),"")</f>
        <v>6.0700565171497436</v>
      </c>
      <c r="W148" s="102">
        <v>767.6</v>
      </c>
      <c r="X148" s="102">
        <f>Table10[[#This Row],[WTG Loss]]*1*Table10[[#This Row],[Breakdown Time]]</f>
        <v>114.92677777777801</v>
      </c>
      <c r="Y148" s="102" t="s">
        <v>638</v>
      </c>
      <c r="Z148" s="102"/>
      <c r="AA148" s="102"/>
    </row>
    <row r="149" spans="1:27">
      <c r="A149" s="102">
        <v>148</v>
      </c>
      <c r="B149" s="102">
        <f>YEAR(Table10[[#This Row],[Date]])+IF(MONTH(Table10[[#This Row],[Date]])&gt;=4,1,0)</f>
        <v>2026</v>
      </c>
      <c r="C149" s="102">
        <f>YEAR(Table10[[#This Row],[Date]])</f>
        <v>2025</v>
      </c>
      <c r="D149" s="102" t="s">
        <v>265</v>
      </c>
      <c r="E149" s="258">
        <f>Table10[[#This Row],[Date]]-DAY(Table10[[#This Row],[Date]])+1</f>
        <v>45839</v>
      </c>
      <c r="F149" s="259">
        <v>45850</v>
      </c>
      <c r="G149" s="102" t="s">
        <v>139</v>
      </c>
      <c r="H149" s="102" t="str">
        <f>IFERROR(_xlfn.XLOOKUP(Table10[[#This Row],[Affected Feeder ]],'Basic Data'!$A$43:$A$70,'Basic Data'!$B$43:$B$70),"")</f>
        <v>TQGXIIPL</v>
      </c>
      <c r="I149" s="102" t="str">
        <f>IFERROR(_xlfn.XLOOKUP(Table10[[#This Row],[Affected Feeder ]],'Basic Data'!$A$43:$A$70,'Basic Data'!$C$43:$C$70),"")</f>
        <v>GEDA</v>
      </c>
      <c r="J149" s="291">
        <f>IFERROR(_xlfn.XLOOKUP(Table10[[#This Row],[Affected Feeder ]],'Basic Data'!$A$43:$A$70,'Basic Data'!$E$43:$E$70),"")</f>
        <v>3.846153846153845E-2</v>
      </c>
      <c r="K149" s="272" t="s">
        <v>767</v>
      </c>
      <c r="L149" s="273">
        <v>0.99375000000000002</v>
      </c>
      <c r="M149" s="273">
        <v>0.99375000000000002</v>
      </c>
      <c r="N149" s="273">
        <v>0.99998842592592596</v>
      </c>
      <c r="O149" s="101">
        <f>(Table10[[#This Row],[Work Start TimeStamp]]-Table10[[#This Row],[Fault Start TimeStamp]])*24</f>
        <v>0</v>
      </c>
      <c r="P149" s="101">
        <f>IF(Table10[[#This Row],[Work Start TimeStamp]]="","",(Table10[[#This Row],[Fault Clearance time]]-Table10[[#This Row],[Work Start TimeStamp]])*24)</f>
        <v>0.14972222222222253</v>
      </c>
      <c r="Q149" s="285">
        <f>(Table10[[#This Row],[Fault Clearance time]]-Table10[[#This Row],[Fault Start TimeStamp]])*24</f>
        <v>0.14972222222222253</v>
      </c>
      <c r="R149" s="272" t="s">
        <v>765</v>
      </c>
      <c r="S149" s="102" t="s">
        <v>268</v>
      </c>
      <c r="T149" s="274">
        <f>IFERROR(Table10[[#This Row],[Breakdown Time]]*Table10[[#This Row],[Plant Equivalent Weightage]],"")</f>
        <v>5.7585470085470191E-3</v>
      </c>
      <c r="U149" s="102" t="s">
        <v>754</v>
      </c>
      <c r="V149" s="288">
        <f>IFERROR(_xlfn.XLOOKUP(Table10[[#This Row],[Date]],'Daily KPI'!$A:$A,'Daily KPI'!$M:$M),"")</f>
        <v>6.0700565171497436</v>
      </c>
      <c r="W149" s="102">
        <v>767.6</v>
      </c>
      <c r="X149" s="102">
        <f>Table10[[#This Row],[WTG Loss]]*1*Table10[[#This Row],[Breakdown Time]]</f>
        <v>114.92677777777801</v>
      </c>
      <c r="Y149" s="102" t="s">
        <v>638</v>
      </c>
      <c r="Z149" s="102"/>
      <c r="AA149" s="102"/>
    </row>
    <row r="150" spans="1:27">
      <c r="A150" s="102">
        <v>149</v>
      </c>
      <c r="B150" s="102">
        <f>YEAR(Table10[[#This Row],[Date]])+IF(MONTH(Table10[[#This Row],[Date]])&gt;=4,1,0)</f>
        <v>2026</v>
      </c>
      <c r="C150" s="102">
        <f>YEAR(Table10[[#This Row],[Date]])</f>
        <v>2025</v>
      </c>
      <c r="D150" s="102" t="s">
        <v>265</v>
      </c>
      <c r="E150" s="258">
        <f>Table10[[#This Row],[Date]]-DAY(Table10[[#This Row],[Date]])+1</f>
        <v>45839</v>
      </c>
      <c r="F150" s="259">
        <v>45851</v>
      </c>
      <c r="G150" s="102" t="s">
        <v>639</v>
      </c>
      <c r="H150" s="102" t="str">
        <f>IFERROR(_xlfn.XLOOKUP(Table10[[#This Row],[Affected Feeder ]],'Basic Data'!$A$43:$A$70,'Basic Data'!$B$43:$B$70),"")</f>
        <v>TQGXIIPL</v>
      </c>
      <c r="I150" s="102" t="str">
        <f>IFERROR(_xlfn.XLOOKUP(Table10[[#This Row],[Affected Feeder ]],'Basic Data'!$A$43:$A$70,'Basic Data'!$C$43:$C$70),"")</f>
        <v>GEDA</v>
      </c>
      <c r="J150" s="291">
        <f>IFERROR(_xlfn.XLOOKUP(Table10[[#This Row],[Affected Feeder ]],'Basic Data'!$A$43:$A$70,'Basic Data'!$E$43:$E$70),"")</f>
        <v>0.49999999999999978</v>
      </c>
      <c r="K150" s="272" t="s">
        <v>645</v>
      </c>
      <c r="L150" s="273">
        <v>0.17222222222222222</v>
      </c>
      <c r="M150" s="273">
        <v>0.17222222222222222</v>
      </c>
      <c r="N150" s="273">
        <v>0.22638888888888889</v>
      </c>
      <c r="O150" s="101">
        <f>(Table10[[#This Row],[Work Start TimeStamp]]-Table10[[#This Row],[Fault Start TimeStamp]])*24</f>
        <v>0</v>
      </c>
      <c r="P150" s="101">
        <f>IF(Table10[[#This Row],[Work Start TimeStamp]]="","",(Table10[[#This Row],[Fault Clearance time]]-Table10[[#This Row],[Work Start TimeStamp]])*24)</f>
        <v>1.3</v>
      </c>
      <c r="Q150" s="285">
        <f>(Table10[[#This Row],[Fault Clearance time]]-Table10[[#This Row],[Fault Start TimeStamp]])*24</f>
        <v>1.3</v>
      </c>
      <c r="R150" s="272" t="s">
        <v>768</v>
      </c>
      <c r="S150" s="102" t="s">
        <v>268</v>
      </c>
      <c r="T150" s="274">
        <f>IFERROR(Table10[[#This Row],[Breakdown Time]]*Table10[[#This Row],[Plant Equivalent Weightage]],"")</f>
        <v>0.64999999999999969</v>
      </c>
      <c r="U150" s="102" t="s">
        <v>754</v>
      </c>
      <c r="V150" s="288">
        <f>IFERROR(_xlfn.XLOOKUP(Table10[[#This Row],[Date]],'Daily KPI'!$A:$A,'Daily KPI'!$M:$M),"")</f>
        <v>6.7007692307692315</v>
      </c>
      <c r="W150" s="102">
        <v>1035.2</v>
      </c>
      <c r="X150" s="102">
        <f>Table10[[#This Row],[WTG Loss]]*13*Table10[[#This Row],[Breakdown Time]]</f>
        <v>17494.88</v>
      </c>
      <c r="Y150" s="102" t="s">
        <v>638</v>
      </c>
      <c r="Z150" s="102"/>
      <c r="AA150" s="102"/>
    </row>
    <row r="151" spans="1:27">
      <c r="A151" s="102">
        <v>150</v>
      </c>
      <c r="B151" s="102">
        <f>YEAR(Table10[[#This Row],[Date]])+IF(MONTH(Table10[[#This Row],[Date]])&gt;=4,1,0)</f>
        <v>2026</v>
      </c>
      <c r="C151" s="102">
        <f>YEAR(Table10[[#This Row],[Date]])</f>
        <v>2025</v>
      </c>
      <c r="D151" s="102" t="s">
        <v>265</v>
      </c>
      <c r="E151" s="258">
        <f>Table10[[#This Row],[Date]]-DAY(Table10[[#This Row],[Date]])+1</f>
        <v>45839</v>
      </c>
      <c r="F151" s="259">
        <v>45851</v>
      </c>
      <c r="G151" s="102" t="s">
        <v>116</v>
      </c>
      <c r="H151" s="102" t="str">
        <f>IFERROR(_xlfn.XLOOKUP(Table10[[#This Row],[Affected Feeder ]],'Basic Data'!$A$43:$A$70,'Basic Data'!$B$43:$B$70),"")</f>
        <v>TQGXIIPL</v>
      </c>
      <c r="I151" s="102" t="str">
        <f>IFERROR(_xlfn.XLOOKUP(Table10[[#This Row],[Affected Feeder ]],'Basic Data'!$A$43:$A$70,'Basic Data'!$C$43:$C$70),"")</f>
        <v>GEDA</v>
      </c>
      <c r="J151" s="291">
        <f>IFERROR(_xlfn.XLOOKUP(Table10[[#This Row],[Affected Feeder ]],'Basic Data'!$A$43:$A$70,'Basic Data'!$E$43:$E$70),"")</f>
        <v>3.846153846153845E-2</v>
      </c>
      <c r="K151" s="272" t="s">
        <v>764</v>
      </c>
      <c r="L151" s="273">
        <v>0</v>
      </c>
      <c r="M151" s="273">
        <v>0</v>
      </c>
      <c r="N151" s="273">
        <v>0.17222222222222222</v>
      </c>
      <c r="O151" s="101">
        <f>(Table10[[#This Row],[Work Start TimeStamp]]-Table10[[#This Row],[Fault Start TimeStamp]])*24</f>
        <v>0</v>
      </c>
      <c r="P151" s="101">
        <f>IF(Table10[[#This Row],[Work Start TimeStamp]]="","",(Table10[[#This Row],[Fault Clearance time]]-Table10[[#This Row],[Work Start TimeStamp]])*24)</f>
        <v>4.1333333333333329</v>
      </c>
      <c r="Q151" s="285">
        <f>(Table10[[#This Row],[Fault Clearance time]]-Table10[[#This Row],[Fault Start TimeStamp]])*24</f>
        <v>4.1333333333333329</v>
      </c>
      <c r="R151" s="272" t="s">
        <v>769</v>
      </c>
      <c r="S151" s="102" t="s">
        <v>268</v>
      </c>
      <c r="T151" s="274">
        <f>IFERROR(Table10[[#This Row],[Breakdown Time]]*Table10[[#This Row],[Plant Equivalent Weightage]],"")</f>
        <v>0.15897435897435891</v>
      </c>
      <c r="U151" s="102" t="s">
        <v>754</v>
      </c>
      <c r="V151" s="288">
        <f>IFERROR(_xlfn.XLOOKUP(Table10[[#This Row],[Date]],'Daily KPI'!$A:$A,'Daily KPI'!$M:$M),"")</f>
        <v>6.7007692307692315</v>
      </c>
      <c r="W151" s="102">
        <v>1035.2</v>
      </c>
      <c r="X151" s="102">
        <f>Table10[[#This Row],[WTG Loss]]*1*Table10[[#This Row],[Breakdown Time]]</f>
        <v>4278.8266666666659</v>
      </c>
      <c r="Y151" s="102" t="s">
        <v>638</v>
      </c>
      <c r="Z151" s="102"/>
      <c r="AA151" s="102"/>
    </row>
    <row r="152" spans="1:27">
      <c r="A152" s="102">
        <v>151</v>
      </c>
      <c r="B152" s="102">
        <f>YEAR(Table10[[#This Row],[Date]])+IF(MONTH(Table10[[#This Row],[Date]])&gt;=4,1,0)</f>
        <v>2026</v>
      </c>
      <c r="C152" s="102">
        <f>YEAR(Table10[[#This Row],[Date]])</f>
        <v>2025</v>
      </c>
      <c r="D152" s="102" t="s">
        <v>265</v>
      </c>
      <c r="E152" s="258">
        <f>Table10[[#This Row],[Date]]-DAY(Table10[[#This Row],[Date]])+1</f>
        <v>45839</v>
      </c>
      <c r="F152" s="259">
        <v>45851</v>
      </c>
      <c r="G152" s="102" t="s">
        <v>119</v>
      </c>
      <c r="H152" s="102" t="str">
        <f>IFERROR(_xlfn.XLOOKUP(Table10[[#This Row],[Affected Feeder ]],'Basic Data'!$A$43:$A$70,'Basic Data'!$B$43:$B$70),"")</f>
        <v>TQGXIIPL</v>
      </c>
      <c r="I152" s="102" t="str">
        <f>IFERROR(_xlfn.XLOOKUP(Table10[[#This Row],[Affected Feeder ]],'Basic Data'!$A$43:$A$70,'Basic Data'!$C$43:$C$70),"")</f>
        <v>GEDA</v>
      </c>
      <c r="J152" s="291">
        <f>IFERROR(_xlfn.XLOOKUP(Table10[[#This Row],[Affected Feeder ]],'Basic Data'!$A$43:$A$70,'Basic Data'!$E$43:$E$70),"")</f>
        <v>3.846153846153845E-2</v>
      </c>
      <c r="K152" s="272" t="s">
        <v>766</v>
      </c>
      <c r="L152" s="273">
        <v>0</v>
      </c>
      <c r="M152" s="273">
        <v>0</v>
      </c>
      <c r="N152" s="273">
        <v>0.17222222222222222</v>
      </c>
      <c r="O152" s="101">
        <f>(Table10[[#This Row],[Work Start TimeStamp]]-Table10[[#This Row],[Fault Start TimeStamp]])*24</f>
        <v>0</v>
      </c>
      <c r="P152" s="101">
        <f>IF(Table10[[#This Row],[Work Start TimeStamp]]="","",(Table10[[#This Row],[Fault Clearance time]]-Table10[[#This Row],[Work Start TimeStamp]])*24)</f>
        <v>4.1333333333333329</v>
      </c>
      <c r="Q152" s="285">
        <f>(Table10[[#This Row],[Fault Clearance time]]-Table10[[#This Row],[Fault Start TimeStamp]])*24</f>
        <v>4.1333333333333329</v>
      </c>
      <c r="R152" s="272" t="s">
        <v>769</v>
      </c>
      <c r="S152" s="102" t="s">
        <v>268</v>
      </c>
      <c r="T152" s="274">
        <f>IFERROR(Table10[[#This Row],[Breakdown Time]]*Table10[[#This Row],[Plant Equivalent Weightage]],"")</f>
        <v>0.15897435897435891</v>
      </c>
      <c r="U152" s="102" t="s">
        <v>754</v>
      </c>
      <c r="V152" s="288">
        <f>IFERROR(_xlfn.XLOOKUP(Table10[[#This Row],[Date]],'Daily KPI'!$A:$A,'Daily KPI'!$M:$M),"")</f>
        <v>6.7007692307692315</v>
      </c>
      <c r="W152" s="102">
        <v>1035.2</v>
      </c>
      <c r="X152" s="102">
        <f>Table10[[#This Row],[WTG Loss]]*1*Table10[[#This Row],[Breakdown Time]]</f>
        <v>4278.8266666666659</v>
      </c>
      <c r="Y152" s="102" t="s">
        <v>638</v>
      </c>
      <c r="Z152" s="102"/>
      <c r="AA152" s="102"/>
    </row>
    <row r="153" spans="1:27">
      <c r="A153" s="102">
        <v>152</v>
      </c>
      <c r="B153" s="102">
        <f>YEAR(Table10[[#This Row],[Date]])+IF(MONTH(Table10[[#This Row],[Date]])&gt;=4,1,0)</f>
        <v>2026</v>
      </c>
      <c r="C153" s="102">
        <f>YEAR(Table10[[#This Row],[Date]])</f>
        <v>2025</v>
      </c>
      <c r="D153" s="102" t="s">
        <v>265</v>
      </c>
      <c r="E153" s="258">
        <f>Table10[[#This Row],[Date]]-DAY(Table10[[#This Row],[Date]])+1</f>
        <v>45839</v>
      </c>
      <c r="F153" s="259">
        <v>45851</v>
      </c>
      <c r="G153" s="102" t="s">
        <v>139</v>
      </c>
      <c r="H153" s="102" t="str">
        <f>IFERROR(_xlfn.XLOOKUP(Table10[[#This Row],[Affected Feeder ]],'Basic Data'!$A$43:$A$70,'Basic Data'!$B$43:$B$70),"")</f>
        <v>TQGXIIPL</v>
      </c>
      <c r="I153" s="102" t="str">
        <f>IFERROR(_xlfn.XLOOKUP(Table10[[#This Row],[Affected Feeder ]],'Basic Data'!$A$43:$A$70,'Basic Data'!$C$43:$C$70),"")</f>
        <v>GEDA</v>
      </c>
      <c r="J153" s="291">
        <f>IFERROR(_xlfn.XLOOKUP(Table10[[#This Row],[Affected Feeder ]],'Basic Data'!$A$43:$A$70,'Basic Data'!$E$43:$E$70),"")</f>
        <v>3.846153846153845E-2</v>
      </c>
      <c r="K153" s="272" t="s">
        <v>767</v>
      </c>
      <c r="L153" s="273">
        <v>0</v>
      </c>
      <c r="M153" s="273">
        <v>0</v>
      </c>
      <c r="N153" s="273">
        <v>0.17222222222222222</v>
      </c>
      <c r="O153" s="101">
        <f>(Table10[[#This Row],[Work Start TimeStamp]]-Table10[[#This Row],[Fault Start TimeStamp]])*24</f>
        <v>0</v>
      </c>
      <c r="P153" s="101">
        <f>IF(Table10[[#This Row],[Work Start TimeStamp]]="","",(Table10[[#This Row],[Fault Clearance time]]-Table10[[#This Row],[Work Start TimeStamp]])*24)</f>
        <v>4.1333333333333329</v>
      </c>
      <c r="Q153" s="285">
        <f>(Table10[[#This Row],[Fault Clearance time]]-Table10[[#This Row],[Fault Start TimeStamp]])*24</f>
        <v>4.1333333333333329</v>
      </c>
      <c r="R153" s="272" t="s">
        <v>769</v>
      </c>
      <c r="S153" s="102" t="s">
        <v>268</v>
      </c>
      <c r="T153" s="274">
        <f>IFERROR(Table10[[#This Row],[Breakdown Time]]*Table10[[#This Row],[Plant Equivalent Weightage]],"")</f>
        <v>0.15897435897435891</v>
      </c>
      <c r="U153" s="102" t="s">
        <v>754</v>
      </c>
      <c r="V153" s="288">
        <f>IFERROR(_xlfn.XLOOKUP(Table10[[#This Row],[Date]],'Daily KPI'!$A:$A,'Daily KPI'!$M:$M),"")</f>
        <v>6.7007692307692315</v>
      </c>
      <c r="W153" s="102">
        <v>1035.2</v>
      </c>
      <c r="X153" s="102">
        <f>Table10[[#This Row],[WTG Loss]]*1*Table10[[#This Row],[Breakdown Time]]</f>
        <v>4278.8266666666659</v>
      </c>
      <c r="Y153" s="102" t="s">
        <v>638</v>
      </c>
      <c r="Z153" s="102"/>
      <c r="AA153" s="102"/>
    </row>
    <row r="154" spans="1:27">
      <c r="A154" s="102">
        <v>152</v>
      </c>
      <c r="B154" s="102">
        <f>YEAR(Table10[[#This Row],[Date]])+IF(MONTH(Table10[[#This Row],[Date]])&gt;=4,1,0)</f>
        <v>2026</v>
      </c>
      <c r="C154" s="102">
        <f>YEAR(Table10[[#This Row],[Date]])</f>
        <v>2025</v>
      </c>
      <c r="D154" s="102" t="s">
        <v>265</v>
      </c>
      <c r="E154" s="258">
        <f>Table10[[#This Row],[Date]]-DAY(Table10[[#This Row],[Date]])+1</f>
        <v>45839</v>
      </c>
      <c r="F154" s="259">
        <v>45856</v>
      </c>
      <c r="G154" s="102" t="s">
        <v>122</v>
      </c>
      <c r="H154" s="102" t="str">
        <f>IFERROR(_xlfn.XLOOKUP(Table10[[#This Row],[Affected Feeder ]],'Basic Data'!$A$43:$A$70,'Basic Data'!$B$43:$B$70),"")</f>
        <v>TQGXIIPL</v>
      </c>
      <c r="I154" s="102" t="str">
        <f>IFERROR(_xlfn.XLOOKUP(Table10[[#This Row],[Affected Feeder ]],'Basic Data'!$A$43:$A$70,'Basic Data'!$C$43:$C$70),"")</f>
        <v>GEDA</v>
      </c>
      <c r="J154" s="291">
        <f>IFERROR(_xlfn.XLOOKUP(Table10[[#This Row],[Affected Feeder ]],'Basic Data'!$A$43:$A$70,'Basic Data'!$E$43:$E$70),"")</f>
        <v>3.846153846153845E-2</v>
      </c>
      <c r="K154" s="272" t="s">
        <v>758</v>
      </c>
      <c r="L154" s="273">
        <v>0.58680555555555558</v>
      </c>
      <c r="M154" s="273">
        <v>0.58680555555555558</v>
      </c>
      <c r="N154" s="273">
        <v>0.69444444444444442</v>
      </c>
      <c r="O154" s="101">
        <f>(Table10[[#This Row],[Work Start TimeStamp]]-Table10[[#This Row],[Fault Start TimeStamp]])*24</f>
        <v>0</v>
      </c>
      <c r="P154" s="101">
        <f>IF(Table10[[#This Row],[Work Start TimeStamp]]="","",(Table10[[#This Row],[Fault Clearance time]]-Table10[[#This Row],[Work Start TimeStamp]])*24)</f>
        <v>2.5833333333333321</v>
      </c>
      <c r="Q154" s="285">
        <f>(Table10[[#This Row],[Fault Clearance time]]-Table10[[#This Row],[Fault Start TimeStamp]])*24</f>
        <v>2.5833333333333321</v>
      </c>
      <c r="R154" s="272" t="s">
        <v>770</v>
      </c>
      <c r="S154" s="102" t="s">
        <v>268</v>
      </c>
      <c r="T154" s="274">
        <f>IFERROR(Table10[[#This Row],[Breakdown Time]]*Table10[[#This Row],[Plant Equivalent Weightage]],"")</f>
        <v>9.9358974358974284E-2</v>
      </c>
      <c r="U154" s="102" t="s">
        <v>754</v>
      </c>
      <c r="V154" s="288">
        <f>IFERROR(_xlfn.XLOOKUP(Table10[[#This Row],[Date]],'Daily KPI'!$A:$A,'Daily KPI'!$M:$M),"")</f>
        <v>5.9611538461538451</v>
      </c>
      <c r="W154" s="102">
        <v>723</v>
      </c>
      <c r="X154" s="102">
        <f>Table10[[#This Row],[WTG Loss]]*1*Table10[[#This Row],[Breakdown Time]]</f>
        <v>1867.7499999999991</v>
      </c>
      <c r="Y154" s="102" t="s">
        <v>638</v>
      </c>
      <c r="Z154" s="102"/>
      <c r="AA154" s="102"/>
    </row>
    <row r="155" spans="1:27">
      <c r="A155" s="102">
        <v>153</v>
      </c>
      <c r="B155" s="102">
        <f>YEAR(Table10[[#This Row],[Date]])+IF(MONTH(Table10[[#This Row],[Date]])&gt;=4,1,0)</f>
        <v>2026</v>
      </c>
      <c r="C155" s="102">
        <f>YEAR(Table10[[#This Row],[Date]])</f>
        <v>2025</v>
      </c>
      <c r="D155" s="102" t="s">
        <v>265</v>
      </c>
      <c r="E155" s="258">
        <f>Table10[[#This Row],[Date]]-DAY(Table10[[#This Row],[Date]])+1</f>
        <v>45839</v>
      </c>
      <c r="F155" s="259">
        <v>45859</v>
      </c>
      <c r="G155" s="102" t="s">
        <v>639</v>
      </c>
      <c r="H155" s="102" t="str">
        <f>IFERROR(_xlfn.XLOOKUP(Table10[[#This Row],[Affected Feeder ]],'Basic Data'!$A$43:$A$70,'Basic Data'!$B$43:$B$70),"")</f>
        <v>TQGXIIPL</v>
      </c>
      <c r="I155" s="102" t="str">
        <f>IFERROR(_xlfn.XLOOKUP(Table10[[#This Row],[Affected Feeder ]],'Basic Data'!$A$43:$A$70,'Basic Data'!$C$43:$C$70),"")</f>
        <v>GEDA</v>
      </c>
      <c r="J155" s="291">
        <f>IFERROR(_xlfn.XLOOKUP(Table10[[#This Row],[Affected Feeder ]],'Basic Data'!$A$43:$A$70,'Basic Data'!$E$43:$E$70),"")</f>
        <v>0.49999999999999978</v>
      </c>
      <c r="K155" s="272" t="s">
        <v>762</v>
      </c>
      <c r="L155" s="273">
        <v>0.74652777777777779</v>
      </c>
      <c r="M155" s="273">
        <v>0.74652777777777779</v>
      </c>
      <c r="N155" s="273">
        <v>0.76458333333333328</v>
      </c>
      <c r="O155" s="101">
        <f>(Table10[[#This Row],[Work Start TimeStamp]]-Table10[[#This Row],[Fault Start TimeStamp]])*24</f>
        <v>0</v>
      </c>
      <c r="P155" s="101">
        <f>IF(Table10[[#This Row],[Work Start TimeStamp]]="","",(Table10[[#This Row],[Fault Clearance time]]-Table10[[#This Row],[Work Start TimeStamp]])*24)</f>
        <v>0.43333333333333179</v>
      </c>
      <c r="Q155" s="285">
        <f>(Table10[[#This Row],[Fault Clearance time]]-Table10[[#This Row],[Fault Start TimeStamp]])*24</f>
        <v>0.43333333333333179</v>
      </c>
      <c r="R155" s="272" t="s">
        <v>757</v>
      </c>
      <c r="S155" s="102" t="s">
        <v>268</v>
      </c>
      <c r="T155" s="274">
        <f>IFERROR(Table10[[#This Row],[Breakdown Time]]*Table10[[#This Row],[Plant Equivalent Weightage]],"")</f>
        <v>0.21666666666666581</v>
      </c>
      <c r="U155" s="102" t="s">
        <v>754</v>
      </c>
      <c r="V155" s="288">
        <f>IFERROR(_xlfn.XLOOKUP(Table10[[#This Row],[Date]],'Daily KPI'!$A:$A,'Daily KPI'!$M:$M),"")</f>
        <v>4.9553846153846166</v>
      </c>
      <c r="W155" s="102">
        <v>406</v>
      </c>
      <c r="X155" s="102">
        <f>Table10[[#This Row],[WTG Loss]]*13*Table10[[#This Row],[Breakdown Time]]</f>
        <v>2287.133333333325</v>
      </c>
      <c r="Y155" s="102" t="s">
        <v>638</v>
      </c>
      <c r="Z155" s="102"/>
      <c r="AA155" s="102"/>
    </row>
    <row r="156" spans="1:27">
      <c r="A156" s="102">
        <v>154</v>
      </c>
      <c r="B156" s="102">
        <f>YEAR(Table10[[#This Row],[Date]])+IF(MONTH(Table10[[#This Row],[Date]])&gt;=4,1,0)</f>
        <v>2026</v>
      </c>
      <c r="C156" s="102">
        <f>YEAR(Table10[[#This Row],[Date]])</f>
        <v>2025</v>
      </c>
      <c r="D156" s="102" t="s">
        <v>265</v>
      </c>
      <c r="E156" s="258">
        <f>Table10[[#This Row],[Date]]-DAY(Table10[[#This Row],[Date]])+1</f>
        <v>45839</v>
      </c>
      <c r="F156" s="259">
        <v>45859</v>
      </c>
      <c r="G156" s="102" t="s">
        <v>140</v>
      </c>
      <c r="H156" s="102" t="str">
        <f>IFERROR(_xlfn.XLOOKUP(Table10[[#This Row],[Affected Feeder ]],'Basic Data'!$A$43:$A$70,'Basic Data'!$B$43:$B$70),"")</f>
        <v>TQGXIIPL</v>
      </c>
      <c r="I156" s="102" t="str">
        <f>IFERROR(_xlfn.XLOOKUP(Table10[[#This Row],[Affected Feeder ]],'Basic Data'!$A$43:$A$70,'Basic Data'!$C$43:$C$70),"")</f>
        <v>GEDA</v>
      </c>
      <c r="J156" s="291">
        <f>IFERROR(_xlfn.XLOOKUP(Table10[[#This Row],[Affected Feeder ]],'Basic Data'!$A$43:$A$70,'Basic Data'!$E$43:$E$70),"")</f>
        <v>3.846153846153845E-2</v>
      </c>
      <c r="K156" s="272" t="s">
        <v>751</v>
      </c>
      <c r="L156" s="273">
        <v>0.72569444444444442</v>
      </c>
      <c r="M156" s="273">
        <v>0.72569444444444442</v>
      </c>
      <c r="N156" s="273">
        <v>0.76388888888888884</v>
      </c>
      <c r="O156" s="101">
        <f>(Table10[[#This Row],[Work Start TimeStamp]]-Table10[[#This Row],[Fault Start TimeStamp]])*24</f>
        <v>0</v>
      </c>
      <c r="P156" s="101">
        <f>IF(Table10[[#This Row],[Work Start TimeStamp]]="","",(Table10[[#This Row],[Fault Clearance time]]-Table10[[#This Row],[Work Start TimeStamp]])*24)</f>
        <v>0.91666666666666607</v>
      </c>
      <c r="Q156" s="285">
        <f>(Table10[[#This Row],[Fault Clearance time]]-Table10[[#This Row],[Fault Start TimeStamp]])*24</f>
        <v>0.91666666666666607</v>
      </c>
      <c r="R156" s="272" t="s">
        <v>760</v>
      </c>
      <c r="S156" s="102" t="s">
        <v>268</v>
      </c>
      <c r="T156" s="274">
        <f>IFERROR(Table10[[#This Row],[Breakdown Time]]*Table10[[#This Row],[Plant Equivalent Weightage]],"")</f>
        <v>3.5256410256410221E-2</v>
      </c>
      <c r="U156" s="102" t="s">
        <v>754</v>
      </c>
      <c r="V156" s="288">
        <f>IFERROR(_xlfn.XLOOKUP(Table10[[#This Row],[Date]],'Daily KPI'!$A:$A,'Daily KPI'!$M:$M),"")</f>
        <v>4.9553846153846166</v>
      </c>
      <c r="W156" s="102">
        <v>406</v>
      </c>
      <c r="X156" s="102">
        <f>Table10[[#This Row],[WTG Loss]]*1*Table10[[#This Row],[Breakdown Time]]</f>
        <v>372.1666666666664</v>
      </c>
      <c r="Y156" s="102" t="s">
        <v>638</v>
      </c>
      <c r="Z156" s="102"/>
      <c r="AA156" s="102"/>
    </row>
    <row r="157" spans="1:27">
      <c r="A157" s="102">
        <v>155</v>
      </c>
      <c r="B157" s="102">
        <f>YEAR(Table10[[#This Row],[Date]])+IF(MONTH(Table10[[#This Row],[Date]])&gt;=4,1,0)</f>
        <v>2026</v>
      </c>
      <c r="C157" s="102">
        <f>YEAR(Table10[[#This Row],[Date]])</f>
        <v>2025</v>
      </c>
      <c r="D157" s="102" t="s">
        <v>265</v>
      </c>
      <c r="E157" s="258">
        <f>Table10[[#This Row],[Date]]-DAY(Table10[[#This Row],[Date]])+1</f>
        <v>45839</v>
      </c>
      <c r="F157" s="259">
        <v>45859</v>
      </c>
      <c r="G157" s="102" t="s">
        <v>122</v>
      </c>
      <c r="H157" s="102" t="str">
        <f>IFERROR(_xlfn.XLOOKUP(Table10[[#This Row],[Affected Feeder ]],'Basic Data'!$A$43:$A$70,'Basic Data'!$B$43:$B$70),"")</f>
        <v>TQGXIIPL</v>
      </c>
      <c r="I157" s="102" t="str">
        <f>IFERROR(_xlfn.XLOOKUP(Table10[[#This Row],[Affected Feeder ]],'Basic Data'!$A$43:$A$70,'Basic Data'!$C$43:$C$70),"")</f>
        <v>GEDA</v>
      </c>
      <c r="J157" s="291">
        <f>IFERROR(_xlfn.XLOOKUP(Table10[[#This Row],[Affected Feeder ]],'Basic Data'!$A$43:$A$70,'Basic Data'!$E$43:$E$70),"")</f>
        <v>3.846153846153845E-2</v>
      </c>
      <c r="K157" s="272" t="s">
        <v>758</v>
      </c>
      <c r="L157" s="273">
        <v>0.65625</v>
      </c>
      <c r="M157" s="273">
        <v>0.65625</v>
      </c>
      <c r="N157" s="273">
        <v>0.76041666666666663</v>
      </c>
      <c r="O157" s="101">
        <f>(Table10[[#This Row],[Work Start TimeStamp]]-Table10[[#This Row],[Fault Start TimeStamp]])*24</f>
        <v>0</v>
      </c>
      <c r="P157" s="101">
        <f>IF(Table10[[#This Row],[Work Start TimeStamp]]="","",(Table10[[#This Row],[Fault Clearance time]]-Table10[[#This Row],[Work Start TimeStamp]])*24)</f>
        <v>2.4999999999999991</v>
      </c>
      <c r="Q157" s="285">
        <f>(Table10[[#This Row],[Fault Clearance time]]-Table10[[#This Row],[Fault Start TimeStamp]])*24</f>
        <v>2.4999999999999991</v>
      </c>
      <c r="R157" s="272" t="s">
        <v>771</v>
      </c>
      <c r="S157" s="102" t="s">
        <v>268</v>
      </c>
      <c r="T157" s="274">
        <f>IFERROR(Table10[[#This Row],[Breakdown Time]]*Table10[[#This Row],[Plant Equivalent Weightage]],"")</f>
        <v>9.615384615384609E-2</v>
      </c>
      <c r="U157" s="102" t="s">
        <v>754</v>
      </c>
      <c r="V157" s="288">
        <f>IFERROR(_xlfn.XLOOKUP(Table10[[#This Row],[Date]],'Daily KPI'!$A:$A,'Daily KPI'!$M:$M),"")</f>
        <v>4.9553846153846166</v>
      </c>
      <c r="W157" s="102">
        <v>406</v>
      </c>
      <c r="X157" s="102">
        <f>Table10[[#This Row],[WTG Loss]]*1*Table10[[#This Row],[Breakdown Time]]</f>
        <v>1014.9999999999997</v>
      </c>
      <c r="Y157" s="102" t="s">
        <v>638</v>
      </c>
      <c r="Z157" s="102"/>
      <c r="AA157"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W158:W1048576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bottomRight" activeCell="J22" sqref="J22"/>
      <selection pane="bottomLeft" activeCell="A2" sqref="A2"/>
      <selection pane="topRight" activeCell="G1" sqref="G1"/>
    </sheetView>
  </sheetViews>
  <sheetFormatPr defaultRowHeight="14.45"/>
  <cols>
    <col min="2" max="3" width="12.42578125" customWidth="1"/>
    <col min="4" max="4" width="13" customWidth="1"/>
    <col min="6" max="6" width="9.5703125" bestFit="1" customWidth="1"/>
    <col min="7" max="7" width="14.140625" customWidth="1"/>
    <col min="9" max="9" width="10.5703125" customWidth="1"/>
    <col min="10" max="10" width="21.5703125" customWidth="1"/>
    <col min="11" max="11" width="76.42578125" bestFit="1" customWidth="1"/>
    <col min="12" max="12" width="16.85546875" bestFit="1" customWidth="1"/>
    <col min="13" max="13" width="18" customWidth="1"/>
    <col min="14" max="14" width="18.42578125" customWidth="1"/>
    <col min="15" max="15" width="16.5703125" customWidth="1"/>
    <col min="16" max="16" width="13.140625" customWidth="1"/>
    <col min="17" max="17" width="13.5703125" customWidth="1"/>
    <col min="18" max="18" width="14.42578125" customWidth="1"/>
    <col min="19" max="19" width="112.140625" bestFit="1" customWidth="1"/>
    <col min="21" max="21" width="22.85546875" style="208" customWidth="1"/>
    <col min="22" max="22" width="13.42578125" customWidth="1"/>
    <col min="23" max="23" width="25" customWidth="1"/>
    <col min="24" max="24" width="12.42578125" style="208" customWidth="1"/>
    <col min="25" max="25" width="13.5703125" style="274" customWidth="1"/>
    <col min="26" max="26" width="18.5703125" customWidth="1"/>
    <col min="27" max="27" width="25.5703125" customWidth="1"/>
    <col min="28" max="28" width="8.5703125" customWidth="1"/>
    <col min="29" max="29" width="11.5703125" customWidth="1"/>
  </cols>
  <sheetData>
    <row r="1" spans="1:29" ht="42" customHeight="1">
      <c r="A1" s="253" t="s">
        <v>7</v>
      </c>
      <c r="B1" s="253" t="s">
        <v>3</v>
      </c>
      <c r="C1" s="253" t="s">
        <v>72</v>
      </c>
      <c r="D1" s="253" t="s">
        <v>239</v>
      </c>
      <c r="E1" s="253" t="s">
        <v>240</v>
      </c>
      <c r="F1" s="254" t="s">
        <v>71</v>
      </c>
      <c r="G1" s="253" t="s">
        <v>630</v>
      </c>
      <c r="H1" s="253" t="s">
        <v>242</v>
      </c>
      <c r="I1" s="253" t="s">
        <v>772</v>
      </c>
      <c r="J1" s="253" t="s">
        <v>244</v>
      </c>
      <c r="K1" s="253" t="s">
        <v>247</v>
      </c>
      <c r="L1" s="253" t="s">
        <v>773</v>
      </c>
      <c r="M1" s="253" t="s">
        <v>249</v>
      </c>
      <c r="N1" s="253" t="s">
        <v>250</v>
      </c>
      <c r="O1" s="253" t="s">
        <v>251</v>
      </c>
      <c r="P1" s="253" t="s">
        <v>252</v>
      </c>
      <c r="Q1" s="253" t="s">
        <v>253</v>
      </c>
      <c r="R1" s="253" t="s">
        <v>254</v>
      </c>
      <c r="S1" s="253" t="s">
        <v>255</v>
      </c>
      <c r="T1" s="253" t="s">
        <v>256</v>
      </c>
      <c r="U1" s="255" t="s">
        <v>257</v>
      </c>
      <c r="V1" s="255" t="s">
        <v>258</v>
      </c>
      <c r="W1" s="275" t="s">
        <v>259</v>
      </c>
      <c r="X1" s="103" t="s">
        <v>774</v>
      </c>
      <c r="Y1" s="256" t="s">
        <v>261</v>
      </c>
      <c r="Z1" s="256" t="s">
        <v>775</v>
      </c>
      <c r="AA1" s="256" t="s">
        <v>776</v>
      </c>
      <c r="AB1" s="256" t="s">
        <v>263</v>
      </c>
      <c r="AC1" s="256" t="s">
        <v>264</v>
      </c>
    </row>
    <row r="2" spans="1:29">
      <c r="A2" s="102">
        <v>1</v>
      </c>
      <c r="B2" s="102">
        <f>YEAR(Table11[[#This Row],[Date]])+IF(MONTH(Table11[[#This Row],[Date]])&gt;=4,1,0)</f>
        <v>2025</v>
      </c>
      <c r="C2" s="102">
        <f>YEAR(Table11[[#This Row],[Date]])</f>
        <v>2025</v>
      </c>
      <c r="D2" s="102" t="s">
        <v>634</v>
      </c>
      <c r="E2" s="258">
        <f>Table11[[#This Row],[Date]]-DAY(Table11[[#This Row],[Date]])+1</f>
        <v>45689</v>
      </c>
      <c r="F2" s="259">
        <v>45716</v>
      </c>
      <c r="G2" t="s">
        <v>777</v>
      </c>
      <c r="H2" t="str">
        <f>IFERROR(_xlfn.XLOOKUP(Table11[[#This Row],[Affected Feeder ]],'Basic Data'!$A$82:$A$83,'Basic Data'!$B$82:$B$83),"")</f>
        <v>TQGXIIPL</v>
      </c>
      <c r="I2" t="str">
        <f>IFERROR(_xlfn.XLOOKUP(Table11[[#This Row],[Affected Feeder ]],'Basic Data'!$A$82:$A$83,'Basic Data'!$C$82:$C$83),"")</f>
        <v>GEDA</v>
      </c>
      <c r="J2" s="276">
        <f>IFERROR(_xlfn.XLOOKUP(Table11[[#This Row],[Affected Feeder ]],'Basic Data'!$A$82:$A$83,'Basic Data'!$E$82:$E$83),"")</f>
        <v>1</v>
      </c>
      <c r="K2" t="s">
        <v>778</v>
      </c>
      <c r="L2" t="s">
        <v>779</v>
      </c>
      <c r="M2" s="277">
        <v>0.34722222222222221</v>
      </c>
      <c r="N2" s="278">
        <v>0.34722222222222221</v>
      </c>
      <c r="O2" s="278">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279" t="s">
        <v>778</v>
      </c>
      <c r="T2" s="1" t="s">
        <v>268</v>
      </c>
      <c r="U2" s="282">
        <f>IFERROR(Table11[[#This Row],[Breakdown Time]]*Table11[[#This Row],[Plant Equivalent Weightage]],"")</f>
        <v>10.233333333333334</v>
      </c>
      <c r="V2" s="280"/>
      <c r="W2" s="280"/>
      <c r="X2" s="282">
        <v>1222.5</v>
      </c>
      <c r="Y2" s="274">
        <f>Table11[[#This Row],[Loss of KWH]]*5*Table11[[#This Row],[Breakdown Time]]</f>
        <v>62551.250000000007</v>
      </c>
      <c r="AA2" s="281"/>
    </row>
    <row r="3" spans="1:29">
      <c r="A3" s="102">
        <f>A2+1</f>
        <v>2</v>
      </c>
      <c r="B3" s="259"/>
      <c r="C3" s="102"/>
      <c r="D3" s="102"/>
      <c r="E3" s="258"/>
      <c r="F3" s="259"/>
      <c r="H3" t="str">
        <f>IFERROR(_xlfn.XLOOKUP(Table11[[#This Row],[Affected Feeder ]],'Basic Data'!$A$82:$A$83,'Basic Data'!$B$82:$B$83),"")</f>
        <v/>
      </c>
      <c r="I3" t="str">
        <f>IFERROR(_xlfn.XLOOKUP(Table11[[#This Row],[Affected Feeder ]],'Basic Data'!$A$82:$A$83,'Basic Data'!$C$82:$C$83),"")</f>
        <v/>
      </c>
      <c r="J3" s="276" t="str">
        <f>IFERROR(_xlfn.XLOOKUP(Table11[[#This Row],[Affected Feeder ]],'Basic Data'!$A$82:$A$83,'Basic Data'!$E$82:$E$83),"")</f>
        <v/>
      </c>
      <c r="M3" s="277"/>
      <c r="N3" s="278"/>
      <c r="O3" s="278"/>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279"/>
      <c r="T3" s="1"/>
      <c r="U3" s="282" t="str">
        <f>IFERROR(Table11[[#This Row],[Breakdown Time]]*Table11[[#This Row],[Plant Equivalent Weightage]],"")</f>
        <v/>
      </c>
      <c r="V3" s="280"/>
      <c r="W3" s="280"/>
      <c r="X3" s="282"/>
      <c r="Y3" s="274">
        <f>Table11[[#This Row],[Loss of KWH]]*5*Table11[[#This Row],[Breakdown Time]]</f>
        <v>0</v>
      </c>
      <c r="AA3" s="281"/>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45"/>
  <cols>
    <col min="5" max="5" width="10.140625" bestFit="1" customWidth="1"/>
    <col min="6" max="6" width="16.140625" bestFit="1" customWidth="1"/>
    <col min="7" max="7" width="10.140625" bestFit="1" customWidth="1"/>
    <col min="8" max="8" width="10.5703125" bestFit="1" customWidth="1"/>
    <col min="12" max="12" width="14.5703125" customWidth="1"/>
    <col min="13" max="13" width="9.85546875" bestFit="1" customWidth="1"/>
    <col min="14" max="14" width="13" customWidth="1"/>
    <col min="16" max="16" width="11.85546875" customWidth="1"/>
    <col min="17" max="17" width="26.42578125" customWidth="1"/>
  </cols>
  <sheetData>
    <row r="1" spans="1:17">
      <c r="A1" s="345" t="s">
        <v>780</v>
      </c>
      <c r="B1" s="348" t="s">
        <v>781</v>
      </c>
      <c r="C1" s="348" t="s">
        <v>782</v>
      </c>
      <c r="D1" s="348" t="s">
        <v>783</v>
      </c>
      <c r="E1" s="348" t="s">
        <v>784</v>
      </c>
      <c r="F1" s="351" t="s">
        <v>785</v>
      </c>
      <c r="G1" s="338">
        <v>2024</v>
      </c>
      <c r="H1" s="339"/>
      <c r="I1" s="339"/>
      <c r="J1" s="339"/>
      <c r="K1" s="246"/>
      <c r="L1" s="340">
        <v>2025</v>
      </c>
      <c r="M1" s="341"/>
      <c r="N1" s="341"/>
      <c r="O1" s="341"/>
      <c r="P1" s="341"/>
      <c r="Q1" s="342"/>
    </row>
    <row r="2" spans="1:17">
      <c r="A2" s="346"/>
      <c r="B2" s="349"/>
      <c r="C2" s="349"/>
      <c r="D2" s="349"/>
      <c r="E2" s="349"/>
      <c r="F2" s="352"/>
      <c r="G2" s="358" t="s">
        <v>786</v>
      </c>
      <c r="H2" s="359"/>
      <c r="I2" s="359"/>
      <c r="J2" s="359"/>
      <c r="K2" s="360"/>
      <c r="L2" s="361" t="s">
        <v>787</v>
      </c>
      <c r="M2" s="362"/>
      <c r="N2" s="362"/>
      <c r="O2" s="362"/>
      <c r="P2" s="362"/>
      <c r="Q2" s="363"/>
    </row>
    <row r="3" spans="1:17">
      <c r="A3" s="347"/>
      <c r="B3" s="350"/>
      <c r="C3" s="350"/>
      <c r="D3" s="350"/>
      <c r="E3" s="350"/>
      <c r="F3" s="353"/>
      <c r="G3" s="234" t="s">
        <v>788</v>
      </c>
      <c r="H3" s="364" t="s">
        <v>789</v>
      </c>
      <c r="I3" s="234" t="s">
        <v>790</v>
      </c>
      <c r="J3" s="234" t="s">
        <v>791</v>
      </c>
      <c r="K3" s="234" t="s">
        <v>792</v>
      </c>
      <c r="L3" s="235" t="s">
        <v>788</v>
      </c>
      <c r="M3" s="365" t="s">
        <v>793</v>
      </c>
      <c r="N3" s="365" t="s">
        <v>794</v>
      </c>
      <c r="O3" s="235" t="s">
        <v>790</v>
      </c>
      <c r="P3" s="366" t="s">
        <v>791</v>
      </c>
      <c r="Q3" s="367" t="s">
        <v>12</v>
      </c>
    </row>
    <row r="4" spans="1:17">
      <c r="A4" s="247">
        <v>1</v>
      </c>
      <c r="B4" s="153" t="s">
        <v>795</v>
      </c>
      <c r="C4" s="153" t="s">
        <v>796</v>
      </c>
      <c r="D4" s="153">
        <v>5333</v>
      </c>
      <c r="E4" s="236">
        <v>45382</v>
      </c>
      <c r="F4" s="236">
        <v>45432</v>
      </c>
      <c r="G4" s="237">
        <f>F4+49</f>
        <v>45481</v>
      </c>
      <c r="H4" s="236">
        <v>45506</v>
      </c>
      <c r="I4" s="238">
        <f>H4-G4</f>
        <v>25</v>
      </c>
      <c r="J4" s="239">
        <f>IF(I4&lt;-30,100-((-1*I4-30)/90)*100,IF(I4&gt;30,100-((I4-30)/90)*100,1*100))</f>
        <v>100</v>
      </c>
      <c r="K4" s="131"/>
      <c r="L4" s="237">
        <v>45715</v>
      </c>
      <c r="M4" s="240">
        <v>45723</v>
      </c>
      <c r="N4" s="240">
        <v>45724</v>
      </c>
      <c r="O4" s="238">
        <f>M4-L4</f>
        <v>8</v>
      </c>
      <c r="P4" s="368"/>
      <c r="Q4" s="369"/>
    </row>
    <row r="5" spans="1:17">
      <c r="A5" s="370">
        <v>2</v>
      </c>
      <c r="B5" s="153" t="s">
        <v>795</v>
      </c>
      <c r="C5" s="153" t="s">
        <v>797</v>
      </c>
      <c r="D5" s="153">
        <v>5334</v>
      </c>
      <c r="E5" s="236">
        <v>45382</v>
      </c>
      <c r="F5" s="236">
        <v>45418</v>
      </c>
      <c r="G5" s="237">
        <f t="shared" ref="G5:G21" si="0">F5+49</f>
        <v>45467</v>
      </c>
      <c r="H5" s="236">
        <v>45504</v>
      </c>
      <c r="I5" s="238">
        <f t="shared" ref="I5:I28" si="1">H5-G5</f>
        <v>37</v>
      </c>
      <c r="J5" s="239">
        <f t="shared" ref="J5:J29" si="2">IF(I5&lt;-30,100-((-1*I5-30)/90)*100,IF(I5&gt;30,100-((I5-30)/90)*100,1*100))</f>
        <v>92.222222222222229</v>
      </c>
      <c r="K5" s="131" t="s">
        <v>798</v>
      </c>
      <c r="L5" s="237">
        <v>45719</v>
      </c>
      <c r="M5" s="241">
        <v>45727</v>
      </c>
      <c r="N5" s="241">
        <v>45728</v>
      </c>
      <c r="O5" s="238">
        <f t="shared" ref="O5:O21" si="3">M5-L5</f>
        <v>8</v>
      </c>
      <c r="P5" s="368"/>
      <c r="Q5" s="369"/>
    </row>
    <row r="6" spans="1:17">
      <c r="A6" s="370">
        <v>3</v>
      </c>
      <c r="B6" s="153" t="s">
        <v>795</v>
      </c>
      <c r="C6" s="153" t="s">
        <v>799</v>
      </c>
      <c r="D6" s="153">
        <v>5335</v>
      </c>
      <c r="E6" s="236">
        <v>45382</v>
      </c>
      <c r="F6" s="236">
        <v>45414</v>
      </c>
      <c r="G6" s="237">
        <f t="shared" si="0"/>
        <v>45463</v>
      </c>
      <c r="H6" s="236">
        <v>45479</v>
      </c>
      <c r="I6" s="238">
        <f t="shared" si="1"/>
        <v>16</v>
      </c>
      <c r="J6" s="239">
        <f t="shared" si="2"/>
        <v>100</v>
      </c>
      <c r="K6" s="131"/>
      <c r="L6" s="237">
        <v>45721</v>
      </c>
      <c r="M6" s="241">
        <v>45733</v>
      </c>
      <c r="N6" s="241">
        <v>45735</v>
      </c>
      <c r="O6" s="238">
        <f t="shared" si="3"/>
        <v>12</v>
      </c>
      <c r="P6" s="368"/>
      <c r="Q6" s="369"/>
    </row>
    <row r="7" spans="1:17">
      <c r="A7" s="370">
        <v>4</v>
      </c>
      <c r="B7" s="153" t="s">
        <v>795</v>
      </c>
      <c r="C7" s="153" t="s">
        <v>800</v>
      </c>
      <c r="D7" s="153">
        <v>5336</v>
      </c>
      <c r="E7" s="236">
        <v>45382</v>
      </c>
      <c r="F7" s="236">
        <v>45417</v>
      </c>
      <c r="G7" s="237">
        <f t="shared" si="0"/>
        <v>45466</v>
      </c>
      <c r="H7" s="236">
        <v>45489</v>
      </c>
      <c r="I7" s="238">
        <f t="shared" si="1"/>
        <v>23</v>
      </c>
      <c r="J7" s="239">
        <f t="shared" si="2"/>
        <v>100</v>
      </c>
      <c r="K7" s="131"/>
      <c r="L7" s="237">
        <v>45723</v>
      </c>
      <c r="M7" s="241">
        <v>45736</v>
      </c>
      <c r="N7" s="241">
        <v>45737</v>
      </c>
      <c r="O7" s="238">
        <f t="shared" si="3"/>
        <v>13</v>
      </c>
      <c r="P7" s="368"/>
      <c r="Q7" s="369"/>
    </row>
    <row r="8" spans="1:17">
      <c r="A8" s="370">
        <v>5</v>
      </c>
      <c r="B8" s="153" t="s">
        <v>795</v>
      </c>
      <c r="C8" s="153" t="s">
        <v>801</v>
      </c>
      <c r="D8" s="153">
        <v>5332</v>
      </c>
      <c r="E8" s="236">
        <v>45384</v>
      </c>
      <c r="F8" s="236">
        <v>45417</v>
      </c>
      <c r="G8" s="237">
        <f t="shared" si="0"/>
        <v>45466</v>
      </c>
      <c r="H8" s="236">
        <v>45484</v>
      </c>
      <c r="I8" s="238">
        <f t="shared" si="1"/>
        <v>18</v>
      </c>
      <c r="J8" s="239">
        <f t="shared" si="2"/>
        <v>100</v>
      </c>
      <c r="K8" s="131"/>
      <c r="L8" s="237">
        <v>45727</v>
      </c>
      <c r="M8" s="241">
        <v>45748</v>
      </c>
      <c r="N8" s="241">
        <v>45749</v>
      </c>
      <c r="O8" s="238">
        <f t="shared" si="3"/>
        <v>21</v>
      </c>
      <c r="P8" s="368"/>
      <c r="Q8" s="369"/>
    </row>
    <row r="9" spans="1:17">
      <c r="A9" s="370">
        <v>6</v>
      </c>
      <c r="B9" s="153" t="s">
        <v>795</v>
      </c>
      <c r="C9" s="153" t="s">
        <v>802</v>
      </c>
      <c r="D9" s="153">
        <v>5341</v>
      </c>
      <c r="E9" s="236">
        <v>45384</v>
      </c>
      <c r="F9" s="236">
        <v>45418</v>
      </c>
      <c r="G9" s="237">
        <f t="shared" si="0"/>
        <v>45467</v>
      </c>
      <c r="H9" s="236">
        <v>45492</v>
      </c>
      <c r="I9" s="238">
        <f t="shared" si="1"/>
        <v>25</v>
      </c>
      <c r="J9" s="239">
        <f t="shared" si="2"/>
        <v>100</v>
      </c>
      <c r="K9" s="131"/>
      <c r="L9" s="237">
        <v>45733</v>
      </c>
      <c r="M9" s="241">
        <v>45752</v>
      </c>
      <c r="N9" s="241">
        <v>45753</v>
      </c>
      <c r="O9" s="238">
        <f t="shared" si="3"/>
        <v>19</v>
      </c>
      <c r="P9" s="368"/>
      <c r="Q9" s="369"/>
    </row>
    <row r="10" spans="1:17">
      <c r="A10" s="370">
        <v>7</v>
      </c>
      <c r="B10" s="153" t="s">
        <v>795</v>
      </c>
      <c r="C10" s="153" t="s">
        <v>803</v>
      </c>
      <c r="D10" s="153">
        <v>5342</v>
      </c>
      <c r="E10" s="236">
        <v>45401</v>
      </c>
      <c r="F10" s="236">
        <v>45414</v>
      </c>
      <c r="G10" s="237">
        <f t="shared" si="0"/>
        <v>45463</v>
      </c>
      <c r="H10" s="236">
        <v>45482</v>
      </c>
      <c r="I10" s="238">
        <f t="shared" si="1"/>
        <v>19</v>
      </c>
      <c r="J10" s="239">
        <f t="shared" si="2"/>
        <v>100</v>
      </c>
      <c r="K10" s="131"/>
      <c r="L10" s="237">
        <v>45735</v>
      </c>
      <c r="M10" s="241">
        <v>45760</v>
      </c>
      <c r="N10" s="241">
        <v>45761</v>
      </c>
      <c r="O10" s="238">
        <f t="shared" si="3"/>
        <v>25</v>
      </c>
      <c r="P10" s="368"/>
      <c r="Q10" s="369"/>
    </row>
    <row r="11" spans="1:17">
      <c r="A11" s="370">
        <v>8</v>
      </c>
      <c r="B11" s="153" t="s">
        <v>795</v>
      </c>
      <c r="C11" s="153" t="s">
        <v>804</v>
      </c>
      <c r="D11" s="153">
        <v>5337</v>
      </c>
      <c r="E11" s="236">
        <v>45401</v>
      </c>
      <c r="F11" s="236">
        <v>45427</v>
      </c>
      <c r="G11" s="237">
        <f t="shared" si="0"/>
        <v>45476</v>
      </c>
      <c r="H11" s="236">
        <v>45523</v>
      </c>
      <c r="I11" s="238">
        <f t="shared" si="1"/>
        <v>47</v>
      </c>
      <c r="J11" s="239">
        <f t="shared" si="2"/>
        <v>81.111111111111114</v>
      </c>
      <c r="K11" s="131" t="s">
        <v>805</v>
      </c>
      <c r="L11" s="237">
        <v>45737</v>
      </c>
      <c r="M11" s="241">
        <v>45762</v>
      </c>
      <c r="N11" s="241">
        <v>45768</v>
      </c>
      <c r="O11" s="238">
        <f t="shared" si="3"/>
        <v>25</v>
      </c>
      <c r="P11" s="368"/>
      <c r="Q11" s="369"/>
    </row>
    <row r="12" spans="1:17">
      <c r="A12" s="370">
        <v>9</v>
      </c>
      <c r="B12" s="153" t="s">
        <v>795</v>
      </c>
      <c r="C12" s="153" t="s">
        <v>806</v>
      </c>
      <c r="D12" s="153">
        <v>5343</v>
      </c>
      <c r="E12" s="236">
        <v>45401</v>
      </c>
      <c r="F12" s="236">
        <v>45414</v>
      </c>
      <c r="G12" s="237">
        <f t="shared" si="0"/>
        <v>45463</v>
      </c>
      <c r="H12" s="236">
        <v>45476</v>
      </c>
      <c r="I12" s="238">
        <f t="shared" si="1"/>
        <v>13</v>
      </c>
      <c r="J12" s="239">
        <f t="shared" si="2"/>
        <v>100</v>
      </c>
      <c r="K12" s="131"/>
      <c r="L12" s="237">
        <v>45741</v>
      </c>
      <c r="M12" s="241">
        <v>45772</v>
      </c>
      <c r="N12" s="241">
        <v>45773</v>
      </c>
      <c r="O12" s="238">
        <f t="shared" si="3"/>
        <v>31</v>
      </c>
      <c r="P12" s="368"/>
      <c r="Q12" s="369"/>
    </row>
    <row r="13" spans="1:17">
      <c r="A13" s="370">
        <v>10</v>
      </c>
      <c r="B13" s="153" t="s">
        <v>795</v>
      </c>
      <c r="C13" s="153" t="s">
        <v>807</v>
      </c>
      <c r="D13" s="153">
        <v>5331</v>
      </c>
      <c r="E13" s="236">
        <v>45437</v>
      </c>
      <c r="F13" s="236">
        <v>45433</v>
      </c>
      <c r="G13" s="237">
        <f t="shared" si="0"/>
        <v>45482</v>
      </c>
      <c r="H13" s="236">
        <v>45520</v>
      </c>
      <c r="I13" s="238">
        <f t="shared" si="1"/>
        <v>38</v>
      </c>
      <c r="J13" s="239">
        <f t="shared" si="2"/>
        <v>91.111111111111114</v>
      </c>
      <c r="K13" s="131" t="s">
        <v>808</v>
      </c>
      <c r="L13" s="237">
        <v>45743</v>
      </c>
      <c r="M13" s="241">
        <v>45754</v>
      </c>
      <c r="N13" s="241">
        <v>45755</v>
      </c>
      <c r="O13" s="238">
        <f t="shared" si="3"/>
        <v>11</v>
      </c>
      <c r="P13" s="368"/>
      <c r="Q13" s="369"/>
    </row>
    <row r="14" spans="1:17">
      <c r="A14" s="370">
        <v>11</v>
      </c>
      <c r="B14" s="153" t="s">
        <v>795</v>
      </c>
      <c r="C14" s="153" t="s">
        <v>809</v>
      </c>
      <c r="D14" s="153">
        <v>5329</v>
      </c>
      <c r="E14" s="236">
        <v>45401</v>
      </c>
      <c r="F14" s="236">
        <v>45433</v>
      </c>
      <c r="G14" s="237">
        <f t="shared" si="0"/>
        <v>45482</v>
      </c>
      <c r="H14" s="236">
        <v>45516</v>
      </c>
      <c r="I14" s="238">
        <f t="shared" si="1"/>
        <v>34</v>
      </c>
      <c r="J14" s="239">
        <f t="shared" si="2"/>
        <v>95.555555555555557</v>
      </c>
      <c r="K14" s="131" t="s">
        <v>808</v>
      </c>
      <c r="L14" s="237">
        <v>45748</v>
      </c>
      <c r="M14" s="241">
        <v>45738</v>
      </c>
      <c r="N14" s="241">
        <v>45741</v>
      </c>
      <c r="O14" s="238">
        <f t="shared" si="3"/>
        <v>-10</v>
      </c>
      <c r="P14" s="368"/>
      <c r="Q14" s="369"/>
    </row>
    <row r="15" spans="1:17">
      <c r="A15" s="370">
        <v>12</v>
      </c>
      <c r="B15" s="153" t="s">
        <v>795</v>
      </c>
      <c r="C15" s="153" t="s">
        <v>810</v>
      </c>
      <c r="D15" s="153">
        <v>5340</v>
      </c>
      <c r="E15" s="236">
        <v>45437</v>
      </c>
      <c r="F15" s="236">
        <v>45436</v>
      </c>
      <c r="G15" s="237">
        <f t="shared" si="0"/>
        <v>45485</v>
      </c>
      <c r="H15" s="236">
        <v>45592</v>
      </c>
      <c r="I15" s="238">
        <f t="shared" si="1"/>
        <v>107</v>
      </c>
      <c r="J15" s="239">
        <f t="shared" si="2"/>
        <v>14.444444444444443</v>
      </c>
      <c r="K15" s="131" t="s">
        <v>811</v>
      </c>
      <c r="L15" s="237">
        <v>45750</v>
      </c>
      <c r="M15" s="241">
        <v>45764</v>
      </c>
      <c r="N15" s="241">
        <v>45765</v>
      </c>
      <c r="O15" s="238">
        <f t="shared" si="3"/>
        <v>14</v>
      </c>
      <c r="P15" s="368"/>
      <c r="Q15" s="369"/>
    </row>
    <row r="16" spans="1:17">
      <c r="A16" s="370">
        <v>13</v>
      </c>
      <c r="B16" s="153" t="s">
        <v>795</v>
      </c>
      <c r="C16" s="242" t="s">
        <v>812</v>
      </c>
      <c r="D16" s="242">
        <v>5346</v>
      </c>
      <c r="E16" s="236">
        <v>45469</v>
      </c>
      <c r="F16" s="236">
        <v>45457</v>
      </c>
      <c r="G16" s="237">
        <f t="shared" si="0"/>
        <v>45506</v>
      </c>
      <c r="H16" s="236">
        <v>45517</v>
      </c>
      <c r="I16" s="238">
        <f t="shared" si="1"/>
        <v>11</v>
      </c>
      <c r="J16" s="239">
        <f t="shared" si="2"/>
        <v>100</v>
      </c>
      <c r="K16" s="131"/>
      <c r="L16" s="237">
        <v>45754</v>
      </c>
      <c r="M16" s="241">
        <v>45750</v>
      </c>
      <c r="N16" s="241">
        <v>45751</v>
      </c>
      <c r="O16" s="238">
        <f t="shared" si="3"/>
        <v>-4</v>
      </c>
      <c r="P16" s="368"/>
      <c r="Q16" s="369"/>
    </row>
    <row r="17" spans="1:17">
      <c r="A17" s="370">
        <v>14</v>
      </c>
      <c r="B17" s="153" t="s">
        <v>795</v>
      </c>
      <c r="C17" s="242" t="s">
        <v>619</v>
      </c>
      <c r="D17" s="242">
        <v>5347</v>
      </c>
      <c r="E17" s="236">
        <v>45469</v>
      </c>
      <c r="F17" s="236">
        <v>45467</v>
      </c>
      <c r="G17" s="237">
        <f t="shared" si="0"/>
        <v>45516</v>
      </c>
      <c r="H17" s="236">
        <v>45539</v>
      </c>
      <c r="I17" s="238">
        <f t="shared" si="1"/>
        <v>23</v>
      </c>
      <c r="J17" s="239">
        <f t="shared" si="2"/>
        <v>100</v>
      </c>
      <c r="K17" s="131"/>
      <c r="L17" s="237">
        <v>45756</v>
      </c>
      <c r="M17" s="241">
        <v>45775</v>
      </c>
      <c r="N17" s="241">
        <v>45776</v>
      </c>
      <c r="O17" s="238">
        <f t="shared" si="3"/>
        <v>19</v>
      </c>
      <c r="P17" s="368"/>
      <c r="Q17" s="369"/>
    </row>
    <row r="18" spans="1:17">
      <c r="A18" s="370">
        <v>15</v>
      </c>
      <c r="B18" s="153" t="s">
        <v>795</v>
      </c>
      <c r="C18" s="242" t="s">
        <v>813</v>
      </c>
      <c r="D18" s="242">
        <v>5349</v>
      </c>
      <c r="E18" s="236">
        <v>45469</v>
      </c>
      <c r="F18" s="236">
        <v>45468</v>
      </c>
      <c r="G18" s="237">
        <f t="shared" si="0"/>
        <v>45517</v>
      </c>
      <c r="H18" s="236">
        <v>45525</v>
      </c>
      <c r="I18" s="238">
        <f t="shared" si="1"/>
        <v>8</v>
      </c>
      <c r="J18" s="239">
        <f t="shared" si="2"/>
        <v>100</v>
      </c>
      <c r="K18" s="131"/>
      <c r="L18" s="237">
        <v>45758</v>
      </c>
      <c r="M18" s="241">
        <v>45766</v>
      </c>
      <c r="N18" s="241">
        <v>45767</v>
      </c>
      <c r="O18" s="238">
        <f t="shared" si="3"/>
        <v>8</v>
      </c>
      <c r="P18" s="368"/>
      <c r="Q18" s="369"/>
    </row>
    <row r="19" spans="1:17">
      <c r="A19" s="370">
        <v>16</v>
      </c>
      <c r="B19" s="153" t="s">
        <v>795</v>
      </c>
      <c r="C19" s="242" t="s">
        <v>814</v>
      </c>
      <c r="D19" s="242">
        <v>5344</v>
      </c>
      <c r="E19" s="236">
        <v>45469</v>
      </c>
      <c r="F19" s="236">
        <v>45465</v>
      </c>
      <c r="G19" s="237">
        <f t="shared" si="0"/>
        <v>45514</v>
      </c>
      <c r="H19" s="236">
        <v>45527</v>
      </c>
      <c r="I19" s="238">
        <f t="shared" si="1"/>
        <v>13</v>
      </c>
      <c r="J19" s="239">
        <f t="shared" si="2"/>
        <v>100</v>
      </c>
      <c r="K19" s="131"/>
      <c r="L19" s="237">
        <v>45762</v>
      </c>
      <c r="M19" s="286">
        <v>45779</v>
      </c>
      <c r="N19" s="287">
        <v>45779</v>
      </c>
      <c r="O19" s="238">
        <f t="shared" si="3"/>
        <v>17</v>
      </c>
      <c r="P19" s="368"/>
      <c r="Q19" s="369"/>
    </row>
    <row r="20" spans="1:17">
      <c r="A20" s="370">
        <v>17</v>
      </c>
      <c r="B20" s="153" t="s">
        <v>795</v>
      </c>
      <c r="C20" s="242" t="s">
        <v>815</v>
      </c>
      <c r="D20" s="242">
        <v>5352</v>
      </c>
      <c r="E20" s="236">
        <v>45498</v>
      </c>
      <c r="F20" s="236">
        <v>45498</v>
      </c>
      <c r="G20" s="237">
        <f t="shared" si="0"/>
        <v>45547</v>
      </c>
      <c r="H20" s="236">
        <v>45544</v>
      </c>
      <c r="I20" s="238">
        <f t="shared" si="1"/>
        <v>-3</v>
      </c>
      <c r="J20" s="239">
        <f t="shared" si="2"/>
        <v>100</v>
      </c>
      <c r="K20" s="131"/>
      <c r="L20" s="237">
        <v>45764</v>
      </c>
      <c r="M20" s="286">
        <v>45780</v>
      </c>
      <c r="N20" s="287">
        <v>45780</v>
      </c>
      <c r="O20" s="238">
        <f t="shared" si="3"/>
        <v>16</v>
      </c>
      <c r="P20" s="368"/>
      <c r="Q20" s="369"/>
    </row>
    <row r="21" spans="1:17">
      <c r="A21" s="370">
        <v>18</v>
      </c>
      <c r="B21" s="153" t="s">
        <v>795</v>
      </c>
      <c r="C21" s="242" t="s">
        <v>816</v>
      </c>
      <c r="D21" s="242">
        <v>5353</v>
      </c>
      <c r="E21" s="236">
        <v>45469</v>
      </c>
      <c r="F21" s="236">
        <v>45492</v>
      </c>
      <c r="G21" s="237">
        <f t="shared" si="0"/>
        <v>45541</v>
      </c>
      <c r="H21" s="236">
        <v>45541</v>
      </c>
      <c r="I21" s="238">
        <f t="shared" si="1"/>
        <v>0</v>
      </c>
      <c r="J21" s="239">
        <f t="shared" si="2"/>
        <v>100</v>
      </c>
      <c r="K21" s="131"/>
      <c r="L21" s="237">
        <v>45768</v>
      </c>
      <c r="M21" s="286">
        <v>45781</v>
      </c>
      <c r="N21" s="287">
        <v>45781</v>
      </c>
      <c r="O21" s="238">
        <f t="shared" si="3"/>
        <v>13</v>
      </c>
      <c r="P21" s="368"/>
      <c r="Q21" s="369"/>
    </row>
    <row r="22" spans="1:17">
      <c r="A22" s="370">
        <v>19</v>
      </c>
      <c r="B22" s="153" t="s">
        <v>795</v>
      </c>
      <c r="C22" s="242" t="s">
        <v>817</v>
      </c>
      <c r="D22" s="242">
        <v>5345</v>
      </c>
      <c r="E22" s="236">
        <v>45522</v>
      </c>
      <c r="F22" s="236">
        <v>45524</v>
      </c>
      <c r="G22" s="237">
        <v>45545</v>
      </c>
      <c r="H22" s="236">
        <v>45548</v>
      </c>
      <c r="I22" s="238">
        <f t="shared" si="1"/>
        <v>3</v>
      </c>
      <c r="J22" s="239">
        <f t="shared" si="2"/>
        <v>100</v>
      </c>
      <c r="K22" s="131"/>
      <c r="L22" s="251">
        <v>45931</v>
      </c>
      <c r="M22" s="243"/>
      <c r="N22" s="243"/>
      <c r="O22" s="238"/>
      <c r="P22" s="368"/>
      <c r="Q22" s="369"/>
    </row>
    <row r="23" spans="1:17">
      <c r="A23" s="370">
        <v>20</v>
      </c>
      <c r="B23" s="153" t="s">
        <v>795</v>
      </c>
      <c r="C23" s="242" t="s">
        <v>818</v>
      </c>
      <c r="D23" s="242">
        <v>5328</v>
      </c>
      <c r="E23" s="236">
        <v>45526</v>
      </c>
      <c r="F23" s="236">
        <v>45533</v>
      </c>
      <c r="G23" s="237">
        <f>F23+49</f>
        <v>45582</v>
      </c>
      <c r="H23" s="236">
        <v>45583</v>
      </c>
      <c r="I23" s="238">
        <f t="shared" si="1"/>
        <v>1</v>
      </c>
      <c r="J23" s="239">
        <f t="shared" si="2"/>
        <v>100</v>
      </c>
      <c r="K23" s="131"/>
      <c r="L23" s="252">
        <v>45933</v>
      </c>
      <c r="M23" s="243"/>
      <c r="N23" s="243"/>
      <c r="O23" s="238"/>
      <c r="P23" s="368"/>
      <c r="Q23" s="369"/>
    </row>
    <row r="24" spans="1:17">
      <c r="A24" s="370">
        <v>21</v>
      </c>
      <c r="B24" s="153" t="s">
        <v>795</v>
      </c>
      <c r="C24" s="242" t="s">
        <v>819</v>
      </c>
      <c r="D24" s="242">
        <v>5330</v>
      </c>
      <c r="E24" s="236">
        <v>45528</v>
      </c>
      <c r="F24" s="236">
        <v>45538</v>
      </c>
      <c r="G24" s="237">
        <f t="shared" ref="G24:G25" si="4">F24+49</f>
        <v>45587</v>
      </c>
      <c r="H24" s="236">
        <v>45586</v>
      </c>
      <c r="I24" s="238">
        <f t="shared" si="1"/>
        <v>-1</v>
      </c>
      <c r="J24" s="239">
        <f t="shared" si="2"/>
        <v>100</v>
      </c>
      <c r="K24" s="131"/>
      <c r="L24" s="252">
        <v>45935</v>
      </c>
      <c r="M24" s="243"/>
      <c r="N24" s="243"/>
      <c r="O24" s="238"/>
      <c r="P24" s="368"/>
      <c r="Q24" s="369"/>
    </row>
    <row r="25" spans="1:17">
      <c r="A25" s="370">
        <v>22</v>
      </c>
      <c r="B25" s="153" t="s">
        <v>795</v>
      </c>
      <c r="C25" s="242" t="s">
        <v>820</v>
      </c>
      <c r="D25" s="242">
        <v>5348</v>
      </c>
      <c r="E25" s="236">
        <v>45556</v>
      </c>
      <c r="F25" s="236">
        <v>45556</v>
      </c>
      <c r="G25" s="237">
        <f t="shared" si="4"/>
        <v>45605</v>
      </c>
      <c r="H25" s="236">
        <v>45590</v>
      </c>
      <c r="I25" s="238">
        <f t="shared" si="1"/>
        <v>-15</v>
      </c>
      <c r="J25" s="239">
        <f t="shared" si="2"/>
        <v>100</v>
      </c>
      <c r="K25" s="131"/>
      <c r="L25" s="252">
        <v>45938</v>
      </c>
      <c r="M25" s="243"/>
      <c r="N25" s="243"/>
      <c r="O25" s="238"/>
      <c r="P25" s="368"/>
      <c r="Q25" s="369"/>
    </row>
    <row r="26" spans="1:17">
      <c r="A26" s="370">
        <v>23</v>
      </c>
      <c r="B26" s="153" t="s">
        <v>795</v>
      </c>
      <c r="C26" s="242" t="s">
        <v>821</v>
      </c>
      <c r="D26" s="242">
        <v>5339</v>
      </c>
      <c r="E26" s="236">
        <v>45578</v>
      </c>
      <c r="F26" s="236">
        <v>45578</v>
      </c>
      <c r="G26" s="237">
        <v>45640</v>
      </c>
      <c r="H26" s="236">
        <v>45641</v>
      </c>
      <c r="I26" s="238">
        <f t="shared" si="1"/>
        <v>1</v>
      </c>
      <c r="J26" s="239">
        <f t="shared" si="2"/>
        <v>100</v>
      </c>
      <c r="K26" s="131"/>
      <c r="L26" s="252">
        <v>45940</v>
      </c>
      <c r="M26" s="243"/>
      <c r="N26" s="243"/>
      <c r="O26" s="238"/>
      <c r="P26" s="239"/>
      <c r="Q26" s="369"/>
    </row>
    <row r="27" spans="1:17">
      <c r="A27" s="370">
        <v>24</v>
      </c>
      <c r="B27" s="153" t="s">
        <v>795</v>
      </c>
      <c r="C27" s="242" t="s">
        <v>822</v>
      </c>
      <c r="D27" s="242">
        <v>5351</v>
      </c>
      <c r="E27" s="236">
        <v>45582</v>
      </c>
      <c r="F27" s="236">
        <v>45582</v>
      </c>
      <c r="G27" s="237">
        <v>45641</v>
      </c>
      <c r="H27" s="236">
        <v>45642</v>
      </c>
      <c r="I27" s="238">
        <f t="shared" si="1"/>
        <v>1</v>
      </c>
      <c r="J27" s="239">
        <f t="shared" si="2"/>
        <v>100</v>
      </c>
      <c r="K27" s="131"/>
      <c r="L27" s="252">
        <v>45942</v>
      </c>
      <c r="M27" s="243"/>
      <c r="N27" s="243"/>
      <c r="O27" s="238"/>
      <c r="P27" s="239"/>
      <c r="Q27" s="369"/>
    </row>
    <row r="28" spans="1:17">
      <c r="A28" s="370">
        <v>25</v>
      </c>
      <c r="B28" s="153" t="s">
        <v>795</v>
      </c>
      <c r="C28" s="153" t="s">
        <v>823</v>
      </c>
      <c r="D28" s="153">
        <v>5350</v>
      </c>
      <c r="E28" s="236">
        <v>45593</v>
      </c>
      <c r="F28" s="236">
        <v>45591</v>
      </c>
      <c r="G28" s="237">
        <v>45642</v>
      </c>
      <c r="H28" s="236">
        <v>45643</v>
      </c>
      <c r="I28" s="238">
        <f t="shared" si="1"/>
        <v>1</v>
      </c>
      <c r="J28" s="239">
        <f t="shared" si="2"/>
        <v>100</v>
      </c>
      <c r="K28" s="131"/>
      <c r="L28" s="252">
        <v>45945</v>
      </c>
      <c r="M28" s="243"/>
      <c r="N28" s="243"/>
      <c r="O28" s="131"/>
      <c r="P28" s="238"/>
      <c r="Q28" s="369"/>
    </row>
    <row r="29" spans="1:17">
      <c r="A29" s="248">
        <v>26</v>
      </c>
      <c r="B29" s="153" t="s">
        <v>795</v>
      </c>
      <c r="C29" s="153" t="s">
        <v>824</v>
      </c>
      <c r="D29" s="153">
        <v>5338</v>
      </c>
      <c r="E29" s="244">
        <v>45646</v>
      </c>
      <c r="F29" s="244">
        <v>45646</v>
      </c>
      <c r="G29" s="245">
        <v>45677</v>
      </c>
      <c r="H29" s="244">
        <v>45677</v>
      </c>
      <c r="I29" s="242">
        <v>0</v>
      </c>
      <c r="J29" s="239">
        <f t="shared" si="2"/>
        <v>100</v>
      </c>
      <c r="K29" s="131"/>
      <c r="L29" s="252">
        <v>45947</v>
      </c>
      <c r="M29" s="243"/>
      <c r="N29" s="243"/>
      <c r="O29" s="131"/>
      <c r="P29" s="238"/>
      <c r="Q29" s="369"/>
    </row>
    <row r="30" spans="1:17" ht="15" thickBot="1">
      <c r="A30" s="343"/>
      <c r="B30" s="344"/>
      <c r="C30" s="344"/>
      <c r="D30" s="344"/>
      <c r="E30" s="344"/>
      <c r="F30" s="344"/>
      <c r="G30" s="344"/>
      <c r="H30" s="344"/>
      <c r="I30" s="344"/>
      <c r="J30" s="344"/>
      <c r="K30" s="344"/>
      <c r="L30" s="249"/>
      <c r="M30" s="249"/>
      <c r="N30" s="249"/>
      <c r="O30" s="249"/>
      <c r="P30" s="249"/>
      <c r="Q30" s="250"/>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5"/>
  <cols>
    <col min="1" max="1" width="7.140625" bestFit="1" customWidth="1"/>
    <col min="2" max="2" width="10.42578125" bestFit="1" customWidth="1"/>
    <col min="3" max="3" width="23.7109375" bestFit="1" customWidth="1"/>
    <col min="4" max="4" width="23.42578125" bestFit="1" customWidth="1"/>
    <col min="5" max="5" width="14.7109375" bestFit="1" customWidth="1"/>
    <col min="6" max="6" width="19.42578125" bestFit="1" customWidth="1"/>
    <col min="7" max="7" width="14.42578125" bestFit="1" customWidth="1"/>
    <col min="8" max="8" width="18.140625" bestFit="1" customWidth="1"/>
    <col min="9" max="9" width="30.42578125" bestFit="1" customWidth="1"/>
    <col min="10" max="10" width="28.42578125" customWidth="1"/>
    <col min="11" max="11" width="51.7109375" bestFit="1" customWidth="1"/>
  </cols>
  <sheetData>
    <row r="1" spans="1:11" ht="15.6">
      <c r="A1" s="354" t="s">
        <v>825</v>
      </c>
      <c r="B1" s="354" t="s">
        <v>71</v>
      </c>
      <c r="C1" s="354" t="s">
        <v>826</v>
      </c>
      <c r="D1" s="354" t="s">
        <v>827</v>
      </c>
      <c r="E1" s="355" t="s">
        <v>828</v>
      </c>
      <c r="F1" s="354" t="s">
        <v>829</v>
      </c>
      <c r="G1" s="354" t="s">
        <v>830</v>
      </c>
      <c r="H1" s="354" t="s">
        <v>831</v>
      </c>
      <c r="I1" s="354" t="s">
        <v>832</v>
      </c>
      <c r="J1" s="294"/>
      <c r="K1" s="354" t="s">
        <v>12</v>
      </c>
    </row>
    <row r="2" spans="1:11" ht="15.6">
      <c r="A2" s="354"/>
      <c r="B2" s="354"/>
      <c r="C2" s="354"/>
      <c r="D2" s="354"/>
      <c r="E2" s="356"/>
      <c r="F2" s="354"/>
      <c r="G2" s="354"/>
      <c r="H2" s="354"/>
      <c r="I2" s="354"/>
      <c r="J2" s="294" t="s">
        <v>833</v>
      </c>
      <c r="K2" s="354"/>
    </row>
    <row r="3" spans="1:11">
      <c r="A3" s="153">
        <v>1</v>
      </c>
      <c r="B3" s="244">
        <v>45809</v>
      </c>
      <c r="C3" s="295">
        <v>0.41319444444444442</v>
      </c>
      <c r="D3" s="296">
        <v>0.65486111111111112</v>
      </c>
      <c r="E3" s="296">
        <f>D3-C3</f>
        <v>0.2416666666666667</v>
      </c>
      <c r="F3" s="153">
        <v>71.05</v>
      </c>
      <c r="G3" s="297">
        <v>0.15</v>
      </c>
      <c r="H3" s="238">
        <f>F3*G3</f>
        <v>10.657499999999999</v>
      </c>
      <c r="I3" s="238">
        <f>F3-H3</f>
        <v>60.392499999999998</v>
      </c>
      <c r="J3" s="153">
        <v>50</v>
      </c>
      <c r="K3" s="131" t="s">
        <v>834</v>
      </c>
    </row>
    <row r="4" spans="1:11">
      <c r="A4" s="153">
        <v>2</v>
      </c>
      <c r="B4" s="244">
        <v>45809</v>
      </c>
      <c r="C4" s="296">
        <v>0.4201388888888889</v>
      </c>
      <c r="D4" s="296">
        <v>0.6694444444444444</v>
      </c>
      <c r="E4" s="296">
        <f>D4-C4</f>
        <v>0.2493055555555555</v>
      </c>
      <c r="F4" s="242">
        <v>60.35</v>
      </c>
      <c r="G4" s="297">
        <v>0.15</v>
      </c>
      <c r="H4" s="238">
        <f t="shared" ref="H4:H22" si="0">F4*G4</f>
        <v>9.0525000000000002</v>
      </c>
      <c r="I4" s="238">
        <f t="shared" ref="I4:I22" si="1">F4-H4</f>
        <v>51.297499999999999</v>
      </c>
      <c r="J4" s="153">
        <v>50</v>
      </c>
      <c r="K4" s="131" t="s">
        <v>834</v>
      </c>
    </row>
    <row r="5" spans="1:11">
      <c r="A5" s="153">
        <v>3</v>
      </c>
      <c r="B5" s="244">
        <v>45809</v>
      </c>
      <c r="C5" s="296">
        <v>0.50416666666666665</v>
      </c>
      <c r="D5" s="296">
        <v>0.57986111111111116</v>
      </c>
      <c r="E5" s="296">
        <f>D5-C5</f>
        <v>7.5694444444444509E-2</v>
      </c>
      <c r="F5" s="242">
        <v>51.4</v>
      </c>
      <c r="G5" s="298">
        <v>0.1</v>
      </c>
      <c r="H5" s="238">
        <f t="shared" si="0"/>
        <v>5.1400000000000006</v>
      </c>
      <c r="I5" s="238">
        <f t="shared" si="1"/>
        <v>46.26</v>
      </c>
      <c r="J5" s="153">
        <v>50</v>
      </c>
      <c r="K5" s="131" t="s">
        <v>834</v>
      </c>
    </row>
    <row r="6" spans="1:11" s="307" customFormat="1">
      <c r="A6" s="299">
        <v>4</v>
      </c>
      <c r="B6" s="300">
        <v>45809</v>
      </c>
      <c r="C6" s="301">
        <v>0.43541666666666667</v>
      </c>
      <c r="D6" s="301">
        <v>0.67013888888888884</v>
      </c>
      <c r="E6" s="301">
        <f>D6-C6</f>
        <v>0.23472222222222217</v>
      </c>
      <c r="F6" s="302">
        <v>68</v>
      </c>
      <c r="G6" s="303">
        <v>0.3</v>
      </c>
      <c r="H6" s="304">
        <v>17</v>
      </c>
      <c r="I6" s="304">
        <v>51</v>
      </c>
      <c r="J6" s="305">
        <v>50</v>
      </c>
      <c r="K6" s="306" t="s">
        <v>835</v>
      </c>
    </row>
    <row r="7" spans="1:11">
      <c r="A7" s="153">
        <v>5</v>
      </c>
      <c r="B7" s="244">
        <v>45825</v>
      </c>
      <c r="C7" s="296">
        <v>0.56180555555555556</v>
      </c>
      <c r="D7" s="296">
        <v>0.57013888888888886</v>
      </c>
      <c r="E7" s="296">
        <f>D7-C7</f>
        <v>8.3333333333333037E-3</v>
      </c>
      <c r="F7" s="242">
        <v>65.17</v>
      </c>
      <c r="G7" s="298">
        <v>0.2</v>
      </c>
      <c r="H7" s="238">
        <f t="shared" si="0"/>
        <v>13.034000000000001</v>
      </c>
      <c r="I7" s="238">
        <f t="shared" si="1"/>
        <v>52.136000000000003</v>
      </c>
      <c r="J7" s="153">
        <v>50</v>
      </c>
      <c r="K7" s="131" t="s">
        <v>834</v>
      </c>
    </row>
    <row r="8" spans="1:11">
      <c r="A8" s="153">
        <v>6</v>
      </c>
      <c r="B8" s="308">
        <v>45826</v>
      </c>
      <c r="C8" s="296">
        <v>0.49166666666666664</v>
      </c>
      <c r="D8" s="296">
        <v>0.7319444444444444</v>
      </c>
      <c r="E8" s="296">
        <f t="shared" ref="E8:E23" si="2">D8-C8</f>
        <v>0.24027777777777776</v>
      </c>
      <c r="F8" s="242">
        <v>62.89</v>
      </c>
      <c r="G8" s="298">
        <v>0.2</v>
      </c>
      <c r="H8" s="238">
        <f t="shared" si="0"/>
        <v>12.578000000000001</v>
      </c>
      <c r="I8" s="238">
        <f t="shared" si="1"/>
        <v>50.311999999999998</v>
      </c>
      <c r="J8" s="153">
        <v>50</v>
      </c>
      <c r="K8" s="131" t="s">
        <v>834</v>
      </c>
    </row>
    <row r="9" spans="1:11">
      <c r="A9" s="153">
        <v>7</v>
      </c>
      <c r="B9" s="308">
        <v>45826</v>
      </c>
      <c r="C9" s="296">
        <v>0.52777777777777779</v>
      </c>
      <c r="D9" s="296">
        <v>0.7319444444444444</v>
      </c>
      <c r="E9" s="296">
        <f t="shared" si="2"/>
        <v>0.20416666666666661</v>
      </c>
      <c r="F9" s="242">
        <v>48.15</v>
      </c>
      <c r="G9" s="298">
        <v>0.1</v>
      </c>
      <c r="H9" s="238">
        <f t="shared" si="0"/>
        <v>4.8150000000000004</v>
      </c>
      <c r="I9" s="238">
        <f t="shared" si="1"/>
        <v>43.335000000000001</v>
      </c>
      <c r="J9" s="153">
        <v>50</v>
      </c>
      <c r="K9" s="131" t="s">
        <v>834</v>
      </c>
    </row>
    <row r="10" spans="1:11">
      <c r="A10" s="153">
        <v>8</v>
      </c>
      <c r="B10" s="308">
        <v>45826</v>
      </c>
      <c r="C10" s="296">
        <v>0.60972222222222228</v>
      </c>
      <c r="D10" s="296">
        <v>0.72291666666666665</v>
      </c>
      <c r="E10" s="296">
        <f t="shared" si="2"/>
        <v>0.11319444444444438</v>
      </c>
      <c r="F10" s="242">
        <v>55.2</v>
      </c>
      <c r="G10" s="298">
        <v>0.15</v>
      </c>
      <c r="H10" s="238">
        <f t="shared" si="0"/>
        <v>8.2799999999999994</v>
      </c>
      <c r="I10" s="238">
        <f t="shared" si="1"/>
        <v>46.92</v>
      </c>
      <c r="J10" s="153">
        <v>50</v>
      </c>
      <c r="K10" s="131" t="s">
        <v>834</v>
      </c>
    </row>
    <row r="11" spans="1:11">
      <c r="A11" s="153">
        <v>9</v>
      </c>
      <c r="B11" s="308">
        <v>45826</v>
      </c>
      <c r="C11" s="296">
        <v>0.66666666666666663</v>
      </c>
      <c r="D11" s="296">
        <v>0.70972222222222225</v>
      </c>
      <c r="E11" s="296">
        <f t="shared" si="2"/>
        <v>4.3055555555555625E-2</v>
      </c>
      <c r="F11" s="242">
        <v>45.15</v>
      </c>
      <c r="G11" s="298">
        <v>0.15</v>
      </c>
      <c r="H11" s="238">
        <f t="shared" si="0"/>
        <v>6.7725</v>
      </c>
      <c r="I11" s="238">
        <f t="shared" si="1"/>
        <v>38.377499999999998</v>
      </c>
      <c r="J11" s="153">
        <v>50</v>
      </c>
      <c r="K11" s="131" t="s">
        <v>834</v>
      </c>
    </row>
    <row r="12" spans="1:11">
      <c r="A12" s="299">
        <v>10</v>
      </c>
      <c r="B12" s="309">
        <v>45826</v>
      </c>
      <c r="C12" s="310">
        <v>0.6743055555555556</v>
      </c>
      <c r="D12" s="310">
        <v>0.72916666666666663</v>
      </c>
      <c r="E12" s="310">
        <f t="shared" si="2"/>
        <v>5.4861111111111027E-2</v>
      </c>
      <c r="F12" s="311">
        <v>63</v>
      </c>
      <c r="G12" s="312">
        <v>0.26</v>
      </c>
      <c r="H12" s="313">
        <f t="shared" si="0"/>
        <v>16.38</v>
      </c>
      <c r="I12" s="313">
        <v>45</v>
      </c>
      <c r="J12" s="299">
        <v>50</v>
      </c>
      <c r="K12" s="306" t="s">
        <v>835</v>
      </c>
    </row>
    <row r="13" spans="1:11">
      <c r="A13" s="153">
        <v>11</v>
      </c>
      <c r="B13" s="308">
        <v>45827</v>
      </c>
      <c r="C13" s="296">
        <v>0.42916666666666664</v>
      </c>
      <c r="D13" s="296">
        <v>0.69722222222222219</v>
      </c>
      <c r="E13" s="296">
        <f t="shared" si="2"/>
        <v>0.26805555555555555</v>
      </c>
      <c r="F13" s="242">
        <v>70.209999999999994</v>
      </c>
      <c r="G13" s="298">
        <v>0.25</v>
      </c>
      <c r="H13" s="238">
        <f t="shared" si="0"/>
        <v>17.552499999999998</v>
      </c>
      <c r="I13" s="238">
        <f t="shared" si="1"/>
        <v>52.657499999999999</v>
      </c>
      <c r="J13" s="153">
        <v>50</v>
      </c>
      <c r="K13" s="131" t="s">
        <v>834</v>
      </c>
    </row>
    <row r="14" spans="1:11">
      <c r="A14" s="153">
        <v>12</v>
      </c>
      <c r="B14" s="308">
        <v>45827</v>
      </c>
      <c r="C14" s="296">
        <v>0.56944444444444442</v>
      </c>
      <c r="D14" s="296">
        <v>0.7055555555555556</v>
      </c>
      <c r="E14" s="296">
        <f t="shared" si="2"/>
        <v>0.13611111111111118</v>
      </c>
      <c r="F14" s="242">
        <v>52.5</v>
      </c>
      <c r="G14" s="298">
        <v>0.15</v>
      </c>
      <c r="H14" s="238">
        <f t="shared" si="0"/>
        <v>7.875</v>
      </c>
      <c r="I14" s="238">
        <f t="shared" si="1"/>
        <v>44.625</v>
      </c>
      <c r="J14" s="153">
        <v>50</v>
      </c>
      <c r="K14" s="131" t="s">
        <v>834</v>
      </c>
    </row>
    <row r="15" spans="1:11">
      <c r="A15" s="153">
        <v>13</v>
      </c>
      <c r="B15" s="308">
        <v>45828</v>
      </c>
      <c r="C15" s="296">
        <v>0.41736111111111113</v>
      </c>
      <c r="D15" s="296">
        <v>0.45902777777777776</v>
      </c>
      <c r="E15" s="296">
        <f t="shared" si="2"/>
        <v>4.166666666666663E-2</v>
      </c>
      <c r="F15" s="242">
        <v>60.24</v>
      </c>
      <c r="G15" s="298">
        <v>0.15</v>
      </c>
      <c r="H15" s="238">
        <f t="shared" si="0"/>
        <v>9.0359999999999996</v>
      </c>
      <c r="I15" s="238">
        <f>F15-H15</f>
        <v>51.204000000000001</v>
      </c>
      <c r="J15" s="153">
        <v>50</v>
      </c>
      <c r="K15" s="131" t="s">
        <v>834</v>
      </c>
    </row>
    <row r="16" spans="1:11">
      <c r="A16" s="153">
        <v>14</v>
      </c>
      <c r="B16" s="308">
        <v>45836</v>
      </c>
      <c r="C16" s="296">
        <v>0.56111111111111112</v>
      </c>
      <c r="D16" s="296">
        <v>0.6333333333333333</v>
      </c>
      <c r="E16" s="296">
        <f t="shared" si="2"/>
        <v>7.2222222222222188E-2</v>
      </c>
      <c r="F16" s="242">
        <v>70.03</v>
      </c>
      <c r="G16" s="298">
        <v>0.2</v>
      </c>
      <c r="H16" s="238">
        <f t="shared" si="0"/>
        <v>14.006</v>
      </c>
      <c r="I16" s="238">
        <f t="shared" si="1"/>
        <v>56.024000000000001</v>
      </c>
      <c r="J16" s="153">
        <v>50</v>
      </c>
      <c r="K16" s="131" t="s">
        <v>834</v>
      </c>
    </row>
    <row r="17" spans="1:11">
      <c r="A17" s="153">
        <v>15</v>
      </c>
      <c r="B17" s="308">
        <v>45837</v>
      </c>
      <c r="C17" s="296">
        <v>0.50972222222222219</v>
      </c>
      <c r="D17" s="296">
        <v>0.62152777777777779</v>
      </c>
      <c r="E17" s="296">
        <f t="shared" si="2"/>
        <v>0.1118055555555556</v>
      </c>
      <c r="F17" s="242">
        <v>70.099999999999994</v>
      </c>
      <c r="G17" s="298">
        <v>0.15</v>
      </c>
      <c r="H17" s="238">
        <f t="shared" si="0"/>
        <v>10.514999999999999</v>
      </c>
      <c r="I17" s="238">
        <f t="shared" si="1"/>
        <v>59.584999999999994</v>
      </c>
      <c r="J17" s="153">
        <v>50</v>
      </c>
      <c r="K17" s="131" t="s">
        <v>834</v>
      </c>
    </row>
    <row r="18" spans="1:11">
      <c r="A18" s="153">
        <v>16</v>
      </c>
      <c r="B18" s="308">
        <v>45837</v>
      </c>
      <c r="C18" s="296">
        <v>0.52569444444444446</v>
      </c>
      <c r="D18" s="296">
        <v>0.65277777777777779</v>
      </c>
      <c r="E18" s="296">
        <f t="shared" si="2"/>
        <v>0.12708333333333333</v>
      </c>
      <c r="F18" s="242">
        <v>60.21</v>
      </c>
      <c r="G18" s="298">
        <v>0.15</v>
      </c>
      <c r="H18" s="238">
        <f t="shared" si="0"/>
        <v>9.0314999999999994</v>
      </c>
      <c r="I18" s="238">
        <f t="shared" si="1"/>
        <v>51.1785</v>
      </c>
      <c r="J18" s="153">
        <v>50</v>
      </c>
      <c r="K18" s="131" t="s">
        <v>834</v>
      </c>
    </row>
    <row r="19" spans="1:11">
      <c r="A19" s="153">
        <v>17</v>
      </c>
      <c r="B19" s="308">
        <v>45837</v>
      </c>
      <c r="C19" s="296">
        <v>0.58888888888888891</v>
      </c>
      <c r="D19" s="296">
        <v>0.73472222222222228</v>
      </c>
      <c r="E19" s="296">
        <f t="shared" si="2"/>
        <v>0.14583333333333337</v>
      </c>
      <c r="F19" s="242">
        <v>51.35</v>
      </c>
      <c r="G19" s="298">
        <v>0.2</v>
      </c>
      <c r="H19" s="238">
        <f t="shared" si="0"/>
        <v>10.270000000000001</v>
      </c>
      <c r="I19" s="238">
        <f t="shared" si="1"/>
        <v>41.08</v>
      </c>
      <c r="J19" s="153">
        <v>50</v>
      </c>
      <c r="K19" s="131" t="s">
        <v>834</v>
      </c>
    </row>
    <row r="20" spans="1:11">
      <c r="A20" s="153">
        <v>18</v>
      </c>
      <c r="B20" s="308">
        <v>45838</v>
      </c>
      <c r="C20" s="296">
        <v>0.45902777777777776</v>
      </c>
      <c r="D20" s="296">
        <v>0.60972222222222228</v>
      </c>
      <c r="E20" s="296">
        <f t="shared" si="2"/>
        <v>0.15069444444444452</v>
      </c>
      <c r="F20" s="242">
        <v>70.34</v>
      </c>
      <c r="G20" s="298">
        <v>0.15</v>
      </c>
      <c r="H20" s="238">
        <f t="shared" si="0"/>
        <v>10.551</v>
      </c>
      <c r="I20" s="238">
        <f t="shared" si="1"/>
        <v>59.789000000000001</v>
      </c>
      <c r="J20" s="153">
        <v>50</v>
      </c>
      <c r="K20" s="131" t="s">
        <v>834</v>
      </c>
    </row>
    <row r="21" spans="1:11">
      <c r="A21" s="153">
        <v>19</v>
      </c>
      <c r="B21" s="308">
        <v>45838</v>
      </c>
      <c r="C21" s="296">
        <v>0.5</v>
      </c>
      <c r="D21" s="296">
        <v>0.62430555555555556</v>
      </c>
      <c r="E21" s="296">
        <f t="shared" si="2"/>
        <v>0.12430555555555556</v>
      </c>
      <c r="F21" s="242">
        <v>60.25</v>
      </c>
      <c r="G21" s="298">
        <v>0.15</v>
      </c>
      <c r="H21" s="238">
        <f t="shared" si="0"/>
        <v>9.0374999999999996</v>
      </c>
      <c r="I21" s="238">
        <f t="shared" si="1"/>
        <v>51.212499999999999</v>
      </c>
      <c r="J21" s="153">
        <v>50</v>
      </c>
      <c r="K21" s="131" t="s">
        <v>834</v>
      </c>
    </row>
    <row r="22" spans="1:11">
      <c r="A22" s="153">
        <v>20</v>
      </c>
      <c r="B22" s="308">
        <v>45838</v>
      </c>
      <c r="C22" s="296">
        <v>0.56666666666666665</v>
      </c>
      <c r="D22" s="296">
        <v>0.62361111111111112</v>
      </c>
      <c r="E22" s="296">
        <f t="shared" si="2"/>
        <v>5.6944444444444464E-2</v>
      </c>
      <c r="F22" s="242">
        <v>58.69</v>
      </c>
      <c r="G22" s="298">
        <v>0.15</v>
      </c>
      <c r="H22" s="238">
        <f t="shared" si="0"/>
        <v>8.8034999999999997</v>
      </c>
      <c r="I22" s="238">
        <f t="shared" si="1"/>
        <v>49.886499999999998</v>
      </c>
      <c r="J22" s="153">
        <v>50</v>
      </c>
      <c r="K22" s="131" t="s">
        <v>834</v>
      </c>
    </row>
    <row r="23" spans="1:11">
      <c r="A23" s="299">
        <v>21</v>
      </c>
      <c r="B23" s="314">
        <v>45838</v>
      </c>
      <c r="C23" s="315">
        <v>0.56666666666666665</v>
      </c>
      <c r="D23" s="315">
        <v>0.62361111111111112</v>
      </c>
      <c r="E23" s="315">
        <f t="shared" si="2"/>
        <v>5.6944444444444464E-2</v>
      </c>
      <c r="F23" s="299">
        <v>63</v>
      </c>
      <c r="G23" s="316">
        <v>0.2</v>
      </c>
      <c r="H23" s="299">
        <v>21.06</v>
      </c>
      <c r="I23" s="299">
        <v>50</v>
      </c>
      <c r="J23" s="299">
        <v>50</v>
      </c>
      <c r="K23" s="306" t="s">
        <v>835</v>
      </c>
    </row>
    <row r="24" spans="1:11">
      <c r="A24" s="242">
        <v>22</v>
      </c>
      <c r="B24" s="244">
        <v>45839</v>
      </c>
      <c r="C24" s="295">
        <v>0.51736111111111116</v>
      </c>
      <c r="D24" s="295">
        <v>0.64375000000000004</v>
      </c>
      <c r="E24" s="296">
        <f>D24-C24</f>
        <v>0.12638888888888888</v>
      </c>
      <c r="F24" s="242">
        <v>25.3</v>
      </c>
      <c r="G24" s="297">
        <v>0.15</v>
      </c>
      <c r="H24" s="238">
        <f>F24*G24</f>
        <v>3.7949999999999999</v>
      </c>
      <c r="I24" s="238">
        <f>F24-H24</f>
        <v>21.505000000000003</v>
      </c>
      <c r="J24" s="153">
        <v>50</v>
      </c>
      <c r="K24" s="131" t="s">
        <v>834</v>
      </c>
    </row>
    <row r="25" spans="1:11">
      <c r="A25" s="242">
        <v>23</v>
      </c>
      <c r="B25" s="244">
        <v>45839</v>
      </c>
      <c r="C25" s="295">
        <v>0.55555555555555558</v>
      </c>
      <c r="D25" s="296">
        <v>0.65416666666666667</v>
      </c>
      <c r="E25" s="296">
        <f>D25-C25</f>
        <v>9.8611111111111094E-2</v>
      </c>
      <c r="F25" s="242">
        <v>27.28</v>
      </c>
      <c r="G25" s="298">
        <v>0.15</v>
      </c>
      <c r="H25" s="238">
        <f t="shared" ref="H25:H26" si="3">F25*G25</f>
        <v>4.0919999999999996</v>
      </c>
      <c r="I25" s="238">
        <f t="shared" ref="I25:I26" si="4">F25-H25</f>
        <v>23.188000000000002</v>
      </c>
      <c r="J25" s="153">
        <v>50</v>
      </c>
      <c r="K25" s="131" t="s">
        <v>834</v>
      </c>
    </row>
    <row r="26" spans="1:11">
      <c r="A26" s="242">
        <v>24</v>
      </c>
      <c r="B26" s="244">
        <v>45845</v>
      </c>
      <c r="C26" s="295">
        <v>0.54791666666666672</v>
      </c>
      <c r="D26" s="296">
        <v>0.5625</v>
      </c>
      <c r="E26" s="296">
        <f>D26-C26</f>
        <v>1.4583333333333282E-2</v>
      </c>
      <c r="F26" s="242">
        <v>54.1</v>
      </c>
      <c r="G26" s="298">
        <v>0.1</v>
      </c>
      <c r="H26" s="317">
        <f t="shared" si="3"/>
        <v>5.41</v>
      </c>
      <c r="I26" s="238">
        <f t="shared" si="4"/>
        <v>48.69</v>
      </c>
      <c r="J26" s="153">
        <v>50</v>
      </c>
      <c r="K26" s="131" t="s">
        <v>834</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bottomRight" activeCell="A15" sqref="A15:XFD15"/>
      <selection pane="bottomLeft" activeCell="C1" sqref="C1"/>
      <selection pane="topRight" activeCell="C1" sqref="C1"/>
    </sheetView>
  </sheetViews>
  <sheetFormatPr defaultColWidth="8.85546875" defaultRowHeight="14.45"/>
  <cols>
    <col min="1" max="1" width="8.85546875" style="167"/>
    <col min="2" max="2" width="9.85546875" style="167" bestFit="1" customWidth="1"/>
    <col min="3" max="3" width="15.85546875" style="167" customWidth="1"/>
    <col min="4" max="6" width="8.85546875" style="167"/>
    <col min="7" max="7" width="20.42578125" style="167" customWidth="1"/>
    <col min="8" max="8" width="8.85546875" style="167"/>
    <col min="9" max="9" width="9.42578125" style="167" bestFit="1" customWidth="1"/>
    <col min="10" max="14" width="8.85546875" style="167"/>
    <col min="15" max="15" width="9.85546875" style="167" bestFit="1" customWidth="1"/>
    <col min="16" max="16" width="11" style="167" customWidth="1"/>
    <col min="17" max="17" width="15.140625" style="167" customWidth="1"/>
    <col min="18" max="19" width="10.85546875" style="167" customWidth="1"/>
    <col min="20" max="20" width="13" style="167" customWidth="1"/>
    <col min="21" max="25" width="12.85546875" style="167" customWidth="1"/>
    <col min="26" max="27" width="14.42578125" style="167" customWidth="1"/>
    <col min="28" max="29" width="15.42578125" style="167" customWidth="1"/>
    <col min="30" max="38" width="9.85546875" style="167" customWidth="1"/>
    <col min="39" max="39" width="12" style="167" bestFit="1" customWidth="1"/>
    <col min="40" max="41" width="12" style="167" customWidth="1"/>
    <col min="42" max="42" width="27.42578125" style="167" bestFit="1" customWidth="1"/>
    <col min="43" max="16384" width="8.85546875" style="167"/>
  </cols>
  <sheetData>
    <row r="1" spans="1:43" ht="43.15">
      <c r="A1" s="179" t="s">
        <v>7</v>
      </c>
      <c r="B1" s="179" t="s">
        <v>836</v>
      </c>
      <c r="C1" s="179" t="s">
        <v>837</v>
      </c>
      <c r="D1" s="179" t="s">
        <v>240</v>
      </c>
      <c r="E1" s="179" t="s">
        <v>838</v>
      </c>
      <c r="F1" s="179" t="s">
        <v>839</v>
      </c>
      <c r="G1" s="179" t="s">
        <v>840</v>
      </c>
      <c r="H1" s="179" t="s">
        <v>841</v>
      </c>
      <c r="I1" s="179" t="s">
        <v>842</v>
      </c>
      <c r="J1" s="179" t="s">
        <v>843</v>
      </c>
      <c r="K1" s="179" t="s">
        <v>844</v>
      </c>
      <c r="L1" s="179" t="s">
        <v>845</v>
      </c>
      <c r="M1" s="179" t="s">
        <v>846</v>
      </c>
      <c r="N1" s="179" t="s">
        <v>847</v>
      </c>
      <c r="O1" s="179" t="s">
        <v>848</v>
      </c>
      <c r="P1" s="179" t="s">
        <v>849</v>
      </c>
      <c r="Q1" s="179" t="s">
        <v>850</v>
      </c>
      <c r="R1" s="179" t="s">
        <v>851</v>
      </c>
      <c r="S1" s="179" t="s">
        <v>852</v>
      </c>
      <c r="T1" s="179" t="s">
        <v>853</v>
      </c>
      <c r="U1" s="179" t="s">
        <v>854</v>
      </c>
      <c r="V1" s="179" t="s">
        <v>855</v>
      </c>
      <c r="W1" s="179" t="s">
        <v>856</v>
      </c>
      <c r="X1" s="179" t="s">
        <v>857</v>
      </c>
      <c r="Y1" s="179" t="s">
        <v>858</v>
      </c>
      <c r="Z1" s="179" t="s">
        <v>859</v>
      </c>
      <c r="AA1" s="179" t="s">
        <v>860</v>
      </c>
      <c r="AB1" s="179" t="s">
        <v>861</v>
      </c>
      <c r="AC1" s="179" t="s">
        <v>862</v>
      </c>
      <c r="AD1" s="179" t="s">
        <v>863</v>
      </c>
      <c r="AE1" s="179" t="s">
        <v>864</v>
      </c>
      <c r="AF1" s="179" t="s">
        <v>865</v>
      </c>
      <c r="AG1" s="179" t="s">
        <v>866</v>
      </c>
      <c r="AH1" s="179" t="s">
        <v>867</v>
      </c>
      <c r="AI1" s="179" t="s">
        <v>868</v>
      </c>
      <c r="AJ1" s="179" t="s">
        <v>869</v>
      </c>
      <c r="AK1" s="179" t="s">
        <v>870</v>
      </c>
      <c r="AL1" s="179" t="s">
        <v>871</v>
      </c>
      <c r="AM1" s="179" t="s">
        <v>110</v>
      </c>
      <c r="AN1" s="179" t="s">
        <v>111</v>
      </c>
      <c r="AP1" s="167" t="s">
        <v>872</v>
      </c>
      <c r="AQ1" s="177">
        <v>70.400000000000006</v>
      </c>
    </row>
    <row r="2" spans="1:43">
      <c r="A2" s="180">
        <v>1</v>
      </c>
      <c r="B2" s="181" t="s">
        <v>873</v>
      </c>
      <c r="C2" s="182">
        <v>4</v>
      </c>
      <c r="D2" s="181">
        <v>45383</v>
      </c>
      <c r="E2" s="183">
        <f>YEAR(D2)</f>
        <v>2024</v>
      </c>
      <c r="F2" s="183" t="s">
        <v>874</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875</v>
      </c>
      <c r="AQ2" s="164">
        <f>70.4*5%</f>
        <v>3.5200000000000005</v>
      </c>
    </row>
    <row r="3" spans="1:43">
      <c r="A3" s="182">
        <f>A2+1</f>
        <v>2</v>
      </c>
      <c r="B3" s="181" t="s">
        <v>876</v>
      </c>
      <c r="C3" s="182">
        <v>5</v>
      </c>
      <c r="D3" s="181">
        <v>45413</v>
      </c>
      <c r="E3" s="188">
        <f>YEAR(D3)</f>
        <v>2024</v>
      </c>
      <c r="F3" s="183" t="s">
        <v>874</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877</v>
      </c>
      <c r="AQ3" s="164">
        <f>AQ2*24</f>
        <v>84.480000000000018</v>
      </c>
    </row>
    <row r="4" spans="1:43">
      <c r="A4" s="182">
        <f t="shared" ref="A4:A25" si="6">A3+1</f>
        <v>3</v>
      </c>
      <c r="B4" s="181" t="s">
        <v>878</v>
      </c>
      <c r="C4" s="182">
        <v>6</v>
      </c>
      <c r="D4" s="181">
        <v>45444</v>
      </c>
      <c r="E4" s="183">
        <f t="shared" ref="E4:E23" si="7">YEAR(D4)</f>
        <v>2024</v>
      </c>
      <c r="F4" s="183" t="s">
        <v>874</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879</v>
      </c>
      <c r="C5" s="182">
        <v>7</v>
      </c>
      <c r="D5" s="181">
        <v>45474</v>
      </c>
      <c r="E5" s="188">
        <f t="shared" si="7"/>
        <v>2024</v>
      </c>
      <c r="F5" s="183" t="s">
        <v>874</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880</v>
      </c>
      <c r="C6" s="182">
        <v>8</v>
      </c>
      <c r="D6" s="181">
        <v>45505</v>
      </c>
      <c r="E6" s="183">
        <f t="shared" si="7"/>
        <v>2024</v>
      </c>
      <c r="F6" s="183" t="s">
        <v>874</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881</v>
      </c>
      <c r="C7" s="182">
        <v>9</v>
      </c>
      <c r="D7" s="181">
        <v>45536</v>
      </c>
      <c r="E7" s="188">
        <f t="shared" si="7"/>
        <v>2024</v>
      </c>
      <c r="F7" s="183" t="s">
        <v>874</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882</v>
      </c>
      <c r="C8" s="182">
        <v>10</v>
      </c>
      <c r="D8" s="181">
        <v>45566</v>
      </c>
      <c r="E8" s="183">
        <f t="shared" si="7"/>
        <v>2024</v>
      </c>
      <c r="F8" s="183" t="s">
        <v>874</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883</v>
      </c>
      <c r="C9" s="182">
        <v>11</v>
      </c>
      <c r="D9" s="181">
        <v>45597</v>
      </c>
      <c r="E9" s="188">
        <f t="shared" si="7"/>
        <v>2024</v>
      </c>
      <c r="F9" s="183" t="s">
        <v>874</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884</v>
      </c>
      <c r="C10" s="182">
        <v>12</v>
      </c>
      <c r="D10" s="181">
        <v>45627</v>
      </c>
      <c r="E10" s="183">
        <f t="shared" si="7"/>
        <v>2024</v>
      </c>
      <c r="F10" s="183" t="s">
        <v>874</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885</v>
      </c>
      <c r="C11" s="182">
        <v>1</v>
      </c>
      <c r="D11" s="181">
        <v>45658</v>
      </c>
      <c r="E11" s="188">
        <f t="shared" si="7"/>
        <v>2025</v>
      </c>
      <c r="F11" s="183" t="s">
        <v>874</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886</v>
      </c>
      <c r="C12" s="182">
        <v>2</v>
      </c>
      <c r="D12" s="181">
        <v>45689</v>
      </c>
      <c r="E12" s="183">
        <f t="shared" si="7"/>
        <v>2025</v>
      </c>
      <c r="F12" s="183" t="s">
        <v>874</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887</v>
      </c>
      <c r="C13" s="182">
        <f>C2</f>
        <v>4</v>
      </c>
      <c r="D13" s="181">
        <v>45717</v>
      </c>
      <c r="E13" s="188">
        <f t="shared" si="7"/>
        <v>2025</v>
      </c>
      <c r="F13" s="183" t="s">
        <v>874</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888</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888</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888</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888</v>
      </c>
      <c r="G17" s="182">
        <f t="shared" si="8"/>
        <v>31</v>
      </c>
      <c r="H17" s="189"/>
      <c r="I17" s="189"/>
      <c r="J17" s="185">
        <f t="shared" si="11"/>
        <v>8.18</v>
      </c>
      <c r="K17" s="189"/>
      <c r="L17" s="182"/>
      <c r="M17" s="191">
        <v>29880.378206778336</v>
      </c>
      <c r="N17" s="191">
        <v>70.2</v>
      </c>
      <c r="O17" s="192"/>
      <c r="P17" s="190"/>
      <c r="Q17" s="182">
        <f>COUNTIFS('Daily KPI'!$D:$D,D17,'Daily KPI'!$M:$M,"&gt;0")</f>
        <v>27</v>
      </c>
      <c r="R17" s="191"/>
      <c r="S17" s="191"/>
      <c r="T17" s="190">
        <f t="shared" si="0"/>
        <v>963.88316796059144</v>
      </c>
      <c r="U17" s="191">
        <f t="shared" si="1"/>
        <v>26024.845534935968</v>
      </c>
      <c r="V17" s="191">
        <f>SUMIF($F$2:F17,F17,$U$2:U17)</f>
        <v>99176.113568039436</v>
      </c>
      <c r="W17" s="192">
        <f t="shared" si="2"/>
        <v>0.57210539408867012</v>
      </c>
      <c r="X17" s="192">
        <f t="shared" si="3"/>
        <v>0.57210539408867001</v>
      </c>
      <c r="Y17" s="192">
        <f t="shared" si="4"/>
        <v>0.49885775089755374</v>
      </c>
      <c r="Z17" s="190">
        <f>IFERROR(AVERAGEIF('Daily KPI'!D:D,Table14[[#This Row],[Month]],'Daily KPI'!AB:AB),"")</f>
        <v>70.200000000000031</v>
      </c>
      <c r="AA17" s="189">
        <f>IFERROR(AVERAGEIF($F$2:F17,F17,$Z$2:Z17),"")</f>
        <v>70.200000000000031</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888</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99176.113568039436</v>
      </c>
      <c r="W18" s="187">
        <f t="shared" si="2"/>
        <v>0.53165349753694591</v>
      </c>
      <c r="X18" s="187" t="str">
        <f t="shared" si="3"/>
        <v/>
      </c>
      <c r="Y18" s="187">
        <f t="shared" si="4"/>
        <v>0.49885775089755374</v>
      </c>
      <c r="Z18" s="185" t="str">
        <f>IFERROR(AVERAGEIF('Daily KPI'!D:D,Table14[[#This Row],[Month]],'Daily KPI'!AB:AB),"")</f>
        <v/>
      </c>
      <c r="AA18" s="184">
        <f>IFERROR(AVERAGEIF($F$2:F18,F18,$Z$2:Z18),"")</f>
        <v>70.200000000000031</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888</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99176.113568039436</v>
      </c>
      <c r="W19" s="192">
        <f t="shared" si="2"/>
        <v>0.31398376847290649</v>
      </c>
      <c r="X19" s="192" t="str">
        <f t="shared" si="3"/>
        <v/>
      </c>
      <c r="Y19" s="192">
        <f t="shared" si="4"/>
        <v>0.49885775089755374</v>
      </c>
      <c r="Z19" s="190" t="str">
        <f>IFERROR(AVERAGEIF('Daily KPI'!D:D,Table14[[#This Row],[Month]],'Daily KPI'!AB:AB),"")</f>
        <v/>
      </c>
      <c r="AA19" s="189">
        <f>IFERROR(AVERAGEIF($F$2:F19,F19,$Z$2:Z19),"")</f>
        <v>70.200000000000031</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888</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99176.113568039436</v>
      </c>
      <c r="W20" s="187">
        <f t="shared" si="2"/>
        <v>0.21574344827586206</v>
      </c>
      <c r="X20" s="187" t="str">
        <f t="shared" si="3"/>
        <v/>
      </c>
      <c r="Y20" s="187">
        <f t="shared" si="4"/>
        <v>0.49885775089755374</v>
      </c>
      <c r="Z20" s="185" t="str">
        <f>IFERROR(AVERAGEIF('Daily KPI'!D:D,Table14[[#This Row],[Month]],'Daily KPI'!AB:AB),"")</f>
        <v/>
      </c>
      <c r="AA20" s="184">
        <f>IFERROR(AVERAGEIF($F$2:F20,F20,$Z$2:Z20),"")</f>
        <v>70.200000000000031</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888</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99176.113568039436</v>
      </c>
      <c r="W21" s="192">
        <f t="shared" si="2"/>
        <v>0.24078509852216753</v>
      </c>
      <c r="X21" s="192" t="str">
        <f t="shared" si="3"/>
        <v/>
      </c>
      <c r="Y21" s="192">
        <f t="shared" si="4"/>
        <v>0.49885775089755374</v>
      </c>
      <c r="Z21" s="190" t="str">
        <f>IFERROR(AVERAGEIF('Daily KPI'!D:D,Table14[[#This Row],[Month]],'Daily KPI'!AB:AB),"")</f>
        <v/>
      </c>
      <c r="AA21" s="189">
        <f>IFERROR(AVERAGEIF($F$2:F21,F21,$Z$2:Z21),"")</f>
        <v>70.200000000000031</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888</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99176.113568039436</v>
      </c>
      <c r="W22" s="187">
        <f t="shared" si="2"/>
        <v>0.34095169950738929</v>
      </c>
      <c r="X22" s="187" t="str">
        <f t="shared" si="3"/>
        <v/>
      </c>
      <c r="Y22" s="187">
        <f t="shared" si="4"/>
        <v>0.49885775089755374</v>
      </c>
      <c r="Z22" s="185" t="str">
        <f>IFERROR(AVERAGEIF('Daily KPI'!D:D,Table14[[#This Row],[Month]],'Daily KPI'!AB:AB),"")</f>
        <v/>
      </c>
      <c r="AA22" s="184">
        <f>IFERROR(AVERAGEIF($F$2:F22,F22,$Z$2:Z22),"")</f>
        <v>70.200000000000031</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888</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99176.113568039436</v>
      </c>
      <c r="W23" s="192">
        <f t="shared" si="2"/>
        <v>0.36406706896551722</v>
      </c>
      <c r="X23" s="192" t="str">
        <f t="shared" si="3"/>
        <v/>
      </c>
      <c r="Y23" s="192">
        <f t="shared" si="4"/>
        <v>0.49885775089755374</v>
      </c>
      <c r="Z23" s="190" t="str">
        <f>IFERROR(AVERAGEIF('Daily KPI'!D:D,Table14[[#This Row],[Month]],'Daily KPI'!AB:AB),"")</f>
        <v/>
      </c>
      <c r="AA23" s="189">
        <f>IFERROR(AVERAGEIF($F$2:F23,F23,$Z$2:Z23),"")</f>
        <v>70.200000000000031</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888</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99176.113568039436</v>
      </c>
      <c r="W24" s="187">
        <f t="shared" si="2"/>
        <v>0.31013120689655177</v>
      </c>
      <c r="X24" s="187" t="str">
        <f t="shared" si="3"/>
        <v/>
      </c>
      <c r="Y24" s="187">
        <f t="shared" si="4"/>
        <v>0.49885775089755374</v>
      </c>
      <c r="Z24" s="185" t="str">
        <f>IFERROR(AVERAGEIF('Daily KPI'!D:D,Table14[[#This Row],[Month]],'Daily KPI'!AB:AB),"")</f>
        <v/>
      </c>
      <c r="AA24" s="184">
        <f>IFERROR(AVERAGEIF($F$2:F24,F24,$Z$2:Z24),"")</f>
        <v>70.200000000000031</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888</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99176.113568039436</v>
      </c>
      <c r="W25" s="192">
        <f t="shared" si="2"/>
        <v>0.3736984729064039</v>
      </c>
      <c r="X25" s="192" t="str">
        <f t="shared" si="3"/>
        <v/>
      </c>
      <c r="Y25" s="192">
        <f t="shared" si="4"/>
        <v>0.49885775089755374</v>
      </c>
      <c r="Z25" s="190" t="str">
        <f>IFERROR(AVERAGEIF('Daily KPI'!D:D,Table14[[#This Row],[Month]],'Daily KPI'!AB:AB),"")</f>
        <v/>
      </c>
      <c r="AA25" s="189">
        <f>IFERROR(AVERAGEIF($F$2:F25,F25,$Z$2:Z25),"")</f>
        <v>70.200000000000031</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5546875" defaultRowHeight="14.45"/>
  <cols>
    <col min="2" max="2" width="9.42578125" style="1"/>
    <col min="6" max="6" width="89.42578125" bestFit="1" customWidth="1"/>
    <col min="12" max="12" width="10.42578125" customWidth="1"/>
    <col min="15" max="15" width="11.42578125" customWidth="1"/>
    <col min="16" max="16" width="10.42578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30"/>
      <c r="F19" s="371"/>
      <c r="O19" s="2"/>
    </row>
    <row r="20" spans="3:18">
      <c r="C20" s="86"/>
      <c r="E20" s="230"/>
      <c r="F20" s="371"/>
    </row>
    <row r="21" spans="3:18">
      <c r="C21" s="86"/>
      <c r="E21" s="230"/>
      <c r="F21" s="371"/>
      <c r="Q21" s="80"/>
      <c r="R21" s="80"/>
    </row>
    <row r="22" spans="3:18">
      <c r="C22" s="86"/>
      <c r="E22" s="230"/>
      <c r="F22" s="371"/>
      <c r="Q22" s="80"/>
      <c r="R22" s="80"/>
    </row>
    <row r="23" spans="3:18">
      <c r="C23" s="86"/>
      <c r="E23" s="230"/>
      <c r="F23" s="371"/>
      <c r="Q23" s="80"/>
      <c r="R23" s="80"/>
    </row>
    <row r="24" spans="3:18">
      <c r="C24" s="86"/>
      <c r="E24" s="230"/>
      <c r="F24" s="371"/>
      <c r="Q24" s="80"/>
      <c r="R24" s="80"/>
    </row>
    <row r="25" spans="3:18">
      <c r="C25" s="86"/>
      <c r="E25" s="230"/>
      <c r="F25" s="371"/>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bottomRight" activeCell="E4" sqref="E4"/>
      <selection pane="bottomLeft" activeCell="H200" sqref="H200"/>
      <selection pane="topRight" activeCell="H200" sqref="H200"/>
    </sheetView>
  </sheetViews>
  <sheetFormatPr defaultColWidth="8.42578125" defaultRowHeight="14.45"/>
  <cols>
    <col min="1" max="1" width="2.42578125" customWidth="1"/>
    <col min="2" max="2" width="10.42578125" bestFit="1" customWidth="1"/>
    <col min="3" max="3" width="10.42578125" style="1" bestFit="1" customWidth="1"/>
    <col min="7" max="7" width="10.42578125" customWidth="1"/>
    <col min="9" max="9" width="11.42578125" bestFit="1" customWidth="1"/>
    <col min="10" max="12" width="8.42578125" style="1"/>
    <col min="16" max="16" width="8.42578125" style="110"/>
    <col min="23" max="23" width="6.42578125" style="1" bestFit="1" customWidth="1"/>
    <col min="24" max="24" width="4.42578125" style="1" customWidth="1"/>
    <col min="25" max="25" width="17.42578125" style="1" bestFit="1" customWidth="1"/>
    <col min="26" max="26" width="18.42578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15">
      <c r="B2" s="24" t="s">
        <v>71</v>
      </c>
      <c r="C2" s="25" t="s">
        <v>839</v>
      </c>
      <c r="D2" s="25" t="s">
        <v>45</v>
      </c>
      <c r="E2" s="25" t="s">
        <v>240</v>
      </c>
      <c r="F2" s="26" t="s">
        <v>46</v>
      </c>
      <c r="G2" s="26" t="s">
        <v>889</v>
      </c>
      <c r="H2" s="26" t="s">
        <v>890</v>
      </c>
      <c r="I2" s="26" t="s">
        <v>891</v>
      </c>
      <c r="J2" s="26" t="s">
        <v>892</v>
      </c>
      <c r="K2" s="26" t="s">
        <v>862</v>
      </c>
      <c r="L2" s="26" t="s">
        <v>863</v>
      </c>
      <c r="M2" s="26" t="s">
        <v>31</v>
      </c>
      <c r="N2" s="26" t="s">
        <v>32</v>
      </c>
      <c r="O2" s="26" t="s">
        <v>33</v>
      </c>
      <c r="P2" s="108" t="s">
        <v>893</v>
      </c>
      <c r="Q2" s="106" t="s">
        <v>894</v>
      </c>
      <c r="R2" s="106" t="s">
        <v>895</v>
      </c>
      <c r="W2" s="242" t="s">
        <v>240</v>
      </c>
      <c r="X2" s="242" t="s">
        <v>46</v>
      </c>
      <c r="Y2" s="242" t="s">
        <v>896</v>
      </c>
      <c r="Z2" s="242" t="s">
        <v>897</v>
      </c>
      <c r="AA2" s="105" t="s">
        <v>898</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2">
        <v>4</v>
      </c>
      <c r="X3" s="242">
        <v>30</v>
      </c>
      <c r="Y3" s="372">
        <v>8.2899999999999991</v>
      </c>
      <c r="Z3" s="239">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2">
        <v>5</v>
      </c>
      <c r="X4" s="242">
        <v>31</v>
      </c>
      <c r="Y4" s="372">
        <v>9.1</v>
      </c>
      <c r="Z4" s="239">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2">
        <v>6</v>
      </c>
      <c r="X5" s="242">
        <v>30</v>
      </c>
      <c r="Y5" s="372">
        <v>8.23</v>
      </c>
      <c r="Z5" s="239">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2">
        <v>7</v>
      </c>
      <c r="X6" s="242">
        <v>31</v>
      </c>
      <c r="Y6" s="372">
        <v>9.35</v>
      </c>
      <c r="Z6" s="239">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2">
        <v>8</v>
      </c>
      <c r="X7" s="242">
        <v>31</v>
      </c>
      <c r="Y7" s="372">
        <v>8.4700000000000006</v>
      </c>
      <c r="Z7" s="239">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2">
        <v>9</v>
      </c>
      <c r="X8" s="242">
        <v>30</v>
      </c>
      <c r="Y8" s="372">
        <v>7.08</v>
      </c>
      <c r="Z8" s="239">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2">
        <v>10</v>
      </c>
      <c r="X9" s="242">
        <v>31</v>
      </c>
      <c r="Y9" s="372">
        <v>5.65</v>
      </c>
      <c r="Z9" s="239">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2">
        <v>11</v>
      </c>
      <c r="X10" s="242">
        <v>30</v>
      </c>
      <c r="Y10" s="372">
        <v>5.59</v>
      </c>
      <c r="Z10" s="239">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2">
        <v>12</v>
      </c>
      <c r="X11" s="242">
        <v>31</v>
      </c>
      <c r="Y11" s="372">
        <v>6.99</v>
      </c>
      <c r="Z11" s="239">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2">
        <v>1</v>
      </c>
      <c r="X12" s="242">
        <v>31</v>
      </c>
      <c r="Y12" s="372">
        <v>6.74</v>
      </c>
      <c r="Z12" s="239">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2">
        <v>2</v>
      </c>
      <c r="X13" s="242">
        <v>28</v>
      </c>
      <c r="Y13" s="372">
        <v>7.3</v>
      </c>
      <c r="Z13" s="239">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2">
        <v>3</v>
      </c>
      <c r="X14" s="242">
        <v>31</v>
      </c>
      <c r="Y14" s="372">
        <v>7.28</v>
      </c>
      <c r="Z14" s="239">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2"/>
      <c r="X15" s="242"/>
      <c r="Y15" s="373">
        <f>AVERAGE(Y3:Y14)</f>
        <v>7.5058333333333316</v>
      </c>
      <c r="Z15" s="239">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2578125" defaultRowHeight="14.45"/>
  <cols>
    <col min="1" max="1" width="12.42578125" customWidth="1"/>
    <col min="2" max="2" width="11" customWidth="1"/>
    <col min="3" max="3" width="10.42578125" customWidth="1"/>
    <col min="5" max="5" width="23" bestFit="1" customWidth="1"/>
    <col min="6" max="6" width="10.42578125" customWidth="1"/>
    <col min="7" max="7" width="11.42578125" customWidth="1"/>
    <col min="8" max="8" width="10.42578125" customWidth="1"/>
    <col min="10" max="10" width="14" customWidth="1"/>
    <col min="11" max="11" width="11.42578125" style="1" bestFit="1" customWidth="1"/>
    <col min="16" max="16" width="26.42578125" bestFit="1" customWidth="1"/>
    <col min="17" max="17" width="24.42578125" bestFit="1" customWidth="1"/>
    <col min="18" max="18" width="24.140625" bestFit="1" customWidth="1"/>
    <col min="21" max="21" width="74.42578125" bestFit="1" customWidth="1"/>
    <col min="27" max="27" width="9.42578125" bestFit="1" customWidth="1"/>
    <col min="28" max="28" width="52.42578125" bestFit="1" customWidth="1"/>
    <col min="29" max="29" width="6.42578125" bestFit="1" customWidth="1"/>
    <col min="30" max="30" width="22" bestFit="1" customWidth="1"/>
    <col min="32" max="32" width="11" bestFit="1" customWidth="1"/>
    <col min="33" max="33" width="6.42578125" bestFit="1" customWidth="1"/>
    <col min="34" max="34" width="11.42578125" bestFit="1" customWidth="1"/>
    <col min="35" max="35" width="10.42578125" bestFit="1" customWidth="1"/>
    <col min="36" max="36" width="23.42578125" bestFit="1" customWidth="1"/>
  </cols>
  <sheetData>
    <row r="1" spans="1:36">
      <c r="AA1" s="131" t="s">
        <v>899</v>
      </c>
      <c r="AB1" s="131" t="s">
        <v>900</v>
      </c>
      <c r="AC1" s="131" t="s">
        <v>901</v>
      </c>
      <c r="AD1" s="131" t="s">
        <v>902</v>
      </c>
      <c r="AE1" s="131" t="s">
        <v>903</v>
      </c>
      <c r="AF1" s="131" t="s">
        <v>904</v>
      </c>
      <c r="AG1" s="131" t="s">
        <v>905</v>
      </c>
      <c r="AH1" s="131" t="s">
        <v>906</v>
      </c>
      <c r="AI1" s="131" t="s">
        <v>907</v>
      </c>
      <c r="AJ1" s="131" t="s">
        <v>908</v>
      </c>
    </row>
    <row r="2" spans="1:36">
      <c r="B2" t="s">
        <v>909</v>
      </c>
      <c r="C2" t="s">
        <v>243</v>
      </c>
      <c r="D2" t="s">
        <v>898</v>
      </c>
      <c r="E2" t="s">
        <v>910</v>
      </c>
      <c r="F2" t="s">
        <v>911</v>
      </c>
      <c r="G2" t="s">
        <v>912</v>
      </c>
      <c r="H2" t="s">
        <v>148</v>
      </c>
      <c r="I2" t="s">
        <v>913</v>
      </c>
      <c r="P2" s="357" t="s">
        <v>258</v>
      </c>
      <c r="Q2" s="357"/>
      <c r="R2" s="357"/>
      <c r="U2" t="s">
        <v>914</v>
      </c>
      <c r="AA2" s="131">
        <v>0</v>
      </c>
      <c r="AB2" s="131" t="s">
        <v>915</v>
      </c>
      <c r="AC2" s="131">
        <v>0</v>
      </c>
      <c r="AD2" s="131" t="s">
        <v>915</v>
      </c>
      <c r="AE2" s="131" t="s">
        <v>916</v>
      </c>
      <c r="AF2" s="131">
        <v>0</v>
      </c>
      <c r="AG2" s="131"/>
      <c r="AH2" s="131">
        <v>20</v>
      </c>
      <c r="AI2" s="131">
        <v>32</v>
      </c>
      <c r="AJ2" s="131"/>
    </row>
    <row r="3" spans="1:36">
      <c r="A3" t="s">
        <v>115</v>
      </c>
      <c r="B3" s="19" t="s">
        <v>917</v>
      </c>
      <c r="C3" t="s">
        <v>918</v>
      </c>
      <c r="D3" s="1">
        <v>2.7</v>
      </c>
      <c r="E3" s="20">
        <f>D3/$K$3</f>
        <v>3.846153846153845E-2</v>
      </c>
      <c r="F3" t="s">
        <v>639</v>
      </c>
      <c r="G3" s="374" t="s">
        <v>919</v>
      </c>
      <c r="H3" s="92" t="s">
        <v>115</v>
      </c>
      <c r="J3" t="s">
        <v>872</v>
      </c>
      <c r="K3" s="1">
        <f>SUM(D3:D28)</f>
        <v>70.200000000000031</v>
      </c>
      <c r="N3" t="s">
        <v>549</v>
      </c>
      <c r="P3" t="s">
        <v>920</v>
      </c>
      <c r="Q3" t="s">
        <v>921</v>
      </c>
      <c r="R3" t="s">
        <v>922</v>
      </c>
      <c r="U3" t="s">
        <v>278</v>
      </c>
      <c r="AA3" s="131">
        <v>10</v>
      </c>
      <c r="AB3" s="131" t="s">
        <v>923</v>
      </c>
      <c r="AC3" s="131">
        <v>240</v>
      </c>
      <c r="AD3" s="131" t="s">
        <v>924</v>
      </c>
      <c r="AE3" s="131" t="s">
        <v>916</v>
      </c>
      <c r="AF3" s="131">
        <v>50</v>
      </c>
      <c r="AG3" s="131"/>
      <c r="AH3" s="131">
        <v>10</v>
      </c>
      <c r="AI3" s="131">
        <v>5</v>
      </c>
      <c r="AJ3" s="131"/>
    </row>
    <row r="4" spans="1:36" ht="15" thickBot="1">
      <c r="A4" t="s">
        <v>116</v>
      </c>
      <c r="B4" s="19" t="s">
        <v>917</v>
      </c>
      <c r="C4" t="s">
        <v>918</v>
      </c>
      <c r="D4" s="1">
        <v>2.7</v>
      </c>
      <c r="E4" s="20">
        <f t="shared" ref="E4:E67" si="0">D4/$K$3</f>
        <v>3.846153846153845E-2</v>
      </c>
      <c r="F4" t="s">
        <v>639</v>
      </c>
      <c r="G4" s="374" t="s">
        <v>919</v>
      </c>
      <c r="H4" s="92" t="s">
        <v>116</v>
      </c>
      <c r="K4" s="104">
        <v>43</v>
      </c>
      <c r="N4" t="s">
        <v>268</v>
      </c>
      <c r="P4" s="98" t="s">
        <v>269</v>
      </c>
      <c r="Q4" s="98" t="s">
        <v>754</v>
      </c>
      <c r="R4" s="98" t="s">
        <v>925</v>
      </c>
      <c r="U4" t="s">
        <v>266</v>
      </c>
      <c r="AA4" s="131">
        <v>11</v>
      </c>
      <c r="AB4" s="131" t="s">
        <v>926</v>
      </c>
      <c r="AC4" s="131" t="s">
        <v>927</v>
      </c>
      <c r="AD4" s="131" t="s">
        <v>927</v>
      </c>
      <c r="AE4" s="131" t="s">
        <v>916</v>
      </c>
      <c r="AF4" s="131">
        <v>50</v>
      </c>
      <c r="AG4" s="131"/>
      <c r="AH4" s="131">
        <v>10</v>
      </c>
      <c r="AI4" s="131">
        <v>6</v>
      </c>
      <c r="AJ4" s="131"/>
    </row>
    <row r="5" spans="1:36" ht="15" thickBot="1">
      <c r="A5" t="s">
        <v>117</v>
      </c>
      <c r="B5" s="19" t="s">
        <v>917</v>
      </c>
      <c r="C5" t="s">
        <v>918</v>
      </c>
      <c r="D5" s="1">
        <v>2.7</v>
      </c>
      <c r="E5" s="20">
        <f t="shared" si="0"/>
        <v>3.846153846153845E-2</v>
      </c>
      <c r="F5" t="s">
        <v>639</v>
      </c>
      <c r="G5" s="374" t="s">
        <v>919</v>
      </c>
      <c r="H5" s="92" t="s">
        <v>117</v>
      </c>
      <c r="P5" s="98" t="s">
        <v>296</v>
      </c>
      <c r="Q5" s="98" t="s">
        <v>637</v>
      </c>
      <c r="R5" s="98" t="s">
        <v>928</v>
      </c>
      <c r="U5" t="s">
        <v>456</v>
      </c>
      <c r="AA5" s="131">
        <v>16</v>
      </c>
      <c r="AB5" s="131" t="s">
        <v>929</v>
      </c>
      <c r="AC5" s="131" t="s">
        <v>927</v>
      </c>
      <c r="AD5" s="131" t="s">
        <v>927</v>
      </c>
      <c r="AE5" s="131" t="s">
        <v>916</v>
      </c>
      <c r="AF5" s="131">
        <v>50</v>
      </c>
      <c r="AG5" s="131"/>
      <c r="AH5" s="131">
        <v>20</v>
      </c>
      <c r="AI5" s="131">
        <v>6</v>
      </c>
      <c r="AJ5" s="131"/>
    </row>
    <row r="6" spans="1:36" ht="15" thickBot="1">
      <c r="A6" t="s">
        <v>118</v>
      </c>
      <c r="B6" s="19" t="s">
        <v>917</v>
      </c>
      <c r="C6" t="s">
        <v>918</v>
      </c>
      <c r="D6" s="1">
        <v>2.7</v>
      </c>
      <c r="E6" s="20">
        <f t="shared" si="0"/>
        <v>3.846153846153845E-2</v>
      </c>
      <c r="F6" t="s">
        <v>647</v>
      </c>
      <c r="G6" s="374" t="s">
        <v>919</v>
      </c>
      <c r="H6" t="s">
        <v>118</v>
      </c>
      <c r="P6" s="98" t="s">
        <v>273</v>
      </c>
      <c r="Q6" s="98" t="s">
        <v>930</v>
      </c>
      <c r="R6" s="98" t="s">
        <v>931</v>
      </c>
      <c r="U6" t="s">
        <v>400</v>
      </c>
      <c r="AA6" s="131">
        <v>20</v>
      </c>
      <c r="AB6" s="131" t="s">
        <v>932</v>
      </c>
      <c r="AC6" s="131">
        <v>13</v>
      </c>
      <c r="AD6" s="131" t="s">
        <v>933</v>
      </c>
      <c r="AE6" s="131" t="s">
        <v>916</v>
      </c>
      <c r="AF6" s="131">
        <v>60</v>
      </c>
      <c r="AG6" s="131"/>
      <c r="AH6" s="131">
        <v>30</v>
      </c>
      <c r="AI6" s="131">
        <v>9</v>
      </c>
      <c r="AJ6" s="131"/>
    </row>
    <row r="7" spans="1:36" ht="15" thickBot="1">
      <c r="A7" t="s">
        <v>119</v>
      </c>
      <c r="B7" s="19" t="s">
        <v>917</v>
      </c>
      <c r="C7" t="s">
        <v>918</v>
      </c>
      <c r="D7" s="1">
        <v>2.7</v>
      </c>
      <c r="E7" s="20">
        <f t="shared" si="0"/>
        <v>3.846153846153845E-2</v>
      </c>
      <c r="F7" t="s">
        <v>639</v>
      </c>
      <c r="G7" s="374" t="s">
        <v>919</v>
      </c>
      <c r="H7" s="92" t="s">
        <v>119</v>
      </c>
      <c r="P7" s="98" t="s">
        <v>531</v>
      </c>
      <c r="Q7" s="98" t="s">
        <v>934</v>
      </c>
      <c r="R7" s="98" t="s">
        <v>935</v>
      </c>
      <c r="U7" t="s">
        <v>291</v>
      </c>
      <c r="AA7" s="131">
        <v>21</v>
      </c>
      <c r="AB7" s="131" t="s">
        <v>936</v>
      </c>
      <c r="AC7" s="131">
        <v>11</v>
      </c>
      <c r="AD7" s="131" t="s">
        <v>937</v>
      </c>
      <c r="AE7" s="131" t="s">
        <v>916</v>
      </c>
      <c r="AF7" s="131">
        <v>60</v>
      </c>
      <c r="AG7" s="131"/>
      <c r="AH7" s="131">
        <v>0</v>
      </c>
      <c r="AI7" s="131">
        <v>30</v>
      </c>
      <c r="AJ7" s="131"/>
    </row>
    <row r="8" spans="1:36" ht="15" thickBot="1">
      <c r="A8" t="s">
        <v>120</v>
      </c>
      <c r="B8" s="19" t="s">
        <v>917</v>
      </c>
      <c r="C8" t="s">
        <v>918</v>
      </c>
      <c r="D8" s="1">
        <v>2.7</v>
      </c>
      <c r="E8" s="20">
        <f t="shared" si="0"/>
        <v>3.846153846153845E-2</v>
      </c>
      <c r="F8" t="s">
        <v>647</v>
      </c>
      <c r="G8" s="374" t="s">
        <v>919</v>
      </c>
      <c r="H8" t="s">
        <v>120</v>
      </c>
      <c r="P8" s="98" t="s">
        <v>546</v>
      </c>
      <c r="U8" t="s">
        <v>938</v>
      </c>
      <c r="AA8" s="131">
        <v>25</v>
      </c>
      <c r="AB8" s="131" t="s">
        <v>939</v>
      </c>
      <c r="AC8" s="131" t="s">
        <v>927</v>
      </c>
      <c r="AD8" s="131" t="s">
        <v>927</v>
      </c>
      <c r="AE8" s="131" t="s">
        <v>916</v>
      </c>
      <c r="AF8" s="131">
        <v>60</v>
      </c>
      <c r="AG8" s="131" t="s">
        <v>940</v>
      </c>
      <c r="AH8" s="131">
        <v>30</v>
      </c>
      <c r="AI8" s="131">
        <v>9</v>
      </c>
      <c r="AJ8" s="131"/>
    </row>
    <row r="9" spans="1:36">
      <c r="A9" t="s">
        <v>121</v>
      </c>
      <c r="B9" s="19" t="s">
        <v>917</v>
      </c>
      <c r="C9" t="s">
        <v>918</v>
      </c>
      <c r="D9" s="1">
        <v>2.7</v>
      </c>
      <c r="E9" s="20">
        <f t="shared" si="0"/>
        <v>3.846153846153845E-2</v>
      </c>
      <c r="F9" t="s">
        <v>647</v>
      </c>
      <c r="G9" s="374" t="s">
        <v>919</v>
      </c>
      <c r="H9" t="s">
        <v>121</v>
      </c>
      <c r="U9" t="s">
        <v>477</v>
      </c>
      <c r="AA9" s="131">
        <v>28</v>
      </c>
      <c r="AB9" s="131" t="s">
        <v>941</v>
      </c>
      <c r="AC9" s="131" t="s">
        <v>927</v>
      </c>
      <c r="AD9" s="131" t="s">
        <v>927</v>
      </c>
      <c r="AE9" s="131" t="s">
        <v>916</v>
      </c>
      <c r="AF9" s="131">
        <v>52</v>
      </c>
      <c r="AG9" s="131"/>
      <c r="AH9" s="131">
        <v>20</v>
      </c>
      <c r="AI9" s="131">
        <v>9</v>
      </c>
      <c r="AJ9" s="131"/>
    </row>
    <row r="10" spans="1:36">
      <c r="A10" t="s">
        <v>122</v>
      </c>
      <c r="B10" s="19" t="s">
        <v>917</v>
      </c>
      <c r="C10" t="s">
        <v>918</v>
      </c>
      <c r="D10" s="1">
        <v>2.7</v>
      </c>
      <c r="E10" s="20">
        <f t="shared" si="0"/>
        <v>3.846153846153845E-2</v>
      </c>
      <c r="F10" t="s">
        <v>647</v>
      </c>
      <c r="G10" s="374" t="s">
        <v>919</v>
      </c>
      <c r="H10" t="s">
        <v>122</v>
      </c>
      <c r="U10" t="s">
        <v>271</v>
      </c>
      <c r="AA10" s="131">
        <v>30</v>
      </c>
      <c r="AB10" s="131" t="s">
        <v>942</v>
      </c>
      <c r="AC10" s="131" t="s">
        <v>927</v>
      </c>
      <c r="AD10" s="131" t="s">
        <v>927</v>
      </c>
      <c r="AE10" s="131" t="s">
        <v>916</v>
      </c>
      <c r="AF10" s="131">
        <v>52</v>
      </c>
      <c r="AG10" s="131"/>
      <c r="AH10" s="131">
        <v>20</v>
      </c>
      <c r="AI10" s="131">
        <v>5</v>
      </c>
      <c r="AJ10" s="131"/>
    </row>
    <row r="11" spans="1:36">
      <c r="A11" t="s">
        <v>123</v>
      </c>
      <c r="B11" s="19" t="s">
        <v>917</v>
      </c>
      <c r="C11" t="s">
        <v>918</v>
      </c>
      <c r="D11" s="1">
        <v>2.7</v>
      </c>
      <c r="E11" s="20">
        <f t="shared" si="0"/>
        <v>3.846153846153845E-2</v>
      </c>
      <c r="F11" t="s">
        <v>639</v>
      </c>
      <c r="G11" s="374" t="s">
        <v>919</v>
      </c>
      <c r="H11" s="92" t="s">
        <v>123</v>
      </c>
      <c r="U11" t="s">
        <v>316</v>
      </c>
      <c r="AA11" s="131">
        <v>45</v>
      </c>
      <c r="AB11" s="131" t="s">
        <v>943</v>
      </c>
      <c r="AC11" s="131" t="s">
        <v>927</v>
      </c>
      <c r="AD11" s="131" t="s">
        <v>927</v>
      </c>
      <c r="AE11" s="131" t="s">
        <v>916</v>
      </c>
      <c r="AF11" s="131">
        <v>0</v>
      </c>
      <c r="AG11" s="131"/>
      <c r="AH11" s="131">
        <v>20</v>
      </c>
      <c r="AI11" s="131">
        <v>27</v>
      </c>
      <c r="AJ11" s="131"/>
    </row>
    <row r="12" spans="1:36">
      <c r="A12" t="s">
        <v>124</v>
      </c>
      <c r="B12" s="19" t="s">
        <v>917</v>
      </c>
      <c r="C12" t="s">
        <v>918</v>
      </c>
      <c r="D12" s="1">
        <v>2.7</v>
      </c>
      <c r="E12" s="20">
        <f t="shared" si="0"/>
        <v>3.846153846153845E-2</v>
      </c>
      <c r="F12" t="s">
        <v>639</v>
      </c>
      <c r="G12" s="374" t="s">
        <v>919</v>
      </c>
      <c r="H12" s="92" t="s">
        <v>124</v>
      </c>
      <c r="U12" t="s">
        <v>324</v>
      </c>
      <c r="AA12" s="131">
        <v>46</v>
      </c>
      <c r="AB12" s="131" t="s">
        <v>944</v>
      </c>
      <c r="AC12" s="131" t="s">
        <v>927</v>
      </c>
      <c r="AD12" s="131" t="s">
        <v>927</v>
      </c>
      <c r="AE12" s="131" t="s">
        <v>945</v>
      </c>
      <c r="AF12" s="131">
        <v>52</v>
      </c>
      <c r="AG12" s="131"/>
      <c r="AH12" s="131">
        <v>20</v>
      </c>
      <c r="AI12" s="131">
        <v>5</v>
      </c>
      <c r="AJ12" s="131" t="s">
        <v>946</v>
      </c>
    </row>
    <row r="13" spans="1:36">
      <c r="A13" t="s">
        <v>125</v>
      </c>
      <c r="B13" s="19" t="s">
        <v>917</v>
      </c>
      <c r="C13" t="s">
        <v>918</v>
      </c>
      <c r="D13" s="1">
        <v>2.7</v>
      </c>
      <c r="E13" s="20">
        <f t="shared" si="0"/>
        <v>3.846153846153845E-2</v>
      </c>
      <c r="F13" t="s">
        <v>639</v>
      </c>
      <c r="G13" s="374" t="s">
        <v>919</v>
      </c>
      <c r="H13" s="92" t="s">
        <v>125</v>
      </c>
      <c r="U13" t="s">
        <v>430</v>
      </c>
      <c r="AA13" s="131">
        <v>47</v>
      </c>
      <c r="AB13" s="131" t="s">
        <v>947</v>
      </c>
      <c r="AC13" s="131" t="s">
        <v>927</v>
      </c>
      <c r="AD13" s="131" t="s">
        <v>927</v>
      </c>
      <c r="AE13" s="131" t="s">
        <v>916</v>
      </c>
      <c r="AF13" s="131">
        <v>52</v>
      </c>
      <c r="AG13" s="131"/>
      <c r="AH13" s="131">
        <v>20</v>
      </c>
      <c r="AI13" s="131">
        <v>5</v>
      </c>
      <c r="AJ13" s="131"/>
    </row>
    <row r="14" spans="1:36">
      <c r="A14" t="s">
        <v>126</v>
      </c>
      <c r="B14" s="19" t="s">
        <v>917</v>
      </c>
      <c r="C14" t="s">
        <v>918</v>
      </c>
      <c r="D14" s="1">
        <v>2.7</v>
      </c>
      <c r="E14" s="20">
        <f t="shared" si="0"/>
        <v>3.846153846153845E-2</v>
      </c>
      <c r="F14" t="s">
        <v>639</v>
      </c>
      <c r="G14" s="374" t="s">
        <v>919</v>
      </c>
      <c r="H14" s="92" t="s">
        <v>126</v>
      </c>
      <c r="U14" t="s">
        <v>395</v>
      </c>
      <c r="AA14" s="131">
        <v>50</v>
      </c>
      <c r="AB14" s="131" t="s">
        <v>948</v>
      </c>
      <c r="AC14" s="131">
        <v>1541</v>
      </c>
      <c r="AD14" s="131" t="s">
        <v>948</v>
      </c>
      <c r="AE14" s="131" t="s">
        <v>916</v>
      </c>
      <c r="AF14" s="131">
        <v>52</v>
      </c>
      <c r="AG14" s="131"/>
      <c r="AH14" s="131">
        <v>20</v>
      </c>
      <c r="AI14" s="131">
        <v>2</v>
      </c>
      <c r="AJ14" s="131"/>
    </row>
    <row r="15" spans="1:36">
      <c r="A15" t="s">
        <v>127</v>
      </c>
      <c r="B15" s="19" t="s">
        <v>917</v>
      </c>
      <c r="C15" t="s">
        <v>918</v>
      </c>
      <c r="D15" s="1">
        <v>2.7</v>
      </c>
      <c r="E15" s="20">
        <f t="shared" si="0"/>
        <v>3.846153846153845E-2</v>
      </c>
      <c r="F15" t="s">
        <v>639</v>
      </c>
      <c r="G15" s="374" t="s">
        <v>919</v>
      </c>
      <c r="H15" s="92" t="s">
        <v>127</v>
      </c>
      <c r="U15" t="s">
        <v>949</v>
      </c>
      <c r="AA15" s="131">
        <v>53</v>
      </c>
      <c r="AB15" s="131" t="s">
        <v>950</v>
      </c>
      <c r="AC15" s="131" t="s">
        <v>927</v>
      </c>
      <c r="AD15" s="131" t="s">
        <v>927</v>
      </c>
      <c r="AE15" s="131" t="s">
        <v>945</v>
      </c>
      <c r="AF15" s="131">
        <v>52</v>
      </c>
      <c r="AG15" s="131"/>
      <c r="AH15" s="131">
        <v>20</v>
      </c>
      <c r="AI15" s="131">
        <v>5</v>
      </c>
      <c r="AJ15" s="131" t="s">
        <v>946</v>
      </c>
    </row>
    <row r="16" spans="1:36">
      <c r="A16" t="s">
        <v>128</v>
      </c>
      <c r="B16" s="19" t="s">
        <v>917</v>
      </c>
      <c r="C16" t="s">
        <v>918</v>
      </c>
      <c r="D16" s="1">
        <v>2.7</v>
      </c>
      <c r="E16" s="20">
        <f t="shared" si="0"/>
        <v>3.846153846153845E-2</v>
      </c>
      <c r="F16" t="s">
        <v>639</v>
      </c>
      <c r="G16" s="374" t="s">
        <v>919</v>
      </c>
      <c r="H16" s="92" t="s">
        <v>128</v>
      </c>
      <c r="U16" t="s">
        <v>300</v>
      </c>
      <c r="AA16" s="131">
        <v>54</v>
      </c>
      <c r="AB16" s="131" t="s">
        <v>951</v>
      </c>
      <c r="AC16" s="131" t="s">
        <v>927</v>
      </c>
      <c r="AD16" s="131" t="s">
        <v>927</v>
      </c>
      <c r="AE16" s="131" t="s">
        <v>916</v>
      </c>
      <c r="AF16" s="131">
        <v>180</v>
      </c>
      <c r="AG16" s="131" t="s">
        <v>940</v>
      </c>
      <c r="AH16" s="131">
        <v>20</v>
      </c>
      <c r="AI16" s="131">
        <v>1</v>
      </c>
      <c r="AJ16" s="131"/>
    </row>
    <row r="17" spans="1:36">
      <c r="A17" t="s">
        <v>129</v>
      </c>
      <c r="B17" s="19" t="s">
        <v>917</v>
      </c>
      <c r="C17" t="s">
        <v>918</v>
      </c>
      <c r="D17" s="1">
        <v>2.7</v>
      </c>
      <c r="E17" s="20">
        <f t="shared" si="0"/>
        <v>3.846153846153845E-2</v>
      </c>
      <c r="F17" t="s">
        <v>639</v>
      </c>
      <c r="G17" s="374" t="s">
        <v>919</v>
      </c>
      <c r="H17" s="92" t="s">
        <v>129</v>
      </c>
      <c r="U17" t="s">
        <v>504</v>
      </c>
      <c r="AA17" s="131">
        <v>55</v>
      </c>
      <c r="AB17" s="131" t="s">
        <v>952</v>
      </c>
      <c r="AC17" s="131">
        <v>1754</v>
      </c>
      <c r="AD17" s="131" t="s">
        <v>953</v>
      </c>
      <c r="AE17" s="131" t="s">
        <v>916</v>
      </c>
      <c r="AF17" s="131">
        <v>52</v>
      </c>
      <c r="AG17" s="131"/>
      <c r="AH17" s="131">
        <v>20</v>
      </c>
      <c r="AI17" s="131">
        <v>1</v>
      </c>
      <c r="AJ17" s="131"/>
    </row>
    <row r="18" spans="1:36">
      <c r="A18" t="s">
        <v>130</v>
      </c>
      <c r="B18" s="19" t="s">
        <v>917</v>
      </c>
      <c r="C18" t="s">
        <v>918</v>
      </c>
      <c r="D18" s="1">
        <v>2.7</v>
      </c>
      <c r="E18" s="20">
        <f t="shared" si="0"/>
        <v>3.846153846153845E-2</v>
      </c>
      <c r="F18" t="s">
        <v>639</v>
      </c>
      <c r="G18" s="374" t="s">
        <v>919</v>
      </c>
      <c r="H18" s="92" t="s">
        <v>130</v>
      </c>
      <c r="AA18" s="131">
        <v>57</v>
      </c>
      <c r="AB18" s="131" t="s">
        <v>954</v>
      </c>
      <c r="AC18" s="131" t="s">
        <v>927</v>
      </c>
      <c r="AD18" s="131" t="s">
        <v>927</v>
      </c>
      <c r="AE18" s="131" t="s">
        <v>916</v>
      </c>
      <c r="AF18" s="131">
        <v>0</v>
      </c>
      <c r="AG18" s="131"/>
      <c r="AH18" s="131">
        <v>20</v>
      </c>
      <c r="AI18" s="131">
        <v>32</v>
      </c>
      <c r="AJ18" s="131"/>
    </row>
    <row r="19" spans="1:36">
      <c r="A19" t="s">
        <v>131</v>
      </c>
      <c r="B19" s="19" t="s">
        <v>917</v>
      </c>
      <c r="C19" t="s">
        <v>918</v>
      </c>
      <c r="D19" s="1">
        <v>2.7</v>
      </c>
      <c r="E19" s="20">
        <f t="shared" si="0"/>
        <v>3.846153846153845E-2</v>
      </c>
      <c r="F19" t="s">
        <v>647</v>
      </c>
      <c r="G19" s="374" t="s">
        <v>919</v>
      </c>
      <c r="H19" t="s">
        <v>131</v>
      </c>
      <c r="AA19" s="131">
        <v>58</v>
      </c>
      <c r="AB19" s="131" t="s">
        <v>955</v>
      </c>
      <c r="AC19" s="131" t="s">
        <v>927</v>
      </c>
      <c r="AD19" s="131" t="s">
        <v>927</v>
      </c>
      <c r="AE19" s="131" t="s">
        <v>945</v>
      </c>
      <c r="AF19" s="131">
        <v>52</v>
      </c>
      <c r="AG19" s="131"/>
      <c r="AH19" s="131">
        <v>20</v>
      </c>
      <c r="AI19" s="131">
        <v>5</v>
      </c>
      <c r="AJ19" s="131" t="s">
        <v>946</v>
      </c>
    </row>
    <row r="20" spans="1:36">
      <c r="A20" t="s">
        <v>132</v>
      </c>
      <c r="B20" s="19" t="s">
        <v>917</v>
      </c>
      <c r="C20" t="s">
        <v>918</v>
      </c>
      <c r="D20" s="1">
        <v>2.7</v>
      </c>
      <c r="E20" s="20">
        <f t="shared" si="0"/>
        <v>3.846153846153845E-2</v>
      </c>
      <c r="F20" t="s">
        <v>647</v>
      </c>
      <c r="G20" s="374" t="s">
        <v>919</v>
      </c>
      <c r="H20" t="s">
        <v>132</v>
      </c>
      <c r="AA20" s="131">
        <v>59</v>
      </c>
      <c r="AB20" s="131" t="s">
        <v>956</v>
      </c>
      <c r="AC20" s="131" t="s">
        <v>927</v>
      </c>
      <c r="AD20" s="131" t="s">
        <v>927</v>
      </c>
      <c r="AE20" s="131" t="s">
        <v>957</v>
      </c>
      <c r="AF20" s="131">
        <v>0</v>
      </c>
      <c r="AG20" s="131" t="s">
        <v>940</v>
      </c>
      <c r="AH20" s="131">
        <v>20</v>
      </c>
      <c r="AI20" s="131">
        <v>28</v>
      </c>
      <c r="AJ20" s="131"/>
    </row>
    <row r="21" spans="1:36">
      <c r="A21" t="s">
        <v>133</v>
      </c>
      <c r="B21" s="19" t="s">
        <v>917</v>
      </c>
      <c r="C21" t="s">
        <v>918</v>
      </c>
      <c r="D21" s="1">
        <v>2.7</v>
      </c>
      <c r="E21" s="20">
        <f t="shared" si="0"/>
        <v>3.846153846153845E-2</v>
      </c>
      <c r="F21" t="s">
        <v>647</v>
      </c>
      <c r="G21" s="374" t="s">
        <v>919</v>
      </c>
      <c r="H21" t="s">
        <v>133</v>
      </c>
      <c r="AA21" s="131">
        <v>60</v>
      </c>
      <c r="AB21" s="131" t="s">
        <v>958</v>
      </c>
      <c r="AC21" s="131">
        <v>203</v>
      </c>
      <c r="AD21" s="131" t="s">
        <v>958</v>
      </c>
      <c r="AE21" s="131" t="s">
        <v>945</v>
      </c>
      <c r="AF21" s="131">
        <v>52</v>
      </c>
      <c r="AG21" s="131" t="s">
        <v>940</v>
      </c>
      <c r="AH21" s="131">
        <v>0</v>
      </c>
      <c r="AI21" s="131">
        <v>15</v>
      </c>
      <c r="AJ21" s="131" t="s">
        <v>959</v>
      </c>
    </row>
    <row r="22" spans="1:36">
      <c r="A22" t="s">
        <v>134</v>
      </c>
      <c r="B22" s="19" t="s">
        <v>917</v>
      </c>
      <c r="C22" t="s">
        <v>918</v>
      </c>
      <c r="D22" s="1">
        <v>2.7</v>
      </c>
      <c r="E22" s="20">
        <f t="shared" si="0"/>
        <v>3.846153846153845E-2</v>
      </c>
      <c r="F22" t="s">
        <v>639</v>
      </c>
      <c r="G22" s="374" t="s">
        <v>919</v>
      </c>
      <c r="H22" s="92" t="s">
        <v>134</v>
      </c>
      <c r="AA22" s="131">
        <v>61</v>
      </c>
      <c r="AB22" s="131" t="s">
        <v>960</v>
      </c>
      <c r="AC22" s="131">
        <v>202</v>
      </c>
      <c r="AD22" s="131" t="s">
        <v>960</v>
      </c>
      <c r="AE22" s="131" t="s">
        <v>945</v>
      </c>
      <c r="AF22" s="131">
        <v>52</v>
      </c>
      <c r="AG22" s="131" t="s">
        <v>940</v>
      </c>
      <c r="AH22" s="131">
        <v>0</v>
      </c>
      <c r="AI22" s="131">
        <v>15</v>
      </c>
      <c r="AJ22" s="131" t="s">
        <v>959</v>
      </c>
    </row>
    <row r="23" spans="1:36">
      <c r="A23" t="s">
        <v>135</v>
      </c>
      <c r="B23" s="19" t="s">
        <v>917</v>
      </c>
      <c r="C23" t="s">
        <v>918</v>
      </c>
      <c r="D23" s="1">
        <v>2.7</v>
      </c>
      <c r="E23" s="20">
        <f t="shared" si="0"/>
        <v>3.846153846153845E-2</v>
      </c>
      <c r="F23" t="s">
        <v>647</v>
      </c>
      <c r="G23" s="374" t="s">
        <v>919</v>
      </c>
      <c r="H23" t="s">
        <v>135</v>
      </c>
      <c r="AA23" s="131">
        <v>62</v>
      </c>
      <c r="AB23" s="131" t="s">
        <v>961</v>
      </c>
      <c r="AC23" s="131">
        <v>213</v>
      </c>
      <c r="AD23" s="131" t="s">
        <v>961</v>
      </c>
      <c r="AE23" s="131" t="s">
        <v>916</v>
      </c>
      <c r="AF23" s="131">
        <v>20</v>
      </c>
      <c r="AG23" s="131"/>
      <c r="AH23" s="131">
        <v>30</v>
      </c>
      <c r="AI23" s="131">
        <v>28</v>
      </c>
      <c r="AJ23" s="131"/>
    </row>
    <row r="24" spans="1:36">
      <c r="A24" t="s">
        <v>136</v>
      </c>
      <c r="B24" s="19" t="s">
        <v>917</v>
      </c>
      <c r="C24" t="s">
        <v>918</v>
      </c>
      <c r="D24" s="1">
        <v>2.7</v>
      </c>
      <c r="E24" s="20">
        <f t="shared" si="0"/>
        <v>3.846153846153845E-2</v>
      </c>
      <c r="F24" t="s">
        <v>647</v>
      </c>
      <c r="G24" s="374" t="s">
        <v>919</v>
      </c>
      <c r="H24" t="s">
        <v>136</v>
      </c>
      <c r="AA24" s="131">
        <v>64</v>
      </c>
      <c r="AB24" s="131" t="s">
        <v>962</v>
      </c>
      <c r="AC24" s="131">
        <v>250</v>
      </c>
      <c r="AD24" s="131" t="s">
        <v>963</v>
      </c>
      <c r="AE24" s="131" t="s">
        <v>916</v>
      </c>
      <c r="AF24" s="131">
        <v>52</v>
      </c>
      <c r="AG24" s="131"/>
      <c r="AH24" s="131">
        <v>20</v>
      </c>
      <c r="AI24" s="131">
        <v>5</v>
      </c>
      <c r="AJ24" s="131"/>
    </row>
    <row r="25" spans="1:36">
      <c r="A25" t="s">
        <v>137</v>
      </c>
      <c r="B25" s="19" t="s">
        <v>917</v>
      </c>
      <c r="C25" t="s">
        <v>918</v>
      </c>
      <c r="D25" s="1">
        <v>2.7</v>
      </c>
      <c r="E25" s="20">
        <f t="shared" si="0"/>
        <v>3.846153846153845E-2</v>
      </c>
      <c r="F25" t="s">
        <v>647</v>
      </c>
      <c r="G25" s="374" t="s">
        <v>919</v>
      </c>
      <c r="H25" t="s">
        <v>137</v>
      </c>
      <c r="AA25" s="131">
        <v>65</v>
      </c>
      <c r="AB25" s="131" t="s">
        <v>964</v>
      </c>
      <c r="AC25" s="131">
        <v>204</v>
      </c>
      <c r="AD25" s="131" t="s">
        <v>965</v>
      </c>
      <c r="AE25" s="131" t="s">
        <v>916</v>
      </c>
      <c r="AF25" s="131">
        <v>50</v>
      </c>
      <c r="AG25" s="131"/>
      <c r="AH25" s="131">
        <v>20</v>
      </c>
      <c r="AI25" s="131">
        <v>28</v>
      </c>
      <c r="AJ25" s="131"/>
    </row>
    <row r="26" spans="1:36">
      <c r="A26" t="s">
        <v>138</v>
      </c>
      <c r="B26" s="19" t="s">
        <v>917</v>
      </c>
      <c r="C26" t="s">
        <v>918</v>
      </c>
      <c r="D26" s="1">
        <v>2.7</v>
      </c>
      <c r="E26" s="20">
        <f t="shared" si="0"/>
        <v>3.846153846153845E-2</v>
      </c>
      <c r="F26" t="s">
        <v>647</v>
      </c>
      <c r="G26" s="374" t="s">
        <v>919</v>
      </c>
      <c r="H26" t="s">
        <v>138</v>
      </c>
      <c r="AA26" s="131">
        <v>70</v>
      </c>
      <c r="AB26" s="131" t="s">
        <v>966</v>
      </c>
      <c r="AC26" s="131">
        <v>206</v>
      </c>
      <c r="AD26" s="131" t="s">
        <v>967</v>
      </c>
      <c r="AE26" s="131" t="s">
        <v>916</v>
      </c>
      <c r="AF26" s="131">
        <v>0</v>
      </c>
      <c r="AG26" s="131"/>
      <c r="AH26" s="131">
        <v>30</v>
      </c>
      <c r="AI26" s="131">
        <v>28</v>
      </c>
      <c r="AJ26" s="131"/>
    </row>
    <row r="27" spans="1:36">
      <c r="A27" t="s">
        <v>139</v>
      </c>
      <c r="B27" s="19" t="s">
        <v>917</v>
      </c>
      <c r="C27" t="s">
        <v>918</v>
      </c>
      <c r="D27" s="1">
        <v>2.7</v>
      </c>
      <c r="E27" s="20">
        <f t="shared" si="0"/>
        <v>3.846153846153845E-2</v>
      </c>
      <c r="F27" t="s">
        <v>647</v>
      </c>
      <c r="G27" s="374" t="s">
        <v>919</v>
      </c>
      <c r="H27" t="s">
        <v>139</v>
      </c>
      <c r="AA27" s="131">
        <v>71</v>
      </c>
      <c r="AB27" s="131" t="s">
        <v>968</v>
      </c>
      <c r="AC27" s="131">
        <v>200</v>
      </c>
      <c r="AD27" s="131" t="s">
        <v>969</v>
      </c>
      <c r="AE27" s="131" t="s">
        <v>916</v>
      </c>
      <c r="AF27" s="131">
        <v>52</v>
      </c>
      <c r="AG27" s="131"/>
      <c r="AH27" s="131">
        <v>30</v>
      </c>
      <c r="AI27" s="131">
        <v>6</v>
      </c>
      <c r="AJ27" s="131"/>
    </row>
    <row r="28" spans="1:36">
      <c r="A28" t="s">
        <v>140</v>
      </c>
      <c r="B28" s="19" t="s">
        <v>917</v>
      </c>
      <c r="C28" t="s">
        <v>918</v>
      </c>
      <c r="D28" s="1">
        <v>2.7</v>
      </c>
      <c r="E28" s="20">
        <f t="shared" si="0"/>
        <v>3.846153846153845E-2</v>
      </c>
      <c r="F28" t="s">
        <v>647</v>
      </c>
      <c r="G28" s="374" t="s">
        <v>919</v>
      </c>
      <c r="H28" t="s">
        <v>140</v>
      </c>
      <c r="AA28" s="131">
        <v>72</v>
      </c>
      <c r="AB28" s="131" t="s">
        <v>970</v>
      </c>
      <c r="AC28" s="131">
        <v>201</v>
      </c>
      <c r="AD28" s="131" t="s">
        <v>971</v>
      </c>
      <c r="AE28" s="131" t="s">
        <v>916</v>
      </c>
      <c r="AF28" s="131">
        <v>52</v>
      </c>
      <c r="AG28" s="131"/>
      <c r="AH28" s="131">
        <v>30</v>
      </c>
      <c r="AI28" s="131">
        <v>6</v>
      </c>
      <c r="AJ28" s="131"/>
    </row>
    <row r="29" spans="1:36">
      <c r="B29" s="19"/>
      <c r="D29" s="1"/>
      <c r="E29" s="20"/>
      <c r="G29" s="374"/>
      <c r="AA29" s="131">
        <v>75</v>
      </c>
      <c r="AB29" s="131" t="s">
        <v>972</v>
      </c>
      <c r="AC29" s="131">
        <v>27</v>
      </c>
      <c r="AD29" s="131" t="s">
        <v>973</v>
      </c>
      <c r="AE29" s="131" t="s">
        <v>957</v>
      </c>
      <c r="AF29" s="131">
        <v>0</v>
      </c>
      <c r="AG29" s="131"/>
      <c r="AH29" s="131">
        <v>20</v>
      </c>
      <c r="AI29" s="131">
        <v>27</v>
      </c>
      <c r="AJ29" s="131"/>
    </row>
    <row r="30" spans="1:36">
      <c r="B30" s="19"/>
      <c r="D30" s="1"/>
      <c r="E30" s="20"/>
      <c r="G30" s="374"/>
      <c r="AA30" s="131">
        <v>76</v>
      </c>
      <c r="AB30" s="131" t="s">
        <v>974</v>
      </c>
      <c r="AC30" s="131" t="s">
        <v>927</v>
      </c>
      <c r="AD30" s="131" t="s">
        <v>927</v>
      </c>
      <c r="AE30" s="131" t="s">
        <v>957</v>
      </c>
      <c r="AF30" s="131">
        <v>0</v>
      </c>
      <c r="AG30" s="131"/>
      <c r="AH30" s="131">
        <v>20</v>
      </c>
      <c r="AI30" s="131">
        <v>27</v>
      </c>
      <c r="AJ30" s="131"/>
    </row>
    <row r="31" spans="1:36">
      <c r="B31" s="19"/>
      <c r="D31" s="1"/>
      <c r="E31" s="20"/>
      <c r="G31" s="374"/>
      <c r="AA31" s="131">
        <v>77</v>
      </c>
      <c r="AB31" s="131" t="s">
        <v>975</v>
      </c>
      <c r="AC31" s="131">
        <v>2024</v>
      </c>
      <c r="AD31" s="131" t="s">
        <v>976</v>
      </c>
      <c r="AE31" s="131" t="s">
        <v>957</v>
      </c>
      <c r="AF31" s="131">
        <v>0</v>
      </c>
      <c r="AG31" s="131" t="s">
        <v>940</v>
      </c>
      <c r="AH31" s="131">
        <v>20</v>
      </c>
      <c r="AI31" s="131">
        <v>27</v>
      </c>
      <c r="AJ31" s="131"/>
    </row>
    <row r="32" spans="1:36">
      <c r="B32" s="19"/>
      <c r="D32" s="1"/>
      <c r="E32" s="20"/>
      <c r="G32" s="374"/>
      <c r="AA32" s="131">
        <v>81</v>
      </c>
      <c r="AB32" s="131" t="s">
        <v>977</v>
      </c>
      <c r="AC32" s="131" t="s">
        <v>927</v>
      </c>
      <c r="AD32" s="131" t="s">
        <v>927</v>
      </c>
      <c r="AE32" s="131" t="s">
        <v>957</v>
      </c>
      <c r="AF32" s="131">
        <v>0</v>
      </c>
      <c r="AG32" s="131"/>
      <c r="AH32" s="131">
        <v>30</v>
      </c>
      <c r="AI32" s="131">
        <v>27</v>
      </c>
      <c r="AJ32" s="131"/>
    </row>
    <row r="33" spans="1:36">
      <c r="B33" s="19"/>
      <c r="D33" s="1"/>
      <c r="E33" s="20"/>
      <c r="G33" s="374"/>
      <c r="AA33" s="131">
        <v>85</v>
      </c>
      <c r="AB33" s="131" t="s">
        <v>978</v>
      </c>
      <c r="AC33" s="131">
        <v>246</v>
      </c>
      <c r="AD33" s="131" t="s">
        <v>927</v>
      </c>
      <c r="AE33" s="131" t="s">
        <v>916</v>
      </c>
      <c r="AF33" s="131">
        <v>0</v>
      </c>
      <c r="AG33" s="131"/>
      <c r="AH33" s="131">
        <v>20</v>
      </c>
      <c r="AI33" s="131">
        <v>27</v>
      </c>
      <c r="AJ33" s="131"/>
    </row>
    <row r="34" spans="1:36">
      <c r="B34" s="19"/>
      <c r="D34" s="1"/>
      <c r="E34" s="20"/>
      <c r="G34" s="374"/>
      <c r="AA34" s="131">
        <v>86</v>
      </c>
      <c r="AB34" s="131" t="s">
        <v>979</v>
      </c>
      <c r="AC34" s="131" t="s">
        <v>927</v>
      </c>
      <c r="AD34" s="131" t="s">
        <v>927</v>
      </c>
      <c r="AE34" s="131" t="s">
        <v>945</v>
      </c>
      <c r="AF34" s="131">
        <v>52</v>
      </c>
      <c r="AG34" s="131" t="s">
        <v>940</v>
      </c>
      <c r="AH34" s="131">
        <v>20</v>
      </c>
      <c r="AI34" s="131">
        <v>21</v>
      </c>
      <c r="AJ34" s="131" t="s">
        <v>946</v>
      </c>
    </row>
    <row r="35" spans="1:36">
      <c r="B35" s="19"/>
      <c r="D35" s="1"/>
      <c r="E35" s="20"/>
      <c r="G35" s="374"/>
      <c r="AA35" s="131">
        <v>87</v>
      </c>
      <c r="AB35" s="131" t="s">
        <v>980</v>
      </c>
      <c r="AC35" s="131" t="s">
        <v>927</v>
      </c>
      <c r="AD35" s="131" t="s">
        <v>927</v>
      </c>
      <c r="AE35" s="131" t="s">
        <v>945</v>
      </c>
      <c r="AF35" s="131">
        <v>52</v>
      </c>
      <c r="AG35" s="131" t="s">
        <v>940</v>
      </c>
      <c r="AH35" s="131">
        <v>20</v>
      </c>
      <c r="AI35" s="131">
        <v>21</v>
      </c>
      <c r="AJ35" s="131" t="s">
        <v>946</v>
      </c>
    </row>
    <row r="36" spans="1:36">
      <c r="B36" s="19"/>
      <c r="D36" s="1"/>
      <c r="E36" s="20"/>
      <c r="G36" s="374"/>
      <c r="AA36" s="131">
        <v>88</v>
      </c>
      <c r="AB36" s="131" t="s">
        <v>981</v>
      </c>
      <c r="AC36" s="131" t="s">
        <v>927</v>
      </c>
      <c r="AD36" s="131" t="s">
        <v>927</v>
      </c>
      <c r="AE36" s="131" t="s">
        <v>945</v>
      </c>
      <c r="AF36" s="131">
        <v>52</v>
      </c>
      <c r="AG36" s="131" t="s">
        <v>940</v>
      </c>
      <c r="AH36" s="131">
        <v>20</v>
      </c>
      <c r="AI36" s="131">
        <v>21</v>
      </c>
      <c r="AJ36" s="131" t="s">
        <v>946</v>
      </c>
    </row>
    <row r="37" spans="1:36">
      <c r="B37" s="19"/>
      <c r="D37" s="1"/>
      <c r="E37" s="20"/>
      <c r="G37" s="374"/>
      <c r="AA37" s="131">
        <v>89</v>
      </c>
      <c r="AB37" s="131" t="s">
        <v>982</v>
      </c>
      <c r="AC37" s="131" t="s">
        <v>927</v>
      </c>
      <c r="AD37" s="131" t="s">
        <v>927</v>
      </c>
      <c r="AE37" s="131" t="s">
        <v>957</v>
      </c>
      <c r="AF37" s="131">
        <v>0</v>
      </c>
      <c r="AG37" s="131"/>
      <c r="AH37" s="131">
        <v>20</v>
      </c>
      <c r="AI37" s="131">
        <v>27</v>
      </c>
      <c r="AJ37" s="131"/>
    </row>
    <row r="38" spans="1:36">
      <c r="B38" s="19"/>
      <c r="D38" s="1"/>
      <c r="E38" s="20"/>
      <c r="G38" s="374"/>
      <c r="AA38" s="131">
        <v>110</v>
      </c>
      <c r="AB38" s="131" t="s">
        <v>983</v>
      </c>
      <c r="AC38" s="131">
        <v>16</v>
      </c>
      <c r="AD38" s="131" t="s">
        <v>984</v>
      </c>
      <c r="AE38" s="131" t="s">
        <v>916</v>
      </c>
      <c r="AF38" s="131">
        <v>190</v>
      </c>
      <c r="AG38" s="131" t="s">
        <v>940</v>
      </c>
      <c r="AH38" s="131">
        <v>0</v>
      </c>
      <c r="AI38" s="131">
        <v>11</v>
      </c>
      <c r="AJ38" s="131"/>
    </row>
    <row r="39" spans="1:36">
      <c r="B39" s="19"/>
      <c r="D39" s="1"/>
      <c r="E39" s="20"/>
      <c r="G39" s="374"/>
      <c r="AA39" s="131">
        <v>111</v>
      </c>
      <c r="AB39" s="131" t="s">
        <v>985</v>
      </c>
      <c r="AC39" s="131">
        <v>92</v>
      </c>
      <c r="AD39" s="131" t="s">
        <v>986</v>
      </c>
      <c r="AE39" s="131" t="s">
        <v>916</v>
      </c>
      <c r="AF39" s="131">
        <v>190</v>
      </c>
      <c r="AG39" s="131" t="s">
        <v>940</v>
      </c>
      <c r="AH39" s="131">
        <v>0</v>
      </c>
      <c r="AI39" s="131">
        <v>11</v>
      </c>
      <c r="AJ39" s="131"/>
    </row>
    <row r="40" spans="1:36">
      <c r="B40" s="19"/>
      <c r="D40" s="1"/>
      <c r="E40" s="20"/>
      <c r="G40" s="374"/>
      <c r="AA40" s="131">
        <v>115</v>
      </c>
      <c r="AB40" s="131" t="s">
        <v>987</v>
      </c>
      <c r="AC40" s="131">
        <v>1404</v>
      </c>
      <c r="AD40" s="131" t="s">
        <v>988</v>
      </c>
      <c r="AE40" s="131" t="s">
        <v>916</v>
      </c>
      <c r="AF40" s="131">
        <v>190</v>
      </c>
      <c r="AG40" s="131" t="s">
        <v>940</v>
      </c>
      <c r="AH40" s="131">
        <v>0</v>
      </c>
      <c r="AI40" s="131">
        <v>12</v>
      </c>
      <c r="AJ40" s="131"/>
    </row>
    <row r="41" spans="1:36">
      <c r="B41" s="19"/>
      <c r="D41" s="1"/>
      <c r="E41" s="20"/>
      <c r="G41" s="374"/>
      <c r="AA41" s="131">
        <v>117</v>
      </c>
      <c r="AB41" s="131" t="s">
        <v>989</v>
      </c>
      <c r="AC41" s="131">
        <v>2150</v>
      </c>
      <c r="AD41" s="131" t="s">
        <v>990</v>
      </c>
      <c r="AE41" s="131" t="s">
        <v>916</v>
      </c>
      <c r="AF41" s="131">
        <v>190</v>
      </c>
      <c r="AG41" s="131" t="s">
        <v>940</v>
      </c>
      <c r="AH41" s="131">
        <v>0</v>
      </c>
      <c r="AI41" s="131">
        <v>12</v>
      </c>
      <c r="AJ41" s="131"/>
    </row>
    <row r="42" spans="1:36">
      <c r="B42" s="19"/>
      <c r="D42" s="1"/>
      <c r="E42" s="20"/>
      <c r="G42" s="374"/>
      <c r="AA42" s="131">
        <v>120</v>
      </c>
      <c r="AB42" s="131" t="s">
        <v>991</v>
      </c>
      <c r="AC42" s="131" t="s">
        <v>927</v>
      </c>
      <c r="AD42" s="131" t="s">
        <v>927</v>
      </c>
      <c r="AE42" s="131" t="s">
        <v>916</v>
      </c>
      <c r="AF42" s="131">
        <v>190</v>
      </c>
      <c r="AG42" s="131" t="s">
        <v>940</v>
      </c>
      <c r="AH42" s="131">
        <v>0</v>
      </c>
      <c r="AI42" s="131">
        <v>12</v>
      </c>
      <c r="AJ42" s="131"/>
    </row>
    <row r="43" spans="1:36">
      <c r="A43" t="s">
        <v>639</v>
      </c>
      <c r="B43" s="19" t="s">
        <v>917</v>
      </c>
      <c r="C43" t="s">
        <v>918</v>
      </c>
      <c r="D43" s="1">
        <f>SUMIF($F$3:$F$28,A43,$D$3:$D$28)</f>
        <v>35.1</v>
      </c>
      <c r="E43" s="20">
        <f>D43/$K$3</f>
        <v>0.49999999999999978</v>
      </c>
      <c r="AA43" s="131">
        <v>121</v>
      </c>
      <c r="AB43" s="131" t="s">
        <v>992</v>
      </c>
      <c r="AC43" s="131" t="s">
        <v>927</v>
      </c>
      <c r="AD43" s="131" t="s">
        <v>927</v>
      </c>
      <c r="AE43" s="131" t="s">
        <v>916</v>
      </c>
      <c r="AF43" s="131">
        <v>190</v>
      </c>
      <c r="AG43" s="131" t="s">
        <v>940</v>
      </c>
      <c r="AH43" s="131">
        <v>0</v>
      </c>
      <c r="AI43" s="131">
        <v>12</v>
      </c>
      <c r="AJ43" s="131"/>
    </row>
    <row r="44" spans="1:36">
      <c r="A44" t="s">
        <v>647</v>
      </c>
      <c r="B44" s="19" t="s">
        <v>917</v>
      </c>
      <c r="C44" t="s">
        <v>918</v>
      </c>
      <c r="D44" s="1">
        <f>SUMIF($F$3:$F$28,A44,$D$3:$D$28)</f>
        <v>35.1</v>
      </c>
      <c r="E44" s="20">
        <f t="shared" si="0"/>
        <v>0.49999999999999978</v>
      </c>
      <c r="AA44" s="131">
        <v>151</v>
      </c>
      <c r="AB44" s="131" t="s">
        <v>993</v>
      </c>
      <c r="AC44" s="131" t="s">
        <v>927</v>
      </c>
      <c r="AD44" s="131" t="s">
        <v>927</v>
      </c>
      <c r="AE44" s="131" t="s">
        <v>916</v>
      </c>
      <c r="AF44" s="131">
        <v>52</v>
      </c>
      <c r="AG44" s="131"/>
      <c r="AH44" s="131">
        <v>20</v>
      </c>
      <c r="AI44" s="131">
        <v>15</v>
      </c>
      <c r="AJ44" s="131"/>
    </row>
    <row r="45" spans="1:36">
      <c r="A45" t="s">
        <v>115</v>
      </c>
      <c r="B45" s="19" t="s">
        <v>917</v>
      </c>
      <c r="C45" t="s">
        <v>918</v>
      </c>
      <c r="D45" s="1">
        <v>2.7</v>
      </c>
      <c r="E45" s="20">
        <f>D45/$K$3</f>
        <v>3.846153846153845E-2</v>
      </c>
      <c r="AA45" s="131">
        <v>152</v>
      </c>
      <c r="AB45" s="131" t="s">
        <v>994</v>
      </c>
      <c r="AC45" s="131" t="s">
        <v>927</v>
      </c>
      <c r="AD45" s="131" t="s">
        <v>927</v>
      </c>
      <c r="AE45" s="131" t="s">
        <v>945</v>
      </c>
      <c r="AF45" s="131">
        <v>52</v>
      </c>
      <c r="AG45" s="131" t="s">
        <v>940</v>
      </c>
      <c r="AH45" s="131">
        <v>20</v>
      </c>
      <c r="AI45" s="131">
        <v>15</v>
      </c>
      <c r="AJ45" s="131" t="s">
        <v>995</v>
      </c>
    </row>
    <row r="46" spans="1:36">
      <c r="A46" t="s">
        <v>116</v>
      </c>
      <c r="B46" s="19" t="s">
        <v>917</v>
      </c>
      <c r="C46" t="s">
        <v>918</v>
      </c>
      <c r="D46" s="1">
        <v>2.7</v>
      </c>
      <c r="E46" s="20">
        <f t="shared" si="0"/>
        <v>3.846153846153845E-2</v>
      </c>
      <c r="AA46" s="131">
        <v>153</v>
      </c>
      <c r="AB46" s="131" t="s">
        <v>996</v>
      </c>
      <c r="AC46" s="131" t="s">
        <v>927</v>
      </c>
      <c r="AD46" s="131" t="s">
        <v>927</v>
      </c>
      <c r="AE46" s="131" t="s">
        <v>945</v>
      </c>
      <c r="AF46" s="131">
        <v>75</v>
      </c>
      <c r="AG46" s="131" t="s">
        <v>940</v>
      </c>
      <c r="AH46" s="131">
        <v>0</v>
      </c>
      <c r="AI46" s="131">
        <v>15</v>
      </c>
      <c r="AJ46" s="131" t="s">
        <v>995</v>
      </c>
    </row>
    <row r="47" spans="1:36">
      <c r="A47" t="s">
        <v>117</v>
      </c>
      <c r="B47" s="19" t="s">
        <v>917</v>
      </c>
      <c r="C47" t="s">
        <v>918</v>
      </c>
      <c r="D47" s="1">
        <v>2.7</v>
      </c>
      <c r="E47" s="20">
        <f t="shared" si="0"/>
        <v>3.846153846153845E-2</v>
      </c>
      <c r="AA47" s="131">
        <v>154</v>
      </c>
      <c r="AB47" s="131" t="s">
        <v>997</v>
      </c>
      <c r="AC47" s="131" t="s">
        <v>927</v>
      </c>
      <c r="AD47" s="131" t="s">
        <v>927</v>
      </c>
      <c r="AE47" s="131" t="s">
        <v>945</v>
      </c>
      <c r="AF47" s="131">
        <v>75</v>
      </c>
      <c r="AG47" s="131" t="s">
        <v>940</v>
      </c>
      <c r="AH47" s="131">
        <v>0</v>
      </c>
      <c r="AI47" s="131">
        <v>15</v>
      </c>
      <c r="AJ47" s="131" t="s">
        <v>995</v>
      </c>
    </row>
    <row r="48" spans="1:36">
      <c r="A48" t="s">
        <v>118</v>
      </c>
      <c r="B48" s="19" t="s">
        <v>917</v>
      </c>
      <c r="C48" t="s">
        <v>918</v>
      </c>
      <c r="D48" s="1">
        <v>2.7</v>
      </c>
      <c r="E48" s="20">
        <f t="shared" si="0"/>
        <v>3.846153846153845E-2</v>
      </c>
      <c r="AA48" s="131">
        <v>156</v>
      </c>
      <c r="AB48" s="131" t="s">
        <v>998</v>
      </c>
      <c r="AC48" s="131" t="s">
        <v>927</v>
      </c>
      <c r="AD48" s="131" t="s">
        <v>927</v>
      </c>
      <c r="AE48" s="131" t="s">
        <v>945</v>
      </c>
      <c r="AF48" s="131">
        <v>190</v>
      </c>
      <c r="AG48" s="131" t="s">
        <v>940</v>
      </c>
      <c r="AH48" s="131">
        <v>0</v>
      </c>
      <c r="AI48" s="131">
        <v>15</v>
      </c>
      <c r="AJ48" s="131" t="s">
        <v>995</v>
      </c>
    </row>
    <row r="49" spans="1:36">
      <c r="A49" t="s">
        <v>119</v>
      </c>
      <c r="B49" s="19" t="s">
        <v>917</v>
      </c>
      <c r="C49" t="s">
        <v>918</v>
      </c>
      <c r="D49" s="1">
        <v>2.7</v>
      </c>
      <c r="E49" s="20">
        <f t="shared" si="0"/>
        <v>3.846153846153845E-2</v>
      </c>
      <c r="AA49" s="131">
        <v>157</v>
      </c>
      <c r="AB49" s="131" t="s">
        <v>999</v>
      </c>
      <c r="AC49" s="131" t="s">
        <v>927</v>
      </c>
      <c r="AD49" s="131" t="s">
        <v>927</v>
      </c>
      <c r="AE49" s="131" t="s">
        <v>945</v>
      </c>
      <c r="AF49" s="131">
        <v>180</v>
      </c>
      <c r="AG49" s="131" t="s">
        <v>940</v>
      </c>
      <c r="AH49" s="131">
        <v>0</v>
      </c>
      <c r="AI49" s="131">
        <v>15</v>
      </c>
      <c r="AJ49" s="131" t="s">
        <v>995</v>
      </c>
    </row>
    <row r="50" spans="1:36">
      <c r="A50" t="s">
        <v>120</v>
      </c>
      <c r="B50" s="19" t="s">
        <v>917</v>
      </c>
      <c r="C50" t="s">
        <v>918</v>
      </c>
      <c r="D50" s="1">
        <v>2.7</v>
      </c>
      <c r="E50" s="20">
        <f t="shared" si="0"/>
        <v>3.846153846153845E-2</v>
      </c>
      <c r="AA50" s="131">
        <v>158</v>
      </c>
      <c r="AB50" s="131" t="s">
        <v>1000</v>
      </c>
      <c r="AC50" s="131" t="s">
        <v>927</v>
      </c>
      <c r="AD50" s="131" t="s">
        <v>927</v>
      </c>
      <c r="AE50" s="131" t="s">
        <v>945</v>
      </c>
      <c r="AF50" s="131">
        <v>75</v>
      </c>
      <c r="AG50" s="131" t="s">
        <v>940</v>
      </c>
      <c r="AH50" s="131">
        <v>0</v>
      </c>
      <c r="AI50" s="131">
        <v>15</v>
      </c>
      <c r="AJ50" s="131" t="s">
        <v>995</v>
      </c>
    </row>
    <row r="51" spans="1:36">
      <c r="A51" t="s">
        <v>121</v>
      </c>
      <c r="B51" s="19" t="s">
        <v>917</v>
      </c>
      <c r="C51" t="s">
        <v>918</v>
      </c>
      <c r="D51" s="1">
        <v>2.7</v>
      </c>
      <c r="E51" s="20">
        <f t="shared" si="0"/>
        <v>3.846153846153845E-2</v>
      </c>
      <c r="AA51" s="131">
        <v>159</v>
      </c>
      <c r="AB51" s="131" t="s">
        <v>1001</v>
      </c>
      <c r="AC51" s="131" t="s">
        <v>927</v>
      </c>
      <c r="AD51" s="131" t="s">
        <v>927</v>
      </c>
      <c r="AE51" s="131" t="s">
        <v>945</v>
      </c>
      <c r="AF51" s="131">
        <v>190</v>
      </c>
      <c r="AG51" s="131" t="s">
        <v>940</v>
      </c>
      <c r="AH51" s="131">
        <v>0</v>
      </c>
      <c r="AI51" s="131">
        <v>15</v>
      </c>
      <c r="AJ51" s="131" t="s">
        <v>995</v>
      </c>
    </row>
    <row r="52" spans="1:36">
      <c r="A52" t="s">
        <v>122</v>
      </c>
      <c r="B52" s="19" t="s">
        <v>917</v>
      </c>
      <c r="C52" t="s">
        <v>918</v>
      </c>
      <c r="D52" s="1">
        <v>2.7</v>
      </c>
      <c r="E52" s="20">
        <f t="shared" si="0"/>
        <v>3.846153846153845E-2</v>
      </c>
      <c r="AA52" s="131">
        <v>170</v>
      </c>
      <c r="AB52" s="131" t="s">
        <v>1002</v>
      </c>
      <c r="AC52" s="131" t="s">
        <v>927</v>
      </c>
      <c r="AD52" s="131" t="s">
        <v>927</v>
      </c>
      <c r="AE52" s="131" t="s">
        <v>945</v>
      </c>
      <c r="AF52" s="131">
        <v>170</v>
      </c>
      <c r="AG52" s="131" t="s">
        <v>940</v>
      </c>
      <c r="AH52" s="131">
        <v>20</v>
      </c>
      <c r="AI52" s="131">
        <v>15</v>
      </c>
      <c r="AJ52" s="131" t="s">
        <v>995</v>
      </c>
    </row>
    <row r="53" spans="1:36">
      <c r="A53" t="s">
        <v>123</v>
      </c>
      <c r="B53" s="19" t="s">
        <v>917</v>
      </c>
      <c r="C53" t="s">
        <v>918</v>
      </c>
      <c r="D53" s="1">
        <v>2.7</v>
      </c>
      <c r="E53" s="20">
        <f t="shared" si="0"/>
        <v>3.846153846153845E-2</v>
      </c>
      <c r="AA53" s="131">
        <v>171</v>
      </c>
      <c r="AB53" s="131" t="s">
        <v>1003</v>
      </c>
      <c r="AC53" s="131" t="s">
        <v>927</v>
      </c>
      <c r="AD53" s="131" t="s">
        <v>927</v>
      </c>
      <c r="AE53" s="131" t="s">
        <v>945</v>
      </c>
      <c r="AF53" s="131">
        <v>75</v>
      </c>
      <c r="AG53" s="131" t="s">
        <v>940</v>
      </c>
      <c r="AH53" s="131">
        <v>20</v>
      </c>
      <c r="AI53" s="131">
        <v>15</v>
      </c>
      <c r="AJ53" s="131" t="s">
        <v>1004</v>
      </c>
    </row>
    <row r="54" spans="1:36">
      <c r="A54" t="s">
        <v>124</v>
      </c>
      <c r="B54" s="19" t="s">
        <v>917</v>
      </c>
      <c r="C54" t="s">
        <v>918</v>
      </c>
      <c r="D54" s="1">
        <v>2.7</v>
      </c>
      <c r="E54" s="20">
        <f t="shared" si="0"/>
        <v>3.846153846153845E-2</v>
      </c>
      <c r="AA54" s="131">
        <v>172</v>
      </c>
      <c r="AB54" s="131" t="s">
        <v>1005</v>
      </c>
      <c r="AC54" s="131" t="s">
        <v>927</v>
      </c>
      <c r="AD54" s="131" t="s">
        <v>927</v>
      </c>
      <c r="AE54" s="131" t="s">
        <v>945</v>
      </c>
      <c r="AF54" s="131">
        <v>75</v>
      </c>
      <c r="AG54" s="131" t="s">
        <v>940</v>
      </c>
      <c r="AH54" s="131">
        <v>20</v>
      </c>
      <c r="AI54" s="131">
        <v>15</v>
      </c>
      <c r="AJ54" s="131" t="s">
        <v>995</v>
      </c>
    </row>
    <row r="55" spans="1:36">
      <c r="A55" t="s">
        <v>125</v>
      </c>
      <c r="B55" s="19" t="s">
        <v>917</v>
      </c>
      <c r="C55" t="s">
        <v>918</v>
      </c>
      <c r="D55" s="1">
        <v>2.7</v>
      </c>
      <c r="E55" s="20">
        <f t="shared" si="0"/>
        <v>3.846153846153845E-2</v>
      </c>
      <c r="AA55" s="131">
        <v>173</v>
      </c>
      <c r="AB55" s="131" t="s">
        <v>1006</v>
      </c>
      <c r="AC55" s="131" t="s">
        <v>927</v>
      </c>
      <c r="AD55" s="131" t="s">
        <v>927</v>
      </c>
      <c r="AE55" s="131" t="s">
        <v>945</v>
      </c>
      <c r="AF55" s="131">
        <v>75</v>
      </c>
      <c r="AG55" s="131" t="s">
        <v>940</v>
      </c>
      <c r="AH55" s="131">
        <v>20</v>
      </c>
      <c r="AI55" s="131">
        <v>15</v>
      </c>
      <c r="AJ55" s="131" t="s">
        <v>995</v>
      </c>
    </row>
    <row r="56" spans="1:36">
      <c r="A56" t="s">
        <v>126</v>
      </c>
      <c r="B56" s="19" t="s">
        <v>917</v>
      </c>
      <c r="C56" t="s">
        <v>918</v>
      </c>
      <c r="D56" s="1">
        <v>2.7</v>
      </c>
      <c r="E56" s="20">
        <f t="shared" si="0"/>
        <v>3.846153846153845E-2</v>
      </c>
      <c r="AA56" s="131">
        <v>175</v>
      </c>
      <c r="AB56" s="131" t="s">
        <v>1007</v>
      </c>
      <c r="AC56" s="131" t="s">
        <v>927</v>
      </c>
      <c r="AD56" s="131" t="s">
        <v>927</v>
      </c>
      <c r="AE56" s="131" t="s">
        <v>945</v>
      </c>
      <c r="AF56" s="131">
        <v>60</v>
      </c>
      <c r="AG56" s="131" t="s">
        <v>940</v>
      </c>
      <c r="AH56" s="131">
        <v>0</v>
      </c>
      <c r="AI56" s="131">
        <v>15</v>
      </c>
      <c r="AJ56" s="131" t="s">
        <v>995</v>
      </c>
    </row>
    <row r="57" spans="1:36">
      <c r="A57" t="s">
        <v>127</v>
      </c>
      <c r="B57" s="19" t="s">
        <v>917</v>
      </c>
      <c r="C57" t="s">
        <v>918</v>
      </c>
      <c r="D57" s="1">
        <v>2.7</v>
      </c>
      <c r="E57" s="20">
        <f t="shared" si="0"/>
        <v>3.846153846153845E-2</v>
      </c>
      <c r="AA57" s="131">
        <v>176</v>
      </c>
      <c r="AB57" s="131" t="s">
        <v>1008</v>
      </c>
      <c r="AC57" s="131" t="s">
        <v>927</v>
      </c>
      <c r="AD57" s="131" t="s">
        <v>927</v>
      </c>
      <c r="AE57" s="131" t="s">
        <v>957</v>
      </c>
      <c r="AF57" s="131">
        <v>0</v>
      </c>
      <c r="AG57" s="131" t="s">
        <v>940</v>
      </c>
      <c r="AH57" s="131">
        <v>0</v>
      </c>
      <c r="AI57" s="131">
        <v>27</v>
      </c>
      <c r="AJ57" s="131"/>
    </row>
    <row r="58" spans="1:36">
      <c r="A58" t="s">
        <v>128</v>
      </c>
      <c r="B58" s="19" t="s">
        <v>917</v>
      </c>
      <c r="C58" t="s">
        <v>918</v>
      </c>
      <c r="D58" s="1">
        <v>2.7</v>
      </c>
      <c r="E58" s="20">
        <f t="shared" si="0"/>
        <v>3.846153846153845E-2</v>
      </c>
      <c r="AA58" s="131">
        <v>177</v>
      </c>
      <c r="AB58" s="131" t="s">
        <v>1009</v>
      </c>
      <c r="AC58" s="131" t="s">
        <v>927</v>
      </c>
      <c r="AD58" s="131" t="s">
        <v>927</v>
      </c>
      <c r="AE58" s="131" t="s">
        <v>945</v>
      </c>
      <c r="AF58" s="131">
        <v>180</v>
      </c>
      <c r="AG58" s="131" t="s">
        <v>940</v>
      </c>
      <c r="AH58" s="131">
        <v>0</v>
      </c>
      <c r="AI58" s="131">
        <v>15</v>
      </c>
      <c r="AJ58" s="131" t="s">
        <v>995</v>
      </c>
    </row>
    <row r="59" spans="1:36">
      <c r="A59" t="s">
        <v>129</v>
      </c>
      <c r="B59" s="19" t="s">
        <v>917</v>
      </c>
      <c r="C59" t="s">
        <v>918</v>
      </c>
      <c r="D59" s="1">
        <v>2.7</v>
      </c>
      <c r="E59" s="20">
        <f t="shared" si="0"/>
        <v>3.846153846153845E-2</v>
      </c>
      <c r="AA59" s="131">
        <v>178</v>
      </c>
      <c r="AB59" s="131" t="s">
        <v>1010</v>
      </c>
      <c r="AC59" s="131" t="s">
        <v>927</v>
      </c>
      <c r="AD59" s="131" t="s">
        <v>927</v>
      </c>
      <c r="AE59" s="131" t="s">
        <v>945</v>
      </c>
      <c r="AF59" s="131">
        <v>75</v>
      </c>
      <c r="AG59" s="131" t="s">
        <v>940</v>
      </c>
      <c r="AH59" s="131">
        <v>20</v>
      </c>
      <c r="AI59" s="131">
        <v>15</v>
      </c>
      <c r="AJ59" s="131" t="s">
        <v>995</v>
      </c>
    </row>
    <row r="60" spans="1:36">
      <c r="A60" t="s">
        <v>130</v>
      </c>
      <c r="B60" s="19" t="s">
        <v>917</v>
      </c>
      <c r="C60" t="s">
        <v>918</v>
      </c>
      <c r="D60" s="1">
        <v>2.7</v>
      </c>
      <c r="E60" s="20">
        <f t="shared" si="0"/>
        <v>3.846153846153845E-2</v>
      </c>
      <c r="AA60" s="131">
        <v>181</v>
      </c>
      <c r="AB60" s="131" t="s">
        <v>1011</v>
      </c>
      <c r="AC60" s="131" t="s">
        <v>927</v>
      </c>
      <c r="AD60" s="131" t="s">
        <v>927</v>
      </c>
      <c r="AE60" s="131" t="s">
        <v>945</v>
      </c>
      <c r="AF60" s="131">
        <v>52</v>
      </c>
      <c r="AG60" s="131" t="s">
        <v>940</v>
      </c>
      <c r="AH60" s="131">
        <v>0</v>
      </c>
      <c r="AI60" s="131">
        <v>15</v>
      </c>
      <c r="AJ60" s="131" t="s">
        <v>995</v>
      </c>
    </row>
    <row r="61" spans="1:36">
      <c r="A61" t="s">
        <v>131</v>
      </c>
      <c r="B61" s="19" t="s">
        <v>917</v>
      </c>
      <c r="C61" t="s">
        <v>918</v>
      </c>
      <c r="D61" s="1">
        <v>2.7</v>
      </c>
      <c r="E61" s="20">
        <f t="shared" si="0"/>
        <v>3.846153846153845E-2</v>
      </c>
      <c r="AA61" s="131">
        <v>182</v>
      </c>
      <c r="AB61" s="131" t="s">
        <v>1012</v>
      </c>
      <c r="AC61" s="131" t="s">
        <v>927</v>
      </c>
      <c r="AD61" s="131" t="s">
        <v>927</v>
      </c>
      <c r="AE61" s="131" t="s">
        <v>945</v>
      </c>
      <c r="AF61" s="131">
        <v>52</v>
      </c>
      <c r="AG61" s="131" t="s">
        <v>940</v>
      </c>
      <c r="AH61" s="131">
        <v>0</v>
      </c>
      <c r="AI61" s="131">
        <v>15</v>
      </c>
      <c r="AJ61" s="131" t="s">
        <v>995</v>
      </c>
    </row>
    <row r="62" spans="1:36">
      <c r="A62" t="s">
        <v>132</v>
      </c>
      <c r="B62" s="19" t="s">
        <v>917</v>
      </c>
      <c r="C62" t="s">
        <v>918</v>
      </c>
      <c r="D62" s="1">
        <v>2.7</v>
      </c>
      <c r="E62" s="20">
        <f t="shared" si="0"/>
        <v>3.846153846153845E-2</v>
      </c>
      <c r="AA62" s="131">
        <v>183</v>
      </c>
      <c r="AB62" s="131" t="s">
        <v>1013</v>
      </c>
      <c r="AC62" s="131" t="s">
        <v>927</v>
      </c>
      <c r="AD62" s="131" t="s">
        <v>927</v>
      </c>
      <c r="AE62" s="131" t="s">
        <v>916</v>
      </c>
      <c r="AF62" s="131">
        <v>0</v>
      </c>
      <c r="AG62" s="131" t="s">
        <v>940</v>
      </c>
      <c r="AH62" s="131">
        <v>20</v>
      </c>
      <c r="AI62" s="131">
        <v>28</v>
      </c>
      <c r="AJ62" s="131"/>
    </row>
    <row r="63" spans="1:36">
      <c r="A63" t="s">
        <v>133</v>
      </c>
      <c r="B63" s="19" t="s">
        <v>917</v>
      </c>
      <c r="C63" t="s">
        <v>918</v>
      </c>
      <c r="D63" s="1">
        <v>2.7</v>
      </c>
      <c r="E63" s="20">
        <f t="shared" si="0"/>
        <v>3.846153846153845E-2</v>
      </c>
      <c r="AA63" s="131">
        <v>200</v>
      </c>
      <c r="AB63" s="131" t="s">
        <v>1014</v>
      </c>
      <c r="AC63" s="131">
        <v>7</v>
      </c>
      <c r="AD63" s="131" t="s">
        <v>1015</v>
      </c>
      <c r="AE63" s="131" t="s">
        <v>916</v>
      </c>
      <c r="AF63" s="131">
        <v>60</v>
      </c>
      <c r="AG63" s="131"/>
      <c r="AH63" s="131">
        <v>20</v>
      </c>
      <c r="AI63" s="131">
        <v>9</v>
      </c>
      <c r="AJ63" s="131"/>
    </row>
    <row r="64" spans="1:36">
      <c r="A64" t="s">
        <v>134</v>
      </c>
      <c r="B64" s="19" t="s">
        <v>917</v>
      </c>
      <c r="C64" t="s">
        <v>918</v>
      </c>
      <c r="D64" s="1">
        <v>2.7</v>
      </c>
      <c r="E64" s="20">
        <f t="shared" si="0"/>
        <v>3.846153846153845E-2</v>
      </c>
      <c r="AA64" s="131">
        <v>201</v>
      </c>
      <c r="AB64" s="131" t="s">
        <v>1016</v>
      </c>
      <c r="AC64" s="131" t="s">
        <v>927</v>
      </c>
      <c r="AD64" s="131" t="s">
        <v>927</v>
      </c>
      <c r="AE64" s="131" t="s">
        <v>916</v>
      </c>
      <c r="AF64" s="131">
        <v>180</v>
      </c>
      <c r="AG64" s="131"/>
      <c r="AH64" s="131">
        <v>20</v>
      </c>
      <c r="AI64" s="131">
        <v>9</v>
      </c>
      <c r="AJ64" s="131"/>
    </row>
    <row r="65" spans="1:36">
      <c r="A65" t="s">
        <v>135</v>
      </c>
      <c r="B65" s="19" t="s">
        <v>917</v>
      </c>
      <c r="C65" t="s">
        <v>918</v>
      </c>
      <c r="D65" s="1">
        <v>2.7</v>
      </c>
      <c r="E65" s="20">
        <f t="shared" si="0"/>
        <v>3.846153846153845E-2</v>
      </c>
      <c r="AA65" s="131">
        <v>205</v>
      </c>
      <c r="AB65" s="131" t="s">
        <v>1017</v>
      </c>
      <c r="AC65" s="131" t="s">
        <v>927</v>
      </c>
      <c r="AD65" s="131" t="s">
        <v>927</v>
      </c>
      <c r="AE65" s="131" t="s">
        <v>916</v>
      </c>
      <c r="AF65" s="131">
        <v>60</v>
      </c>
      <c r="AG65" s="131"/>
      <c r="AH65" s="131">
        <v>20</v>
      </c>
      <c r="AI65" s="131">
        <v>9</v>
      </c>
      <c r="AJ65" s="131"/>
    </row>
    <row r="66" spans="1:36">
      <c r="A66" t="s">
        <v>136</v>
      </c>
      <c r="B66" s="19" t="s">
        <v>917</v>
      </c>
      <c r="C66" t="s">
        <v>918</v>
      </c>
      <c r="D66" s="1">
        <v>2.7</v>
      </c>
      <c r="E66" s="20">
        <f t="shared" si="0"/>
        <v>3.846153846153845E-2</v>
      </c>
      <c r="AA66" s="131">
        <v>210</v>
      </c>
      <c r="AB66" s="131" t="s">
        <v>1018</v>
      </c>
      <c r="AC66" s="131">
        <v>451</v>
      </c>
      <c r="AD66" s="131" t="s">
        <v>1018</v>
      </c>
      <c r="AE66" s="131" t="s">
        <v>916</v>
      </c>
      <c r="AF66" s="131">
        <v>60</v>
      </c>
      <c r="AG66" s="131"/>
      <c r="AH66" s="131">
        <v>20</v>
      </c>
      <c r="AI66" s="131">
        <v>9</v>
      </c>
      <c r="AJ66" s="131"/>
    </row>
    <row r="67" spans="1:36">
      <c r="A67" t="s">
        <v>137</v>
      </c>
      <c r="B67" s="19" t="s">
        <v>917</v>
      </c>
      <c r="C67" t="s">
        <v>918</v>
      </c>
      <c r="D67" s="1">
        <v>2.7</v>
      </c>
      <c r="E67" s="20">
        <f t="shared" si="0"/>
        <v>3.846153846153845E-2</v>
      </c>
      <c r="AA67" s="131">
        <v>220</v>
      </c>
      <c r="AB67" s="131" t="s">
        <v>1019</v>
      </c>
      <c r="AC67" s="131">
        <v>2174</v>
      </c>
      <c r="AD67" s="131" t="s">
        <v>1020</v>
      </c>
      <c r="AE67" s="131" t="s">
        <v>916</v>
      </c>
      <c r="AF67" s="131">
        <v>0</v>
      </c>
      <c r="AG67" s="131"/>
      <c r="AH67" s="131">
        <v>20</v>
      </c>
      <c r="AI67" s="131">
        <v>28</v>
      </c>
      <c r="AJ67" s="131"/>
    </row>
    <row r="68" spans="1:36">
      <c r="A68" t="s">
        <v>138</v>
      </c>
      <c r="B68" s="19" t="s">
        <v>917</v>
      </c>
      <c r="C68" t="s">
        <v>918</v>
      </c>
      <c r="D68" s="1">
        <v>2.7</v>
      </c>
      <c r="E68" s="20">
        <f t="shared" ref="E68:E70" si="1">D68/$K$3</f>
        <v>3.846153846153845E-2</v>
      </c>
      <c r="AA68" s="131">
        <v>221</v>
      </c>
      <c r="AB68" s="131" t="s">
        <v>1021</v>
      </c>
      <c r="AC68" s="131" t="s">
        <v>927</v>
      </c>
      <c r="AD68" s="131" t="s">
        <v>927</v>
      </c>
      <c r="AE68" s="131" t="s">
        <v>916</v>
      </c>
      <c r="AF68" s="131">
        <v>0</v>
      </c>
      <c r="AG68" s="131"/>
      <c r="AH68" s="131">
        <v>20</v>
      </c>
      <c r="AI68" s="131">
        <v>28</v>
      </c>
      <c r="AJ68" s="131"/>
    </row>
    <row r="69" spans="1:36">
      <c r="A69" t="s">
        <v>139</v>
      </c>
      <c r="B69" s="19" t="s">
        <v>917</v>
      </c>
      <c r="C69" t="s">
        <v>918</v>
      </c>
      <c r="D69" s="1">
        <v>2.7</v>
      </c>
      <c r="E69" s="20">
        <f t="shared" si="1"/>
        <v>3.846153846153845E-2</v>
      </c>
      <c r="AA69" s="131">
        <v>225</v>
      </c>
      <c r="AB69" s="131" t="s">
        <v>1022</v>
      </c>
      <c r="AC69" s="131">
        <v>2176</v>
      </c>
      <c r="AD69" s="131" t="s">
        <v>1023</v>
      </c>
      <c r="AE69" s="131" t="s">
        <v>916</v>
      </c>
      <c r="AF69" s="131">
        <v>0</v>
      </c>
      <c r="AG69" s="131"/>
      <c r="AH69" s="131">
        <v>20</v>
      </c>
      <c r="AI69" s="131">
        <v>28</v>
      </c>
      <c r="AJ69" s="131"/>
    </row>
    <row r="70" spans="1:36">
      <c r="A70" t="s">
        <v>140</v>
      </c>
      <c r="B70" s="19" t="s">
        <v>917</v>
      </c>
      <c r="C70" t="s">
        <v>918</v>
      </c>
      <c r="D70" s="1">
        <v>2.7</v>
      </c>
      <c r="E70" s="20">
        <f t="shared" si="1"/>
        <v>3.846153846153845E-2</v>
      </c>
      <c r="AA70" s="131">
        <v>226</v>
      </c>
      <c r="AB70" s="131" t="s">
        <v>1024</v>
      </c>
      <c r="AC70" s="131" t="s">
        <v>927</v>
      </c>
      <c r="AD70" s="131" t="s">
        <v>927</v>
      </c>
      <c r="AE70" s="131" t="s">
        <v>916</v>
      </c>
      <c r="AF70" s="131">
        <v>0</v>
      </c>
      <c r="AG70" s="131"/>
      <c r="AH70" s="131">
        <v>20</v>
      </c>
      <c r="AI70" s="131">
        <v>28</v>
      </c>
      <c r="AJ70" s="131"/>
    </row>
    <row r="71" spans="1:36">
      <c r="B71" s="19"/>
      <c r="D71" s="1"/>
      <c r="E71" s="20"/>
      <c r="AA71" s="131">
        <v>228</v>
      </c>
      <c r="AB71" s="131" t="s">
        <v>1025</v>
      </c>
      <c r="AC71" s="131" t="s">
        <v>927</v>
      </c>
      <c r="AD71" s="131" t="s">
        <v>927</v>
      </c>
      <c r="AE71" s="131" t="s">
        <v>916</v>
      </c>
      <c r="AF71" s="131">
        <v>52</v>
      </c>
      <c r="AG71" s="131"/>
      <c r="AH71" s="131">
        <v>20</v>
      </c>
      <c r="AI71" s="131">
        <v>2</v>
      </c>
      <c r="AJ71" s="131"/>
    </row>
    <row r="72" spans="1:36">
      <c r="B72" s="19"/>
      <c r="D72" s="1"/>
      <c r="E72" s="20"/>
      <c r="AA72" s="131">
        <v>229</v>
      </c>
      <c r="AB72" s="131" t="s">
        <v>1026</v>
      </c>
      <c r="AC72" s="131" t="s">
        <v>927</v>
      </c>
      <c r="AD72" s="131" t="s">
        <v>927</v>
      </c>
      <c r="AE72" s="131" t="s">
        <v>916</v>
      </c>
      <c r="AF72" s="131">
        <v>52</v>
      </c>
      <c r="AG72" s="131"/>
      <c r="AH72" s="131">
        <v>20</v>
      </c>
      <c r="AI72" s="131">
        <v>28</v>
      </c>
      <c r="AJ72" s="131"/>
    </row>
    <row r="73" spans="1:36">
      <c r="B73" s="19"/>
      <c r="D73" s="1"/>
      <c r="E73" s="20"/>
      <c r="AA73" s="131">
        <v>245</v>
      </c>
      <c r="AB73" s="131" t="s">
        <v>1027</v>
      </c>
      <c r="AC73" s="131" t="s">
        <v>927</v>
      </c>
      <c r="AD73" s="131" t="s">
        <v>927</v>
      </c>
      <c r="AE73" s="131" t="s">
        <v>916</v>
      </c>
      <c r="AF73" s="131">
        <v>0</v>
      </c>
      <c r="AG73" s="131"/>
      <c r="AH73" s="131">
        <v>20</v>
      </c>
      <c r="AI73" s="131">
        <v>28</v>
      </c>
      <c r="AJ73" s="131"/>
    </row>
    <row r="74" spans="1:36">
      <c r="B74" s="19"/>
      <c r="D74" s="1"/>
      <c r="E74" s="20"/>
      <c r="AA74" s="131">
        <v>246</v>
      </c>
      <c r="AB74" s="131" t="s">
        <v>1028</v>
      </c>
      <c r="AC74" s="131" t="s">
        <v>927</v>
      </c>
      <c r="AD74" s="131" t="s">
        <v>927</v>
      </c>
      <c r="AE74" s="131" t="s">
        <v>916</v>
      </c>
      <c r="AF74" s="131">
        <v>0</v>
      </c>
      <c r="AG74" s="131"/>
      <c r="AH74" s="131">
        <v>20</v>
      </c>
      <c r="AI74" s="131">
        <v>28</v>
      </c>
      <c r="AJ74" s="131"/>
    </row>
    <row r="75" spans="1:36">
      <c r="B75" s="19"/>
      <c r="D75" s="1"/>
      <c r="E75" s="20"/>
      <c r="AA75" s="131">
        <v>248</v>
      </c>
      <c r="AB75" s="131" t="s">
        <v>1029</v>
      </c>
      <c r="AC75" s="131" t="s">
        <v>927</v>
      </c>
      <c r="AD75" s="131" t="s">
        <v>927</v>
      </c>
      <c r="AE75" s="131" t="s">
        <v>916</v>
      </c>
      <c r="AF75" s="131">
        <v>0</v>
      </c>
      <c r="AG75" s="131"/>
      <c r="AH75" s="131">
        <v>20</v>
      </c>
      <c r="AI75" s="131">
        <v>28</v>
      </c>
      <c r="AJ75" s="131"/>
    </row>
    <row r="76" spans="1:36">
      <c r="B76" s="19"/>
      <c r="D76" s="1"/>
      <c r="E76" s="20"/>
      <c r="AA76" s="131">
        <v>249</v>
      </c>
      <c r="AB76" s="131" t="s">
        <v>1030</v>
      </c>
      <c r="AC76" s="131" t="s">
        <v>927</v>
      </c>
      <c r="AD76" s="131" t="s">
        <v>927</v>
      </c>
      <c r="AE76" s="131" t="s">
        <v>957</v>
      </c>
      <c r="AF76" s="131">
        <v>0</v>
      </c>
      <c r="AG76" s="131" t="s">
        <v>940</v>
      </c>
      <c r="AH76" s="131">
        <v>20</v>
      </c>
      <c r="AI76" s="131">
        <v>27</v>
      </c>
      <c r="AJ76" s="131"/>
    </row>
    <row r="77" spans="1:36">
      <c r="B77" s="19"/>
      <c r="D77" s="1"/>
      <c r="E77" s="20"/>
      <c r="AA77" s="131">
        <v>250</v>
      </c>
      <c r="AB77" s="131" t="s">
        <v>1031</v>
      </c>
      <c r="AC77" s="131" t="s">
        <v>927</v>
      </c>
      <c r="AD77" s="131" t="s">
        <v>927</v>
      </c>
      <c r="AE77" s="131" t="s">
        <v>916</v>
      </c>
      <c r="AF77" s="131">
        <v>0</v>
      </c>
      <c r="AG77" s="131"/>
      <c r="AH77" s="131">
        <v>20</v>
      </c>
      <c r="AI77" s="131">
        <v>28</v>
      </c>
      <c r="AJ77" s="131"/>
    </row>
    <row r="78" spans="1:36">
      <c r="B78" s="19"/>
      <c r="D78" s="1"/>
      <c r="E78" s="20"/>
      <c r="AA78" s="131">
        <v>251</v>
      </c>
      <c r="AB78" s="131" t="s">
        <v>1032</v>
      </c>
      <c r="AC78" s="131" t="s">
        <v>927</v>
      </c>
      <c r="AD78" s="131" t="s">
        <v>927</v>
      </c>
      <c r="AE78" s="131" t="s">
        <v>916</v>
      </c>
      <c r="AF78" s="131">
        <v>60</v>
      </c>
      <c r="AG78" s="131"/>
      <c r="AH78" s="131">
        <v>20</v>
      </c>
      <c r="AI78" s="131">
        <v>28</v>
      </c>
      <c r="AJ78" s="131"/>
    </row>
    <row r="79" spans="1:36">
      <c r="B79" s="19"/>
      <c r="D79" s="1"/>
      <c r="E79" s="20"/>
      <c r="AA79" s="131">
        <v>252</v>
      </c>
      <c r="AB79" s="131" t="s">
        <v>1033</v>
      </c>
      <c r="AC79" s="131" t="s">
        <v>927</v>
      </c>
      <c r="AD79" s="131" t="s">
        <v>927</v>
      </c>
      <c r="AE79" s="131" t="s">
        <v>957</v>
      </c>
      <c r="AF79" s="131">
        <v>0</v>
      </c>
      <c r="AG79" s="131"/>
      <c r="AH79" s="131">
        <v>20</v>
      </c>
      <c r="AI79" s="131">
        <v>28</v>
      </c>
      <c r="AJ79" s="131"/>
    </row>
    <row r="80" spans="1:36">
      <c r="B80" s="19"/>
      <c r="D80" s="1"/>
      <c r="E80" s="20"/>
      <c r="AA80" s="131">
        <v>253</v>
      </c>
      <c r="AB80" s="131" t="s">
        <v>1034</v>
      </c>
      <c r="AC80" s="131" t="s">
        <v>927</v>
      </c>
      <c r="AD80" s="131" t="s">
        <v>927</v>
      </c>
      <c r="AE80" s="131" t="s">
        <v>916</v>
      </c>
      <c r="AF80" s="131">
        <v>60</v>
      </c>
      <c r="AG80" s="131"/>
      <c r="AH80" s="131">
        <v>20</v>
      </c>
      <c r="AI80" s="131">
        <v>28</v>
      </c>
      <c r="AJ80" s="131"/>
    </row>
    <row r="81" spans="1:36">
      <c r="B81" s="19"/>
      <c r="D81" s="1"/>
      <c r="E81" s="20"/>
      <c r="AA81" s="131">
        <v>254</v>
      </c>
      <c r="AB81" s="131" t="s">
        <v>1035</v>
      </c>
      <c r="AC81" s="131" t="s">
        <v>927</v>
      </c>
      <c r="AD81" s="131" t="s">
        <v>927</v>
      </c>
      <c r="AE81" s="131" t="s">
        <v>945</v>
      </c>
      <c r="AF81" s="131">
        <v>60</v>
      </c>
      <c r="AG81" s="131"/>
      <c r="AH81" s="131">
        <v>0</v>
      </c>
      <c r="AI81" s="131">
        <v>28</v>
      </c>
      <c r="AJ81" s="131"/>
    </row>
    <row r="82" spans="1:36">
      <c r="A82" t="s">
        <v>919</v>
      </c>
      <c r="B82" s="19" t="s">
        <v>917</v>
      </c>
      <c r="C82" t="s">
        <v>918</v>
      </c>
      <c r="D82" s="1">
        <v>70</v>
      </c>
      <c r="E82" s="20">
        <v>1</v>
      </c>
      <c r="AA82" s="131">
        <v>305</v>
      </c>
      <c r="AB82" s="131" t="s">
        <v>1036</v>
      </c>
      <c r="AC82" s="131">
        <v>424</v>
      </c>
      <c r="AD82" s="131" t="s">
        <v>1036</v>
      </c>
      <c r="AE82" s="131" t="s">
        <v>945</v>
      </c>
      <c r="AF82" s="131">
        <v>52</v>
      </c>
      <c r="AG82" s="131" t="s">
        <v>940</v>
      </c>
      <c r="AH82" s="131">
        <v>0</v>
      </c>
      <c r="AI82" s="131">
        <v>23</v>
      </c>
      <c r="AJ82" s="131"/>
    </row>
    <row r="83" spans="1:36">
      <c r="A83" t="s">
        <v>777</v>
      </c>
      <c r="B83" s="19" t="s">
        <v>917</v>
      </c>
      <c r="C83" t="s">
        <v>918</v>
      </c>
      <c r="D83" s="1">
        <v>70</v>
      </c>
      <c r="E83" s="20">
        <v>1</v>
      </c>
      <c r="AA83" s="131">
        <v>308</v>
      </c>
      <c r="AB83" s="131" t="s">
        <v>1037</v>
      </c>
      <c r="AC83" s="131" t="s">
        <v>927</v>
      </c>
      <c r="AD83" s="131" t="s">
        <v>927</v>
      </c>
      <c r="AE83" s="131" t="s">
        <v>945</v>
      </c>
      <c r="AF83" s="131">
        <v>75</v>
      </c>
      <c r="AG83" s="131" t="s">
        <v>940</v>
      </c>
      <c r="AH83" s="131">
        <v>0</v>
      </c>
      <c r="AI83" s="131">
        <v>18</v>
      </c>
      <c r="AJ83" s="131"/>
    </row>
    <row r="84" spans="1:36">
      <c r="AA84" s="131">
        <v>310</v>
      </c>
      <c r="AB84" s="131" t="s">
        <v>1038</v>
      </c>
      <c r="AC84" s="131">
        <v>431</v>
      </c>
      <c r="AD84" s="131" t="s">
        <v>1039</v>
      </c>
      <c r="AE84" s="131" t="s">
        <v>945</v>
      </c>
      <c r="AF84" s="131">
        <v>180</v>
      </c>
      <c r="AG84" s="131" t="s">
        <v>940</v>
      </c>
      <c r="AH84" s="131">
        <v>0</v>
      </c>
      <c r="AI84" s="131">
        <v>18</v>
      </c>
      <c r="AJ84" s="131"/>
    </row>
    <row r="85" spans="1:36">
      <c r="AA85" s="131">
        <v>320</v>
      </c>
      <c r="AB85" s="131" t="s">
        <v>1040</v>
      </c>
      <c r="AC85" s="131">
        <v>495</v>
      </c>
      <c r="AD85" s="131" t="s">
        <v>1041</v>
      </c>
      <c r="AE85" s="131" t="s">
        <v>945</v>
      </c>
      <c r="AF85" s="131">
        <v>180</v>
      </c>
      <c r="AG85" s="131" t="s">
        <v>940</v>
      </c>
      <c r="AH85" s="131">
        <v>0</v>
      </c>
      <c r="AI85" s="131">
        <v>18</v>
      </c>
      <c r="AJ85" s="131"/>
    </row>
    <row r="86" spans="1:36">
      <c r="AA86" s="131">
        <v>325</v>
      </c>
      <c r="AB86" s="131" t="s">
        <v>1042</v>
      </c>
      <c r="AC86" s="131">
        <v>494</v>
      </c>
      <c r="AD86" s="131" t="s">
        <v>1043</v>
      </c>
      <c r="AE86" s="131" t="s">
        <v>945</v>
      </c>
      <c r="AF86" s="131">
        <v>180</v>
      </c>
      <c r="AG86" s="131" t="s">
        <v>940</v>
      </c>
      <c r="AH86" s="131">
        <v>0</v>
      </c>
      <c r="AI86" s="131">
        <v>18</v>
      </c>
      <c r="AJ86" s="131"/>
    </row>
    <row r="87" spans="1:36">
      <c r="AA87" s="131">
        <v>330</v>
      </c>
      <c r="AB87" s="131" t="s">
        <v>1044</v>
      </c>
      <c r="AC87" s="131">
        <v>448</v>
      </c>
      <c r="AD87" s="131" t="s">
        <v>1045</v>
      </c>
      <c r="AE87" s="131" t="s">
        <v>945</v>
      </c>
      <c r="AF87" s="131">
        <v>180</v>
      </c>
      <c r="AG87" s="131" t="s">
        <v>940</v>
      </c>
      <c r="AH87" s="131">
        <v>0</v>
      </c>
      <c r="AI87" s="131">
        <v>18</v>
      </c>
      <c r="AJ87" s="131"/>
    </row>
    <row r="88" spans="1:36">
      <c r="AA88" s="131">
        <v>331</v>
      </c>
      <c r="AB88" s="131" t="s">
        <v>1046</v>
      </c>
      <c r="AC88" s="131" t="s">
        <v>927</v>
      </c>
      <c r="AD88" s="131" t="s">
        <v>927</v>
      </c>
      <c r="AE88" s="131" t="s">
        <v>945</v>
      </c>
      <c r="AF88" s="131">
        <v>52</v>
      </c>
      <c r="AG88" s="131" t="s">
        <v>940</v>
      </c>
      <c r="AH88" s="131">
        <v>20</v>
      </c>
      <c r="AI88" s="131">
        <v>15</v>
      </c>
      <c r="AJ88" s="131"/>
    </row>
    <row r="89" spans="1:36">
      <c r="AA89" s="131">
        <v>332</v>
      </c>
      <c r="AB89" s="131" t="s">
        <v>1047</v>
      </c>
      <c r="AC89" s="131">
        <v>1824</v>
      </c>
      <c r="AD89" s="131" t="s">
        <v>1048</v>
      </c>
      <c r="AE89" s="131" t="s">
        <v>945</v>
      </c>
      <c r="AF89" s="131">
        <v>190</v>
      </c>
      <c r="AG89" s="131" t="s">
        <v>940</v>
      </c>
      <c r="AH89" s="131">
        <v>0</v>
      </c>
      <c r="AI89" s="131">
        <v>18</v>
      </c>
      <c r="AJ89" s="131"/>
    </row>
    <row r="90" spans="1:36">
      <c r="AA90" s="131">
        <v>335</v>
      </c>
      <c r="AB90" s="131" t="s">
        <v>1049</v>
      </c>
      <c r="AC90" s="131">
        <v>490</v>
      </c>
      <c r="AD90" s="131" t="s">
        <v>1050</v>
      </c>
      <c r="AE90" s="131" t="s">
        <v>945</v>
      </c>
      <c r="AF90" s="131">
        <v>190</v>
      </c>
      <c r="AG90" s="131" t="s">
        <v>940</v>
      </c>
      <c r="AH90" s="131">
        <v>0</v>
      </c>
      <c r="AI90" s="131">
        <v>18</v>
      </c>
      <c r="AJ90" s="131"/>
    </row>
    <row r="91" spans="1:36">
      <c r="AA91" s="131">
        <v>340</v>
      </c>
      <c r="AB91" s="131" t="s">
        <v>1051</v>
      </c>
      <c r="AC91" s="131">
        <v>491</v>
      </c>
      <c r="AD91" s="131" t="s">
        <v>1052</v>
      </c>
      <c r="AE91" s="131" t="s">
        <v>945</v>
      </c>
      <c r="AF91" s="131">
        <v>190</v>
      </c>
      <c r="AG91" s="131" t="s">
        <v>940</v>
      </c>
      <c r="AH91" s="131">
        <v>0</v>
      </c>
      <c r="AI91" s="131">
        <v>18</v>
      </c>
      <c r="AJ91" s="131"/>
    </row>
    <row r="92" spans="1:36">
      <c r="AA92" s="131">
        <v>360</v>
      </c>
      <c r="AB92" s="131" t="s">
        <v>1053</v>
      </c>
      <c r="AC92" s="131">
        <v>1540</v>
      </c>
      <c r="AD92" s="131" t="s">
        <v>1054</v>
      </c>
      <c r="AE92" s="131" t="s">
        <v>945</v>
      </c>
      <c r="AF92" s="131">
        <v>52</v>
      </c>
      <c r="AG92" s="131" t="s">
        <v>940</v>
      </c>
      <c r="AH92" s="131">
        <v>0</v>
      </c>
      <c r="AI92" s="131">
        <v>21</v>
      </c>
      <c r="AJ92" s="131"/>
    </row>
    <row r="93" spans="1:36">
      <c r="AA93" s="131">
        <v>365</v>
      </c>
      <c r="AB93" s="131" t="s">
        <v>1055</v>
      </c>
      <c r="AC93" s="131" t="s">
        <v>927</v>
      </c>
      <c r="AD93" s="131" t="s">
        <v>927</v>
      </c>
      <c r="AE93" s="131" t="s">
        <v>945</v>
      </c>
      <c r="AF93" s="131">
        <v>52</v>
      </c>
      <c r="AG93" s="131" t="s">
        <v>940</v>
      </c>
      <c r="AH93" s="131">
        <v>0</v>
      </c>
      <c r="AI93" s="131">
        <v>21</v>
      </c>
      <c r="AJ93" s="131"/>
    </row>
    <row r="94" spans="1:36">
      <c r="AA94" s="131">
        <v>370</v>
      </c>
      <c r="AB94" s="131" t="s">
        <v>1056</v>
      </c>
      <c r="AC94" s="131" t="s">
        <v>927</v>
      </c>
      <c r="AD94" s="131" t="s">
        <v>927</v>
      </c>
      <c r="AE94" s="131" t="s">
        <v>945</v>
      </c>
      <c r="AF94" s="131">
        <v>52</v>
      </c>
      <c r="AG94" s="131" t="s">
        <v>940</v>
      </c>
      <c r="AH94" s="131">
        <v>0</v>
      </c>
      <c r="AI94" s="131">
        <v>21</v>
      </c>
      <c r="AJ94" s="131"/>
    </row>
    <row r="95" spans="1:36">
      <c r="AA95" s="131">
        <v>400</v>
      </c>
      <c r="AB95" s="131" t="s">
        <v>1057</v>
      </c>
      <c r="AC95" s="131">
        <v>26</v>
      </c>
      <c r="AD95" s="131" t="s">
        <v>1057</v>
      </c>
      <c r="AE95" s="131" t="s">
        <v>916</v>
      </c>
      <c r="AF95" s="131">
        <v>0</v>
      </c>
      <c r="AG95" s="131"/>
      <c r="AH95" s="131">
        <v>0</v>
      </c>
      <c r="AI95" s="131">
        <v>27</v>
      </c>
      <c r="AJ95" s="131"/>
    </row>
    <row r="96" spans="1:36">
      <c r="AA96" s="131">
        <v>402</v>
      </c>
      <c r="AB96" s="131" t="s">
        <v>1058</v>
      </c>
      <c r="AC96" s="131" t="s">
        <v>927</v>
      </c>
      <c r="AD96" s="131" t="s">
        <v>927</v>
      </c>
      <c r="AE96" s="131" t="s">
        <v>916</v>
      </c>
      <c r="AF96" s="131">
        <v>0</v>
      </c>
      <c r="AG96" s="131"/>
      <c r="AH96" s="131">
        <v>20</v>
      </c>
      <c r="AI96" s="131">
        <v>27</v>
      </c>
      <c r="AJ96" s="131"/>
    </row>
    <row r="97" spans="27:36">
      <c r="AA97" s="131">
        <v>403</v>
      </c>
      <c r="AB97" s="131" t="s">
        <v>1059</v>
      </c>
      <c r="AC97" s="131" t="s">
        <v>927</v>
      </c>
      <c r="AD97" s="131" t="s">
        <v>927</v>
      </c>
      <c r="AE97" s="131" t="s">
        <v>916</v>
      </c>
      <c r="AF97" s="131">
        <v>0</v>
      </c>
      <c r="AG97" s="131"/>
      <c r="AH97" s="131">
        <v>20</v>
      </c>
      <c r="AI97" s="131">
        <v>32</v>
      </c>
      <c r="AJ97" s="131"/>
    </row>
    <row r="98" spans="27:36">
      <c r="AA98" s="131">
        <v>404</v>
      </c>
      <c r="AB98" s="131" t="s">
        <v>1060</v>
      </c>
      <c r="AC98" s="131" t="s">
        <v>927</v>
      </c>
      <c r="AD98" s="131" t="s">
        <v>927</v>
      </c>
      <c r="AE98" s="131" t="s">
        <v>916</v>
      </c>
      <c r="AF98" s="131">
        <v>0</v>
      </c>
      <c r="AG98" s="131"/>
      <c r="AH98" s="131">
        <v>20</v>
      </c>
      <c r="AI98" s="131">
        <v>32</v>
      </c>
      <c r="AJ98" s="131"/>
    </row>
    <row r="99" spans="27:36">
      <c r="AA99" s="131">
        <v>405</v>
      </c>
      <c r="AB99" s="131" t="s">
        <v>1061</v>
      </c>
      <c r="AC99" s="131" t="s">
        <v>927</v>
      </c>
      <c r="AD99" s="131" t="s">
        <v>927</v>
      </c>
      <c r="AE99" s="131" t="s">
        <v>916</v>
      </c>
      <c r="AF99" s="131">
        <v>52</v>
      </c>
      <c r="AG99" s="131"/>
      <c r="AH99" s="131">
        <v>20</v>
      </c>
      <c r="AI99" s="131">
        <v>9</v>
      </c>
      <c r="AJ99" s="131"/>
    </row>
    <row r="100" spans="27:36">
      <c r="AA100" s="131">
        <v>412</v>
      </c>
      <c r="AB100" s="131" t="s">
        <v>1062</v>
      </c>
      <c r="AC100" s="131" t="s">
        <v>927</v>
      </c>
      <c r="AD100" s="131" t="s">
        <v>927</v>
      </c>
      <c r="AE100" s="131" t="s">
        <v>916</v>
      </c>
      <c r="AF100" s="131">
        <v>190</v>
      </c>
      <c r="AG100" s="131"/>
      <c r="AH100" s="131">
        <v>0</v>
      </c>
      <c r="AI100" s="131">
        <v>9</v>
      </c>
      <c r="AJ100" s="131"/>
    </row>
    <row r="101" spans="27:36">
      <c r="AA101" s="131">
        <v>414</v>
      </c>
      <c r="AB101" s="131" t="s">
        <v>1063</v>
      </c>
      <c r="AC101" s="131" t="s">
        <v>927</v>
      </c>
      <c r="AD101" s="131" t="s">
        <v>927</v>
      </c>
      <c r="AE101" s="131" t="s">
        <v>916</v>
      </c>
      <c r="AF101" s="131">
        <v>180</v>
      </c>
      <c r="AG101" s="131"/>
      <c r="AH101" s="131">
        <v>0</v>
      </c>
      <c r="AI101" s="131">
        <v>9</v>
      </c>
      <c r="AJ101" s="131"/>
    </row>
    <row r="102" spans="27:36">
      <c r="AA102" s="131">
        <v>415</v>
      </c>
      <c r="AB102" s="131" t="s">
        <v>1064</v>
      </c>
      <c r="AC102" s="131" t="s">
        <v>927</v>
      </c>
      <c r="AD102" s="131" t="s">
        <v>927</v>
      </c>
      <c r="AE102" s="131" t="s">
        <v>916</v>
      </c>
      <c r="AF102" s="131">
        <v>170</v>
      </c>
      <c r="AG102" s="131"/>
      <c r="AH102" s="131">
        <v>0</v>
      </c>
      <c r="AI102" s="131">
        <v>9</v>
      </c>
      <c r="AJ102" s="131"/>
    </row>
    <row r="103" spans="27:36">
      <c r="AA103" s="131">
        <v>416</v>
      </c>
      <c r="AB103" s="131" t="s">
        <v>1065</v>
      </c>
      <c r="AC103" s="131" t="s">
        <v>927</v>
      </c>
      <c r="AD103" s="131" t="s">
        <v>927</v>
      </c>
      <c r="AE103" s="131" t="s">
        <v>916</v>
      </c>
      <c r="AF103" s="131">
        <v>75</v>
      </c>
      <c r="AG103" s="131"/>
      <c r="AH103" s="131">
        <v>0</v>
      </c>
      <c r="AI103" s="131">
        <v>9</v>
      </c>
      <c r="AJ103" s="131"/>
    </row>
    <row r="104" spans="27:36">
      <c r="AA104" s="131">
        <v>418</v>
      </c>
      <c r="AB104" s="131" t="s">
        <v>1066</v>
      </c>
      <c r="AC104" s="131" t="s">
        <v>927</v>
      </c>
      <c r="AD104" s="131" t="s">
        <v>927</v>
      </c>
      <c r="AE104" s="131" t="s">
        <v>916</v>
      </c>
      <c r="AF104" s="131">
        <v>60</v>
      </c>
      <c r="AG104" s="131"/>
      <c r="AH104" s="131">
        <v>0</v>
      </c>
      <c r="AI104" s="131">
        <v>9</v>
      </c>
      <c r="AJ104" s="131"/>
    </row>
    <row r="105" spans="27:36">
      <c r="AA105" s="131">
        <v>420</v>
      </c>
      <c r="AB105" s="131" t="s">
        <v>1067</v>
      </c>
      <c r="AC105" s="131" t="s">
        <v>927</v>
      </c>
      <c r="AD105" s="131" t="s">
        <v>927</v>
      </c>
      <c r="AE105" s="131" t="s">
        <v>916</v>
      </c>
      <c r="AF105" s="131">
        <v>52</v>
      </c>
      <c r="AG105" s="131"/>
      <c r="AH105" s="131">
        <v>0</v>
      </c>
      <c r="AI105" s="131">
        <v>9</v>
      </c>
      <c r="AJ105" s="131"/>
    </row>
    <row r="106" spans="27:36">
      <c r="AA106" s="131">
        <v>422</v>
      </c>
      <c r="AB106" s="131" t="s">
        <v>1068</v>
      </c>
      <c r="AC106" s="131" t="s">
        <v>927</v>
      </c>
      <c r="AD106" s="131" t="s">
        <v>927</v>
      </c>
      <c r="AE106" s="131" t="s">
        <v>916</v>
      </c>
      <c r="AF106" s="131">
        <v>50</v>
      </c>
      <c r="AG106" s="131"/>
      <c r="AH106" s="131">
        <v>0</v>
      </c>
      <c r="AI106" s="131">
        <v>9</v>
      </c>
      <c r="AJ106" s="131"/>
    </row>
    <row r="107" spans="27:36">
      <c r="AA107" s="131">
        <v>424</v>
      </c>
      <c r="AB107" s="131" t="s">
        <v>1069</v>
      </c>
      <c r="AC107" s="131" t="s">
        <v>927</v>
      </c>
      <c r="AD107" s="131" t="s">
        <v>927</v>
      </c>
      <c r="AE107" s="131" t="s">
        <v>916</v>
      </c>
      <c r="AF107" s="131">
        <v>20</v>
      </c>
      <c r="AG107" s="131"/>
      <c r="AH107" s="131">
        <v>30</v>
      </c>
      <c r="AI107" s="131">
        <v>27</v>
      </c>
      <c r="AJ107" s="131"/>
    </row>
    <row r="108" spans="27:36">
      <c r="AA108" s="131">
        <v>430</v>
      </c>
      <c r="AB108" s="131" t="s">
        <v>1070</v>
      </c>
      <c r="AC108" s="131" t="s">
        <v>927</v>
      </c>
      <c r="AD108" s="131" t="s">
        <v>927</v>
      </c>
      <c r="AE108" s="131" t="s">
        <v>916</v>
      </c>
      <c r="AF108" s="131">
        <v>75</v>
      </c>
      <c r="AG108" s="131"/>
      <c r="AH108" s="131">
        <v>20</v>
      </c>
      <c r="AI108" s="131">
        <v>28</v>
      </c>
      <c r="AJ108" s="131"/>
    </row>
    <row r="109" spans="27:36">
      <c r="AA109" s="131">
        <v>435</v>
      </c>
      <c r="AB109" s="131" t="s">
        <v>1071</v>
      </c>
      <c r="AC109" s="131" t="s">
        <v>927</v>
      </c>
      <c r="AD109" s="131" t="s">
        <v>927</v>
      </c>
      <c r="AE109" s="131" t="s">
        <v>945</v>
      </c>
      <c r="AF109" s="131">
        <v>180</v>
      </c>
      <c r="AG109" s="131" t="s">
        <v>940</v>
      </c>
      <c r="AH109" s="131">
        <v>0</v>
      </c>
      <c r="AI109" s="131">
        <v>15</v>
      </c>
      <c r="AJ109" s="131"/>
    </row>
    <row r="110" spans="27:36">
      <c r="AA110" s="131">
        <v>440</v>
      </c>
      <c r="AB110" s="131" t="s">
        <v>1072</v>
      </c>
      <c r="AC110" s="131" t="s">
        <v>927</v>
      </c>
      <c r="AD110" s="131" t="s">
        <v>927</v>
      </c>
      <c r="AE110" s="131" t="s">
        <v>957</v>
      </c>
      <c r="AF110" s="131">
        <v>0</v>
      </c>
      <c r="AG110" s="131" t="s">
        <v>940</v>
      </c>
      <c r="AH110" s="131">
        <v>0</v>
      </c>
      <c r="AI110" s="131">
        <v>27</v>
      </c>
      <c r="AJ110" s="131"/>
    </row>
    <row r="111" spans="27:36">
      <c r="AA111" s="131">
        <v>455</v>
      </c>
      <c r="AB111" s="131" t="s">
        <v>1073</v>
      </c>
      <c r="AC111" s="131" t="s">
        <v>927</v>
      </c>
      <c r="AD111" s="131" t="s">
        <v>927</v>
      </c>
      <c r="AE111" s="131" t="s">
        <v>945</v>
      </c>
      <c r="AF111" s="131">
        <v>52</v>
      </c>
      <c r="AG111" s="131" t="s">
        <v>940</v>
      </c>
      <c r="AH111" s="131">
        <v>0</v>
      </c>
      <c r="AI111" s="131">
        <v>25</v>
      </c>
      <c r="AJ111" s="131"/>
    </row>
    <row r="112" spans="27:36">
      <c r="AA112" s="131">
        <v>460</v>
      </c>
      <c r="AB112" s="131" t="s">
        <v>1074</v>
      </c>
      <c r="AC112" s="131" t="s">
        <v>927</v>
      </c>
      <c r="AD112" s="131" t="s">
        <v>927</v>
      </c>
      <c r="AE112" s="131" t="s">
        <v>945</v>
      </c>
      <c r="AF112" s="131">
        <v>60</v>
      </c>
      <c r="AG112" s="131" t="s">
        <v>940</v>
      </c>
      <c r="AH112" s="131">
        <v>0</v>
      </c>
      <c r="AI112" s="131">
        <v>25</v>
      </c>
      <c r="AJ112" s="131"/>
    </row>
    <row r="113" spans="20:36">
      <c r="AA113" s="131">
        <v>465</v>
      </c>
      <c r="AB113" s="131" t="s">
        <v>1075</v>
      </c>
      <c r="AC113" s="131" t="s">
        <v>927</v>
      </c>
      <c r="AD113" s="131" t="s">
        <v>927</v>
      </c>
      <c r="AE113" s="131" t="s">
        <v>945</v>
      </c>
      <c r="AF113" s="131">
        <v>75</v>
      </c>
      <c r="AG113" s="131" t="s">
        <v>940</v>
      </c>
      <c r="AH113" s="131">
        <v>0</v>
      </c>
      <c r="AI113" s="131">
        <v>25</v>
      </c>
      <c r="AJ113" s="131"/>
    </row>
    <row r="114" spans="20:36">
      <c r="AA114" s="131">
        <v>468</v>
      </c>
      <c r="AB114" s="131" t="s">
        <v>1076</v>
      </c>
      <c r="AC114" s="131" t="s">
        <v>927</v>
      </c>
      <c r="AD114" s="131" t="s">
        <v>927</v>
      </c>
      <c r="AE114" s="131" t="s">
        <v>945</v>
      </c>
      <c r="AF114" s="131">
        <v>170</v>
      </c>
      <c r="AG114" s="131" t="s">
        <v>940</v>
      </c>
      <c r="AH114" s="131">
        <v>0</v>
      </c>
      <c r="AI114" s="131">
        <v>25</v>
      </c>
      <c r="AJ114" s="131"/>
    </row>
    <row r="115" spans="20:36">
      <c r="AA115" s="131">
        <v>470</v>
      </c>
      <c r="AB115" s="131" t="s">
        <v>1077</v>
      </c>
      <c r="AC115" s="131" t="s">
        <v>927</v>
      </c>
      <c r="AD115" s="131" t="s">
        <v>927</v>
      </c>
      <c r="AE115" s="131" t="s">
        <v>945</v>
      </c>
      <c r="AF115" s="131">
        <v>180</v>
      </c>
      <c r="AG115" s="131" t="s">
        <v>940</v>
      </c>
      <c r="AH115" s="131">
        <v>0</v>
      </c>
      <c r="AI115" s="131">
        <v>25</v>
      </c>
      <c r="AJ115" s="131"/>
    </row>
    <row r="116" spans="20:36">
      <c r="AA116" s="131">
        <v>475</v>
      </c>
      <c r="AB116" s="131" t="s">
        <v>1078</v>
      </c>
      <c r="AC116" s="131" t="s">
        <v>927</v>
      </c>
      <c r="AD116" s="131" t="s">
        <v>927</v>
      </c>
      <c r="AE116" s="131" t="s">
        <v>945</v>
      </c>
      <c r="AF116" s="131">
        <v>190</v>
      </c>
      <c r="AG116" s="131" t="s">
        <v>940</v>
      </c>
      <c r="AH116" s="131">
        <v>0</v>
      </c>
      <c r="AI116" s="131">
        <v>25</v>
      </c>
      <c r="AJ116" s="131"/>
    </row>
    <row r="117" spans="20:36">
      <c r="AA117" s="131">
        <v>513</v>
      </c>
      <c r="AB117" s="131" t="s">
        <v>1079</v>
      </c>
      <c r="AC117" s="131" t="s">
        <v>927</v>
      </c>
      <c r="AD117" s="131" t="s">
        <v>927</v>
      </c>
      <c r="AE117" s="131" t="s">
        <v>945</v>
      </c>
      <c r="AF117" s="131">
        <v>52</v>
      </c>
      <c r="AG117" s="131" t="s">
        <v>940</v>
      </c>
      <c r="AH117" s="131">
        <v>0</v>
      </c>
      <c r="AI117" s="131">
        <v>18</v>
      </c>
      <c r="AJ117" s="131"/>
    </row>
    <row r="118" spans="20:36">
      <c r="AA118" s="131">
        <v>515</v>
      </c>
      <c r="AB118" s="131" t="s">
        <v>1080</v>
      </c>
      <c r="AC118" s="131">
        <v>1130</v>
      </c>
      <c r="AD118" s="131" t="s">
        <v>1081</v>
      </c>
      <c r="AE118" s="131" t="s">
        <v>945</v>
      </c>
      <c r="AF118" s="131">
        <v>52</v>
      </c>
      <c r="AG118" s="131" t="s">
        <v>940</v>
      </c>
      <c r="AH118" s="131">
        <v>0</v>
      </c>
      <c r="AI118" s="131">
        <v>18</v>
      </c>
      <c r="AJ118" s="131" t="s">
        <v>1082</v>
      </c>
    </row>
    <row r="119" spans="20:36">
      <c r="AA119" s="131">
        <v>516</v>
      </c>
      <c r="AB119" s="131" t="s">
        <v>1083</v>
      </c>
      <c r="AC119" s="131">
        <v>1906</v>
      </c>
      <c r="AD119" s="131" t="s">
        <v>1084</v>
      </c>
      <c r="AE119" s="131" t="s">
        <v>945</v>
      </c>
      <c r="AF119" s="131">
        <v>52</v>
      </c>
      <c r="AG119" s="131" t="s">
        <v>940</v>
      </c>
      <c r="AH119" s="131">
        <v>0</v>
      </c>
      <c r="AI119" s="131">
        <v>18</v>
      </c>
      <c r="AJ119" s="131" t="s">
        <v>1082</v>
      </c>
    </row>
    <row r="120" spans="20:36">
      <c r="AA120" s="131">
        <v>517</v>
      </c>
      <c r="AB120" s="131" t="s">
        <v>1085</v>
      </c>
      <c r="AC120" s="131">
        <v>1908</v>
      </c>
      <c r="AD120" s="131" t="s">
        <v>1086</v>
      </c>
      <c r="AE120" s="131" t="s">
        <v>945</v>
      </c>
      <c r="AF120" s="131">
        <v>52</v>
      </c>
      <c r="AG120" s="131" t="s">
        <v>940</v>
      </c>
      <c r="AH120" s="131">
        <v>0</v>
      </c>
      <c r="AI120" s="131">
        <v>18</v>
      </c>
      <c r="AJ120" s="131" t="s">
        <v>1082</v>
      </c>
    </row>
    <row r="121" spans="20:36">
      <c r="AA121" s="131">
        <v>518</v>
      </c>
      <c r="AB121" s="131" t="s">
        <v>1087</v>
      </c>
      <c r="AC121" s="131">
        <v>1909</v>
      </c>
      <c r="AD121" s="131" t="s">
        <v>1088</v>
      </c>
      <c r="AE121" s="131" t="s">
        <v>945</v>
      </c>
      <c r="AF121" s="131">
        <v>52</v>
      </c>
      <c r="AG121" s="131" t="s">
        <v>940</v>
      </c>
      <c r="AH121" s="131">
        <v>0</v>
      </c>
      <c r="AI121" s="131">
        <v>18</v>
      </c>
      <c r="AJ121" s="131" t="s">
        <v>1082</v>
      </c>
    </row>
    <row r="122" spans="20:36">
      <c r="AA122" s="131">
        <v>520</v>
      </c>
      <c r="AB122" s="131" t="s">
        <v>1089</v>
      </c>
      <c r="AC122" s="131">
        <v>1150</v>
      </c>
      <c r="AD122" s="131" t="s">
        <v>1090</v>
      </c>
      <c r="AE122" s="131" t="s">
        <v>945</v>
      </c>
      <c r="AF122" s="131">
        <v>52</v>
      </c>
      <c r="AG122" s="131" t="s">
        <v>940</v>
      </c>
      <c r="AH122" s="131">
        <v>0</v>
      </c>
      <c r="AI122" s="131">
        <v>18</v>
      </c>
      <c r="AJ122" s="131"/>
    </row>
    <row r="123" spans="20:36">
      <c r="T123" s="92"/>
      <c r="AA123" s="131">
        <v>525</v>
      </c>
      <c r="AB123" s="131" t="s">
        <v>1091</v>
      </c>
      <c r="AC123" s="131">
        <v>1151</v>
      </c>
      <c r="AD123" s="131" t="s">
        <v>1092</v>
      </c>
      <c r="AE123" s="131" t="s">
        <v>945</v>
      </c>
      <c r="AF123" s="131">
        <v>52</v>
      </c>
      <c r="AG123" s="131" t="s">
        <v>940</v>
      </c>
      <c r="AH123" s="131">
        <v>0</v>
      </c>
      <c r="AI123" s="131">
        <v>18</v>
      </c>
      <c r="AJ123" s="131"/>
    </row>
    <row r="124" spans="20:36">
      <c r="T124" s="92"/>
      <c r="AA124" s="131">
        <v>530</v>
      </c>
      <c r="AB124" s="131" t="s">
        <v>1093</v>
      </c>
      <c r="AC124" s="131">
        <v>1152</v>
      </c>
      <c r="AD124" s="131" t="s">
        <v>1094</v>
      </c>
      <c r="AE124" s="131" t="s">
        <v>945</v>
      </c>
      <c r="AF124" s="131">
        <v>52</v>
      </c>
      <c r="AG124" s="131" t="s">
        <v>940</v>
      </c>
      <c r="AH124" s="131">
        <v>0</v>
      </c>
      <c r="AI124" s="131">
        <v>18</v>
      </c>
      <c r="AJ124" s="131"/>
    </row>
    <row r="125" spans="20:36">
      <c r="T125" s="92"/>
      <c r="AA125" s="131">
        <v>550</v>
      </c>
      <c r="AB125" s="131" t="s">
        <v>1095</v>
      </c>
      <c r="AC125" s="131">
        <v>1156</v>
      </c>
      <c r="AD125" s="131" t="s">
        <v>1096</v>
      </c>
      <c r="AE125" s="131" t="s">
        <v>945</v>
      </c>
      <c r="AF125" s="131">
        <v>52</v>
      </c>
      <c r="AG125" s="131" t="s">
        <v>940</v>
      </c>
      <c r="AH125" s="131">
        <v>0</v>
      </c>
      <c r="AI125" s="131">
        <v>18</v>
      </c>
      <c r="AJ125" s="131" t="s">
        <v>1082</v>
      </c>
    </row>
    <row r="126" spans="20:36">
      <c r="T126" s="92"/>
      <c r="AA126" s="131">
        <v>551</v>
      </c>
      <c r="AB126" s="131" t="s">
        <v>1097</v>
      </c>
      <c r="AC126" s="131" t="s">
        <v>927</v>
      </c>
      <c r="AD126" s="131" t="s">
        <v>927</v>
      </c>
      <c r="AE126" s="131" t="s">
        <v>945</v>
      </c>
      <c r="AF126" s="131">
        <v>52</v>
      </c>
      <c r="AG126" s="131" t="s">
        <v>940</v>
      </c>
      <c r="AH126" s="131">
        <v>0</v>
      </c>
      <c r="AI126" s="131">
        <v>18</v>
      </c>
      <c r="AJ126" s="131" t="s">
        <v>1082</v>
      </c>
    </row>
    <row r="127" spans="20:36">
      <c r="T127" s="92"/>
      <c r="AA127" s="131">
        <v>553</v>
      </c>
      <c r="AB127" s="131" t="s">
        <v>1098</v>
      </c>
      <c r="AC127" s="131" t="s">
        <v>927</v>
      </c>
      <c r="AD127" s="131" t="s">
        <v>927</v>
      </c>
      <c r="AE127" s="131" t="s">
        <v>945</v>
      </c>
      <c r="AF127" s="131">
        <v>52</v>
      </c>
      <c r="AG127" s="131"/>
      <c r="AH127" s="131">
        <v>10</v>
      </c>
      <c r="AI127" s="131">
        <v>18</v>
      </c>
      <c r="AJ127" s="131" t="s">
        <v>1082</v>
      </c>
    </row>
    <row r="128" spans="20:36">
      <c r="T128" s="92"/>
      <c r="AA128" s="131">
        <v>555</v>
      </c>
      <c r="AB128" s="131" t="s">
        <v>1099</v>
      </c>
      <c r="AC128" s="131">
        <v>1113</v>
      </c>
      <c r="AD128" s="131" t="s">
        <v>1100</v>
      </c>
      <c r="AE128" s="131" t="s">
        <v>945</v>
      </c>
      <c r="AF128" s="131">
        <v>52</v>
      </c>
      <c r="AG128" s="131"/>
      <c r="AH128" s="131">
        <v>10</v>
      </c>
      <c r="AI128" s="131">
        <v>18</v>
      </c>
      <c r="AJ128" s="131" t="s">
        <v>1082</v>
      </c>
    </row>
    <row r="129" spans="20:36">
      <c r="T129" s="92"/>
      <c r="AA129" s="131">
        <v>556</v>
      </c>
      <c r="AB129" s="131" t="s">
        <v>1101</v>
      </c>
      <c r="AC129" s="131" t="s">
        <v>927</v>
      </c>
      <c r="AD129" s="131" t="s">
        <v>927</v>
      </c>
      <c r="AE129" s="131" t="s">
        <v>945</v>
      </c>
      <c r="AF129" s="131">
        <v>52</v>
      </c>
      <c r="AG129" s="131" t="s">
        <v>940</v>
      </c>
      <c r="AH129" s="131">
        <v>0</v>
      </c>
      <c r="AI129" s="131">
        <v>18</v>
      </c>
      <c r="AJ129" s="131" t="s">
        <v>1082</v>
      </c>
    </row>
    <row r="130" spans="20:36">
      <c r="T130" s="92"/>
      <c r="AA130" s="131">
        <v>558</v>
      </c>
      <c r="AB130" s="131" t="s">
        <v>1102</v>
      </c>
      <c r="AC130" s="131" t="s">
        <v>927</v>
      </c>
      <c r="AD130" s="131" t="s">
        <v>927</v>
      </c>
      <c r="AE130" s="131" t="s">
        <v>945</v>
      </c>
      <c r="AF130" s="131">
        <v>52</v>
      </c>
      <c r="AG130" s="131" t="s">
        <v>940</v>
      </c>
      <c r="AH130" s="131">
        <v>0</v>
      </c>
      <c r="AI130" s="131">
        <v>18</v>
      </c>
      <c r="AJ130" s="131" t="s">
        <v>1082</v>
      </c>
    </row>
    <row r="131" spans="20:36">
      <c r="T131" s="92"/>
      <c r="AA131" s="131">
        <v>563</v>
      </c>
      <c r="AB131" s="131" t="s">
        <v>1103</v>
      </c>
      <c r="AC131" s="131" t="s">
        <v>927</v>
      </c>
      <c r="AD131" s="131" t="s">
        <v>927</v>
      </c>
      <c r="AE131" s="131" t="s">
        <v>945</v>
      </c>
      <c r="AF131" s="131">
        <v>52</v>
      </c>
      <c r="AG131" s="131" t="s">
        <v>940</v>
      </c>
      <c r="AH131" s="131">
        <v>0</v>
      </c>
      <c r="AI131" s="131">
        <v>18</v>
      </c>
      <c r="AJ131" s="131" t="s">
        <v>1082</v>
      </c>
    </row>
    <row r="132" spans="20:36">
      <c r="T132" s="92"/>
      <c r="AA132" s="131">
        <v>564</v>
      </c>
      <c r="AB132" s="131" t="s">
        <v>1104</v>
      </c>
      <c r="AC132" s="131" t="s">
        <v>927</v>
      </c>
      <c r="AD132" s="131" t="s">
        <v>927</v>
      </c>
      <c r="AE132" s="131" t="s">
        <v>945</v>
      </c>
      <c r="AF132" s="131">
        <v>180</v>
      </c>
      <c r="AG132" s="131" t="s">
        <v>940</v>
      </c>
      <c r="AH132" s="131">
        <v>0</v>
      </c>
      <c r="AI132" s="131">
        <v>18</v>
      </c>
      <c r="AJ132" s="131" t="s">
        <v>1082</v>
      </c>
    </row>
    <row r="133" spans="20:36">
      <c r="T133" s="92"/>
      <c r="AA133" s="131">
        <v>565</v>
      </c>
      <c r="AB133" s="131" t="s">
        <v>1105</v>
      </c>
      <c r="AC133" s="131">
        <v>258</v>
      </c>
      <c r="AD133" s="131" t="s">
        <v>1106</v>
      </c>
      <c r="AE133" s="131" t="s">
        <v>945</v>
      </c>
      <c r="AF133" s="131">
        <v>52</v>
      </c>
      <c r="AG133" s="131"/>
      <c r="AH133" s="131">
        <v>30</v>
      </c>
      <c r="AI133" s="131">
        <v>5</v>
      </c>
      <c r="AJ133" s="131" t="s">
        <v>1082</v>
      </c>
    </row>
    <row r="134" spans="20:36">
      <c r="T134" s="92"/>
      <c r="AA134" s="131">
        <v>566</v>
      </c>
      <c r="AB134" s="131" t="s">
        <v>1107</v>
      </c>
      <c r="AC134" s="131" t="s">
        <v>927</v>
      </c>
      <c r="AD134" s="131" t="s">
        <v>927</v>
      </c>
      <c r="AE134" s="131" t="s">
        <v>945</v>
      </c>
      <c r="AF134" s="131">
        <v>180</v>
      </c>
      <c r="AG134" s="131" t="s">
        <v>940</v>
      </c>
      <c r="AH134" s="131">
        <v>0</v>
      </c>
      <c r="AI134" s="131">
        <v>18</v>
      </c>
      <c r="AJ134" s="131" t="s">
        <v>1082</v>
      </c>
    </row>
    <row r="135" spans="20:36">
      <c r="T135" s="92"/>
      <c r="AA135" s="131">
        <v>567</v>
      </c>
      <c r="AB135" s="131" t="s">
        <v>1108</v>
      </c>
      <c r="AC135" s="131" t="s">
        <v>927</v>
      </c>
      <c r="AD135" s="131" t="s">
        <v>927</v>
      </c>
      <c r="AE135" s="131" t="s">
        <v>945</v>
      </c>
      <c r="AF135" s="131">
        <v>180</v>
      </c>
      <c r="AG135" s="131" t="s">
        <v>940</v>
      </c>
      <c r="AH135" s="131">
        <v>0</v>
      </c>
      <c r="AI135" s="131">
        <v>18</v>
      </c>
      <c r="AJ135" s="131" t="s">
        <v>1082</v>
      </c>
    </row>
    <row r="136" spans="20:36">
      <c r="T136" s="92"/>
      <c r="AA136" s="131">
        <v>568</v>
      </c>
      <c r="AB136" s="131" t="s">
        <v>1109</v>
      </c>
      <c r="AC136" s="131" t="s">
        <v>927</v>
      </c>
      <c r="AD136" s="131" t="s">
        <v>927</v>
      </c>
      <c r="AE136" s="131" t="s">
        <v>945</v>
      </c>
      <c r="AF136" s="131">
        <v>180</v>
      </c>
      <c r="AG136" s="131" t="s">
        <v>940</v>
      </c>
      <c r="AH136" s="131">
        <v>0</v>
      </c>
      <c r="AI136" s="131">
        <v>18</v>
      </c>
      <c r="AJ136" s="131" t="s">
        <v>1082</v>
      </c>
    </row>
    <row r="137" spans="20:36">
      <c r="T137" s="92"/>
      <c r="AA137" s="131">
        <v>569</v>
      </c>
      <c r="AB137" s="131" t="s">
        <v>1110</v>
      </c>
      <c r="AC137" s="131" t="s">
        <v>927</v>
      </c>
      <c r="AD137" s="131" t="s">
        <v>927</v>
      </c>
      <c r="AE137" s="131" t="s">
        <v>945</v>
      </c>
      <c r="AF137" s="131">
        <v>170</v>
      </c>
      <c r="AG137" s="131" t="s">
        <v>940</v>
      </c>
      <c r="AH137" s="131">
        <v>0</v>
      </c>
      <c r="AI137" s="131">
        <v>18</v>
      </c>
      <c r="AJ137" s="131" t="s">
        <v>1082</v>
      </c>
    </row>
    <row r="138" spans="20:36">
      <c r="AA138" s="131">
        <v>570</v>
      </c>
      <c r="AB138" s="131" t="s">
        <v>1111</v>
      </c>
      <c r="AC138" s="131" t="s">
        <v>927</v>
      </c>
      <c r="AD138" s="131" t="s">
        <v>927</v>
      </c>
      <c r="AE138" s="131" t="s">
        <v>945</v>
      </c>
      <c r="AF138" s="131">
        <v>190</v>
      </c>
      <c r="AG138" s="131" t="s">
        <v>940</v>
      </c>
      <c r="AH138" s="131">
        <v>0</v>
      </c>
      <c r="AI138" s="131">
        <v>18</v>
      </c>
      <c r="AJ138" s="131" t="s">
        <v>1082</v>
      </c>
    </row>
    <row r="139" spans="20:36">
      <c r="T139" s="92"/>
      <c r="AA139" s="131">
        <v>574</v>
      </c>
      <c r="AB139" s="131" t="s">
        <v>1112</v>
      </c>
      <c r="AC139" s="131" t="s">
        <v>927</v>
      </c>
      <c r="AD139" s="131" t="s">
        <v>927</v>
      </c>
      <c r="AE139" s="131" t="s">
        <v>945</v>
      </c>
      <c r="AF139" s="131">
        <v>190</v>
      </c>
      <c r="AG139" s="131" t="s">
        <v>940</v>
      </c>
      <c r="AH139" s="131">
        <v>0</v>
      </c>
      <c r="AI139" s="131">
        <v>18</v>
      </c>
      <c r="AJ139" s="131" t="s">
        <v>1082</v>
      </c>
    </row>
    <row r="140" spans="20:36">
      <c r="T140" s="92"/>
      <c r="AA140" s="131">
        <v>576</v>
      </c>
      <c r="AB140" s="131" t="s">
        <v>1113</v>
      </c>
      <c r="AC140" s="131" t="s">
        <v>927</v>
      </c>
      <c r="AD140" s="131" t="s">
        <v>927</v>
      </c>
      <c r="AE140" s="131" t="s">
        <v>945</v>
      </c>
      <c r="AF140" s="131">
        <v>190</v>
      </c>
      <c r="AG140" s="131" t="s">
        <v>940</v>
      </c>
      <c r="AH140" s="131">
        <v>0</v>
      </c>
      <c r="AI140" s="131">
        <v>18</v>
      </c>
      <c r="AJ140" s="131" t="s">
        <v>1082</v>
      </c>
    </row>
    <row r="141" spans="20:36">
      <c r="T141" s="92"/>
      <c r="AA141" s="131">
        <v>577</v>
      </c>
      <c r="AB141" s="131" t="s">
        <v>1114</v>
      </c>
      <c r="AC141" s="131" t="s">
        <v>927</v>
      </c>
      <c r="AD141" s="131" t="s">
        <v>927</v>
      </c>
      <c r="AE141" s="131" t="s">
        <v>945</v>
      </c>
      <c r="AF141" s="131">
        <v>52</v>
      </c>
      <c r="AG141" s="131" t="s">
        <v>940</v>
      </c>
      <c r="AH141" s="131">
        <v>0</v>
      </c>
      <c r="AI141" s="131">
        <v>18</v>
      </c>
      <c r="AJ141" s="131" t="s">
        <v>1082</v>
      </c>
    </row>
    <row r="142" spans="20:36">
      <c r="T142" s="92"/>
      <c r="AA142" s="131">
        <v>578</v>
      </c>
      <c r="AB142" s="131" t="s">
        <v>1115</v>
      </c>
      <c r="AC142" s="131" t="s">
        <v>927</v>
      </c>
      <c r="AD142" s="131" t="s">
        <v>927</v>
      </c>
      <c r="AE142" s="131" t="s">
        <v>945</v>
      </c>
      <c r="AF142" s="131">
        <v>75</v>
      </c>
      <c r="AG142" s="131" t="s">
        <v>940</v>
      </c>
      <c r="AH142" s="131">
        <v>0</v>
      </c>
      <c r="AI142" s="131">
        <v>16</v>
      </c>
      <c r="AJ142" s="131" t="s">
        <v>1082</v>
      </c>
    </row>
    <row r="143" spans="20:36">
      <c r="T143" s="92"/>
      <c r="AA143" s="131">
        <v>579</v>
      </c>
      <c r="AB143" s="131" t="s">
        <v>1116</v>
      </c>
      <c r="AC143" s="131" t="s">
        <v>927</v>
      </c>
      <c r="AD143" s="131" t="s">
        <v>927</v>
      </c>
      <c r="AE143" s="131" t="s">
        <v>945</v>
      </c>
      <c r="AF143" s="131">
        <v>75</v>
      </c>
      <c r="AG143" s="131" t="s">
        <v>940</v>
      </c>
      <c r="AH143" s="131">
        <v>0</v>
      </c>
      <c r="AI143" s="131">
        <v>18</v>
      </c>
      <c r="AJ143" s="131" t="s">
        <v>1082</v>
      </c>
    </row>
    <row r="144" spans="20:36">
      <c r="T144" s="92"/>
      <c r="AA144" s="131">
        <v>581</v>
      </c>
      <c r="AB144" s="131" t="s">
        <v>1117</v>
      </c>
      <c r="AC144" s="131">
        <v>1922</v>
      </c>
      <c r="AD144" s="131" t="s">
        <v>1118</v>
      </c>
      <c r="AE144" s="131" t="s">
        <v>945</v>
      </c>
      <c r="AF144" s="131">
        <v>180</v>
      </c>
      <c r="AG144" s="131" t="s">
        <v>940</v>
      </c>
      <c r="AH144" s="131">
        <v>0</v>
      </c>
      <c r="AI144" s="131">
        <v>18</v>
      </c>
      <c r="AJ144" s="131" t="s">
        <v>1082</v>
      </c>
    </row>
    <row r="145" spans="20:36">
      <c r="T145" s="92"/>
      <c r="AA145" s="131">
        <v>582</v>
      </c>
      <c r="AB145" s="131" t="s">
        <v>1119</v>
      </c>
      <c r="AC145" s="131">
        <v>1923</v>
      </c>
      <c r="AD145" s="131" t="s">
        <v>1120</v>
      </c>
      <c r="AE145" s="131" t="s">
        <v>945</v>
      </c>
      <c r="AF145" s="131">
        <v>180</v>
      </c>
      <c r="AG145" s="131" t="s">
        <v>940</v>
      </c>
      <c r="AH145" s="131">
        <v>0</v>
      </c>
      <c r="AI145" s="131">
        <v>18</v>
      </c>
      <c r="AJ145" s="131" t="s">
        <v>1082</v>
      </c>
    </row>
    <row r="146" spans="20:36">
      <c r="T146" s="92"/>
      <c r="AA146" s="131">
        <v>583</v>
      </c>
      <c r="AB146" s="131" t="s">
        <v>1121</v>
      </c>
      <c r="AC146" s="131">
        <v>1924</v>
      </c>
      <c r="AD146" s="131" t="s">
        <v>1122</v>
      </c>
      <c r="AE146" s="131" t="s">
        <v>945</v>
      </c>
      <c r="AF146" s="131">
        <v>180</v>
      </c>
      <c r="AG146" s="131" t="s">
        <v>940</v>
      </c>
      <c r="AH146" s="131">
        <v>0</v>
      </c>
      <c r="AI146" s="131">
        <v>18</v>
      </c>
      <c r="AJ146" s="131" t="s">
        <v>1082</v>
      </c>
    </row>
    <row r="147" spans="20:36">
      <c r="T147" s="92"/>
      <c r="AA147" s="131">
        <v>586</v>
      </c>
      <c r="AB147" s="131" t="s">
        <v>1123</v>
      </c>
      <c r="AC147" s="131" t="s">
        <v>927</v>
      </c>
      <c r="AD147" s="131" t="s">
        <v>927</v>
      </c>
      <c r="AE147" s="131" t="s">
        <v>945</v>
      </c>
      <c r="AF147" s="131">
        <v>170</v>
      </c>
      <c r="AG147" s="131"/>
      <c r="AH147" s="131">
        <v>20</v>
      </c>
      <c r="AI147" s="131">
        <v>16</v>
      </c>
      <c r="AJ147" s="131" t="s">
        <v>1082</v>
      </c>
    </row>
    <row r="148" spans="20:36">
      <c r="T148" s="92"/>
      <c r="AA148" s="131">
        <v>588</v>
      </c>
      <c r="AB148" s="131" t="s">
        <v>1124</v>
      </c>
      <c r="AC148" s="131" t="s">
        <v>927</v>
      </c>
      <c r="AD148" s="131" t="s">
        <v>927</v>
      </c>
      <c r="AE148" s="131" t="s">
        <v>945</v>
      </c>
      <c r="AF148" s="131">
        <v>180</v>
      </c>
      <c r="AG148" s="131" t="s">
        <v>940</v>
      </c>
      <c r="AH148" s="131">
        <v>0</v>
      </c>
      <c r="AI148" s="131">
        <v>18</v>
      </c>
      <c r="AJ148" s="131" t="s">
        <v>1082</v>
      </c>
    </row>
    <row r="149" spans="20:36">
      <c r="T149" s="92"/>
      <c r="AA149" s="131">
        <v>589</v>
      </c>
      <c r="AB149" s="131" t="s">
        <v>1125</v>
      </c>
      <c r="AC149" s="131" t="s">
        <v>927</v>
      </c>
      <c r="AD149" s="131" t="s">
        <v>927</v>
      </c>
      <c r="AE149" s="131" t="s">
        <v>945</v>
      </c>
      <c r="AF149" s="131">
        <v>52</v>
      </c>
      <c r="AG149" s="131"/>
      <c r="AH149" s="131">
        <v>20</v>
      </c>
      <c r="AI149" s="131">
        <v>16</v>
      </c>
      <c r="AJ149" s="131" t="s">
        <v>1082</v>
      </c>
    </row>
    <row r="150" spans="20:36">
      <c r="T150" s="92"/>
      <c r="AA150" s="131">
        <v>592</v>
      </c>
      <c r="AB150" s="131" t="s">
        <v>1126</v>
      </c>
      <c r="AC150" s="131" t="s">
        <v>927</v>
      </c>
      <c r="AD150" s="131" t="s">
        <v>927</v>
      </c>
      <c r="AE150" s="131" t="s">
        <v>945</v>
      </c>
      <c r="AF150" s="131">
        <v>180</v>
      </c>
      <c r="AG150" s="131" t="s">
        <v>940</v>
      </c>
      <c r="AH150" s="131">
        <v>0</v>
      </c>
      <c r="AI150" s="131">
        <v>18</v>
      </c>
      <c r="AJ150" s="131" t="s">
        <v>1082</v>
      </c>
    </row>
    <row r="151" spans="20:36">
      <c r="T151" s="92"/>
      <c r="AA151" s="131">
        <v>594</v>
      </c>
      <c r="AB151" s="131" t="s">
        <v>1127</v>
      </c>
      <c r="AC151" s="131" t="s">
        <v>927</v>
      </c>
      <c r="AD151" s="131" t="s">
        <v>927</v>
      </c>
      <c r="AE151" s="131" t="s">
        <v>916</v>
      </c>
      <c r="AF151" s="131">
        <v>0</v>
      </c>
      <c r="AG151" s="131"/>
      <c r="AH151" s="131">
        <v>20</v>
      </c>
      <c r="AI151" s="131">
        <v>28</v>
      </c>
      <c r="AJ151" s="131"/>
    </row>
    <row r="152" spans="20:36">
      <c r="T152" s="92"/>
      <c r="AA152" s="131">
        <v>600</v>
      </c>
      <c r="AB152" s="131" t="s">
        <v>1128</v>
      </c>
      <c r="AC152" s="131">
        <v>1147</v>
      </c>
      <c r="AD152" s="131" t="s">
        <v>1129</v>
      </c>
      <c r="AE152" s="131" t="s">
        <v>945</v>
      </c>
      <c r="AF152" s="131">
        <v>52</v>
      </c>
      <c r="AG152" s="131"/>
      <c r="AH152" s="131">
        <v>30</v>
      </c>
      <c r="AI152" s="131">
        <v>18</v>
      </c>
      <c r="AJ152" s="131" t="s">
        <v>1082</v>
      </c>
    </row>
    <row r="153" spans="20:36">
      <c r="T153" s="92"/>
      <c r="AA153" s="131">
        <v>605</v>
      </c>
      <c r="AB153" s="131" t="s">
        <v>1130</v>
      </c>
      <c r="AC153" s="131">
        <v>1148</v>
      </c>
      <c r="AD153" s="131" t="s">
        <v>1131</v>
      </c>
      <c r="AE153" s="131" t="s">
        <v>945</v>
      </c>
      <c r="AF153" s="131">
        <v>52</v>
      </c>
      <c r="AG153" s="131"/>
      <c r="AH153" s="131">
        <v>30</v>
      </c>
      <c r="AI153" s="131">
        <v>18</v>
      </c>
      <c r="AJ153" s="131" t="s">
        <v>1082</v>
      </c>
    </row>
    <row r="154" spans="20:36">
      <c r="T154" s="92"/>
      <c r="AA154" s="131">
        <v>610</v>
      </c>
      <c r="AB154" s="131" t="s">
        <v>1132</v>
      </c>
      <c r="AC154" s="131">
        <v>1149</v>
      </c>
      <c r="AD154" s="131" t="s">
        <v>1133</v>
      </c>
      <c r="AE154" s="131" t="s">
        <v>945</v>
      </c>
      <c r="AF154" s="131">
        <v>52</v>
      </c>
      <c r="AG154" s="131"/>
      <c r="AH154" s="131">
        <v>30</v>
      </c>
      <c r="AI154" s="131">
        <v>18</v>
      </c>
      <c r="AJ154" s="131" t="s">
        <v>1082</v>
      </c>
    </row>
    <row r="155" spans="20:36">
      <c r="T155" s="92"/>
      <c r="AA155" s="131">
        <v>628</v>
      </c>
      <c r="AB155" s="131" t="s">
        <v>1134</v>
      </c>
      <c r="AC155" s="131">
        <v>1199</v>
      </c>
      <c r="AD155" s="131" t="s">
        <v>1135</v>
      </c>
      <c r="AE155" s="131" t="s">
        <v>945</v>
      </c>
      <c r="AF155" s="131">
        <v>52</v>
      </c>
      <c r="AG155" s="131"/>
      <c r="AH155" s="131">
        <v>20</v>
      </c>
      <c r="AI155" s="131">
        <v>18</v>
      </c>
      <c r="AJ155" s="131" t="s">
        <v>1082</v>
      </c>
    </row>
    <row r="156" spans="20:36">
      <c r="T156" s="92"/>
      <c r="AA156" s="131">
        <v>630</v>
      </c>
      <c r="AB156" s="131" t="s">
        <v>1136</v>
      </c>
      <c r="AC156" s="131">
        <v>1173</v>
      </c>
      <c r="AD156" s="131" t="s">
        <v>1137</v>
      </c>
      <c r="AE156" s="131" t="s">
        <v>945</v>
      </c>
      <c r="AF156" s="131">
        <v>52</v>
      </c>
      <c r="AG156" s="131" t="s">
        <v>940</v>
      </c>
      <c r="AH156" s="131">
        <v>20</v>
      </c>
      <c r="AI156" s="131">
        <v>18</v>
      </c>
      <c r="AJ156" s="131" t="s">
        <v>1082</v>
      </c>
    </row>
    <row r="157" spans="20:36">
      <c r="T157" s="92"/>
      <c r="AA157" s="131">
        <v>641</v>
      </c>
      <c r="AB157" s="131" t="s">
        <v>1138</v>
      </c>
      <c r="AC157" s="131" t="s">
        <v>927</v>
      </c>
      <c r="AD157" s="131" t="s">
        <v>927</v>
      </c>
      <c r="AE157" s="131" t="s">
        <v>945</v>
      </c>
      <c r="AF157" s="131">
        <v>180</v>
      </c>
      <c r="AG157" s="131" t="s">
        <v>940</v>
      </c>
      <c r="AH157" s="131">
        <v>0</v>
      </c>
      <c r="AI157" s="131">
        <v>18</v>
      </c>
      <c r="AJ157" s="131" t="s">
        <v>1082</v>
      </c>
    </row>
    <row r="158" spans="20:36">
      <c r="T158" s="92"/>
      <c r="AA158" s="131">
        <v>642</v>
      </c>
      <c r="AB158" s="131" t="s">
        <v>1139</v>
      </c>
      <c r="AC158" s="131" t="s">
        <v>927</v>
      </c>
      <c r="AD158" s="131" t="s">
        <v>927</v>
      </c>
      <c r="AE158" s="131" t="s">
        <v>945</v>
      </c>
      <c r="AF158" s="131">
        <v>180</v>
      </c>
      <c r="AG158" s="131" t="s">
        <v>940</v>
      </c>
      <c r="AH158" s="131">
        <v>0</v>
      </c>
      <c r="AI158" s="131">
        <v>18</v>
      </c>
      <c r="AJ158" s="131" t="s">
        <v>1082</v>
      </c>
    </row>
    <row r="159" spans="20:36">
      <c r="T159" s="92"/>
      <c r="AA159" s="131">
        <v>643</v>
      </c>
      <c r="AB159" s="131" t="s">
        <v>1140</v>
      </c>
      <c r="AC159" s="131" t="s">
        <v>927</v>
      </c>
      <c r="AD159" s="131" t="s">
        <v>927</v>
      </c>
      <c r="AE159" s="131" t="s">
        <v>945</v>
      </c>
      <c r="AF159" s="131">
        <v>180</v>
      </c>
      <c r="AG159" s="131" t="s">
        <v>940</v>
      </c>
      <c r="AH159" s="131">
        <v>0</v>
      </c>
      <c r="AI159" s="131">
        <v>18</v>
      </c>
      <c r="AJ159" s="131" t="s">
        <v>1082</v>
      </c>
    </row>
    <row r="160" spans="20:36">
      <c r="T160" s="92"/>
      <c r="AA160" s="131">
        <v>644</v>
      </c>
      <c r="AB160" s="131" t="s">
        <v>1141</v>
      </c>
      <c r="AC160" s="131" t="s">
        <v>927</v>
      </c>
      <c r="AD160" s="131" t="s">
        <v>927</v>
      </c>
      <c r="AE160" s="131" t="s">
        <v>916</v>
      </c>
      <c r="AF160" s="131">
        <v>0</v>
      </c>
      <c r="AG160" s="131"/>
      <c r="AH160" s="131">
        <v>0</v>
      </c>
      <c r="AI160" s="131">
        <v>27</v>
      </c>
      <c r="AJ160" s="131"/>
    </row>
    <row r="161" spans="20:36">
      <c r="T161" s="92"/>
      <c r="AA161" s="131">
        <v>650</v>
      </c>
      <c r="AB161" s="131" t="s">
        <v>1142</v>
      </c>
      <c r="AC161" s="131">
        <v>1157</v>
      </c>
      <c r="AD161" s="131" t="s">
        <v>1143</v>
      </c>
      <c r="AE161" s="131" t="s">
        <v>945</v>
      </c>
      <c r="AF161" s="131">
        <v>180</v>
      </c>
      <c r="AG161" s="131"/>
      <c r="AH161" s="131">
        <v>10</v>
      </c>
      <c r="AI161" s="131">
        <v>18</v>
      </c>
      <c r="AJ161" s="131" t="s">
        <v>1144</v>
      </c>
    </row>
    <row r="162" spans="20:36">
      <c r="T162" s="92"/>
      <c r="AA162" s="131">
        <v>652</v>
      </c>
      <c r="AB162" s="131" t="s">
        <v>1145</v>
      </c>
      <c r="AC162" s="131" t="s">
        <v>927</v>
      </c>
      <c r="AD162" s="131" t="s">
        <v>927</v>
      </c>
      <c r="AE162" s="131" t="s">
        <v>945</v>
      </c>
      <c r="AF162" s="131">
        <v>180</v>
      </c>
      <c r="AG162" s="131"/>
      <c r="AH162" s="131">
        <v>10</v>
      </c>
      <c r="AI162" s="131">
        <v>18</v>
      </c>
      <c r="AJ162" s="131" t="s">
        <v>1144</v>
      </c>
    </row>
    <row r="163" spans="20:36">
      <c r="T163" s="93"/>
      <c r="AA163" s="131">
        <v>653</v>
      </c>
      <c r="AB163" s="131" t="s">
        <v>1146</v>
      </c>
      <c r="AC163" s="131" t="s">
        <v>927</v>
      </c>
      <c r="AD163" s="131" t="s">
        <v>927</v>
      </c>
      <c r="AE163" s="131" t="s">
        <v>957</v>
      </c>
      <c r="AF163" s="131">
        <v>0</v>
      </c>
      <c r="AG163" s="131" t="s">
        <v>940</v>
      </c>
      <c r="AH163" s="131">
        <v>20</v>
      </c>
      <c r="AI163" s="131">
        <v>27</v>
      </c>
      <c r="AJ163" s="131"/>
    </row>
    <row r="164" spans="20:36">
      <c r="T164" s="93"/>
      <c r="AA164" s="131">
        <v>654</v>
      </c>
      <c r="AB164" s="131" t="s">
        <v>1147</v>
      </c>
      <c r="AC164" s="131" t="s">
        <v>927</v>
      </c>
      <c r="AD164" s="131" t="s">
        <v>927</v>
      </c>
      <c r="AE164" s="131" t="s">
        <v>957</v>
      </c>
      <c r="AF164" s="131">
        <v>0</v>
      </c>
      <c r="AG164" s="131"/>
      <c r="AH164" s="131">
        <v>20</v>
      </c>
      <c r="AI164" s="131">
        <v>27</v>
      </c>
      <c r="AJ164" s="131"/>
    </row>
    <row r="165" spans="20:36">
      <c r="T165" s="93"/>
      <c r="AA165" s="131">
        <v>656</v>
      </c>
      <c r="AB165" s="131" t="s">
        <v>1148</v>
      </c>
      <c r="AC165" s="131">
        <v>1910</v>
      </c>
      <c r="AD165" s="131" t="s">
        <v>1149</v>
      </c>
      <c r="AE165" s="131" t="s">
        <v>945</v>
      </c>
      <c r="AF165" s="131">
        <v>180</v>
      </c>
      <c r="AG165" s="131" t="s">
        <v>940</v>
      </c>
      <c r="AH165" s="131">
        <v>20</v>
      </c>
      <c r="AI165" s="131">
        <v>18</v>
      </c>
      <c r="AJ165" s="131" t="s">
        <v>1144</v>
      </c>
    </row>
    <row r="166" spans="20:36">
      <c r="T166" s="93"/>
      <c r="AA166" s="131">
        <v>657</v>
      </c>
      <c r="AB166" s="131" t="s">
        <v>1150</v>
      </c>
      <c r="AC166" s="131">
        <v>1911</v>
      </c>
      <c r="AD166" s="131" t="s">
        <v>1151</v>
      </c>
      <c r="AE166" s="131" t="s">
        <v>945</v>
      </c>
      <c r="AF166" s="131">
        <v>180</v>
      </c>
      <c r="AG166" s="131" t="s">
        <v>940</v>
      </c>
      <c r="AH166" s="131">
        <v>20</v>
      </c>
      <c r="AI166" s="131">
        <v>18</v>
      </c>
      <c r="AJ166" s="131" t="s">
        <v>1144</v>
      </c>
    </row>
    <row r="167" spans="20:36">
      <c r="T167" s="93"/>
      <c r="AA167" s="131">
        <v>658</v>
      </c>
      <c r="AB167" s="131" t="s">
        <v>1152</v>
      </c>
      <c r="AC167" s="131">
        <v>1912</v>
      </c>
      <c r="AD167" s="131" t="s">
        <v>1153</v>
      </c>
      <c r="AE167" s="131" t="s">
        <v>945</v>
      </c>
      <c r="AF167" s="131">
        <v>180</v>
      </c>
      <c r="AG167" s="131" t="s">
        <v>940</v>
      </c>
      <c r="AH167" s="131">
        <v>20</v>
      </c>
      <c r="AI167" s="131">
        <v>18</v>
      </c>
      <c r="AJ167" s="131" t="s">
        <v>1144</v>
      </c>
    </row>
    <row r="168" spans="20:36">
      <c r="T168" s="93"/>
      <c r="AA168" s="131">
        <v>660</v>
      </c>
      <c r="AB168" s="131" t="s">
        <v>1154</v>
      </c>
      <c r="AC168" s="131">
        <v>1159</v>
      </c>
      <c r="AD168" s="131" t="s">
        <v>1155</v>
      </c>
      <c r="AE168" s="131" t="s">
        <v>945</v>
      </c>
      <c r="AF168" s="131">
        <v>190</v>
      </c>
      <c r="AG168" s="131" t="s">
        <v>940</v>
      </c>
      <c r="AH168" s="131">
        <v>0</v>
      </c>
      <c r="AI168" s="131">
        <v>18</v>
      </c>
      <c r="AJ168" s="131" t="s">
        <v>1144</v>
      </c>
    </row>
    <row r="169" spans="20:36">
      <c r="T169" s="93"/>
      <c r="AA169" s="131">
        <v>664</v>
      </c>
      <c r="AB169" s="131" t="s">
        <v>1156</v>
      </c>
      <c r="AC169" s="131" t="s">
        <v>927</v>
      </c>
      <c r="AD169" s="131" t="s">
        <v>927</v>
      </c>
      <c r="AE169" s="131" t="s">
        <v>916</v>
      </c>
      <c r="AF169" s="131">
        <v>52</v>
      </c>
      <c r="AG169" s="131"/>
      <c r="AH169" s="131">
        <v>20</v>
      </c>
      <c r="AI169" s="131">
        <v>6</v>
      </c>
      <c r="AJ169" s="131"/>
    </row>
    <row r="170" spans="20:36">
      <c r="T170" s="93"/>
      <c r="AA170" s="131">
        <v>665</v>
      </c>
      <c r="AB170" s="131" t="s">
        <v>1157</v>
      </c>
      <c r="AC170" s="131">
        <v>1161</v>
      </c>
      <c r="AD170" s="131" t="s">
        <v>1157</v>
      </c>
      <c r="AE170" s="131" t="s">
        <v>945</v>
      </c>
      <c r="AF170" s="131">
        <v>52</v>
      </c>
      <c r="AG170" s="131" t="s">
        <v>940</v>
      </c>
      <c r="AH170" s="131">
        <v>20</v>
      </c>
      <c r="AI170" s="131">
        <v>18</v>
      </c>
      <c r="AJ170" s="131" t="s">
        <v>1144</v>
      </c>
    </row>
    <row r="171" spans="20:36">
      <c r="T171" s="93"/>
      <c r="AA171" s="131">
        <v>666</v>
      </c>
      <c r="AB171" s="131" t="s">
        <v>1158</v>
      </c>
      <c r="AC171" s="131" t="s">
        <v>927</v>
      </c>
      <c r="AD171" s="131" t="s">
        <v>927</v>
      </c>
      <c r="AE171" s="131" t="s">
        <v>945</v>
      </c>
      <c r="AF171" s="131">
        <v>52</v>
      </c>
      <c r="AG171" s="131" t="s">
        <v>940</v>
      </c>
      <c r="AH171" s="131">
        <v>20</v>
      </c>
      <c r="AI171" s="131">
        <v>18</v>
      </c>
      <c r="AJ171" s="131" t="s">
        <v>1144</v>
      </c>
    </row>
    <row r="172" spans="20:36">
      <c r="T172" s="93"/>
      <c r="AA172" s="131">
        <v>667</v>
      </c>
      <c r="AB172" s="131" t="s">
        <v>1159</v>
      </c>
      <c r="AC172" s="131" t="s">
        <v>927</v>
      </c>
      <c r="AD172" s="131" t="s">
        <v>927</v>
      </c>
      <c r="AE172" s="131" t="s">
        <v>957</v>
      </c>
      <c r="AF172" s="131">
        <v>0</v>
      </c>
      <c r="AG172" s="131" t="s">
        <v>940</v>
      </c>
      <c r="AH172" s="131">
        <v>20</v>
      </c>
      <c r="AI172" s="131">
        <v>27</v>
      </c>
      <c r="AJ172" s="131"/>
    </row>
    <row r="173" spans="20:36">
      <c r="T173" s="93"/>
      <c r="AA173" s="131">
        <v>668</v>
      </c>
      <c r="AB173" s="131" t="s">
        <v>1160</v>
      </c>
      <c r="AC173" s="131" t="s">
        <v>927</v>
      </c>
      <c r="AD173" s="131" t="s">
        <v>927</v>
      </c>
      <c r="AE173" s="131" t="s">
        <v>945</v>
      </c>
      <c r="AF173" s="131">
        <v>52</v>
      </c>
      <c r="AG173" s="131" t="s">
        <v>940</v>
      </c>
      <c r="AH173" s="131">
        <v>0</v>
      </c>
      <c r="AI173" s="131">
        <v>18</v>
      </c>
      <c r="AJ173" s="131" t="s">
        <v>1161</v>
      </c>
    </row>
    <row r="174" spans="20:36">
      <c r="AA174" s="131">
        <v>669</v>
      </c>
      <c r="AB174" s="131" t="s">
        <v>1162</v>
      </c>
      <c r="AC174" s="131" t="s">
        <v>927</v>
      </c>
      <c r="AD174" s="131" t="s">
        <v>927</v>
      </c>
      <c r="AE174" s="131" t="s">
        <v>945</v>
      </c>
      <c r="AF174" s="131">
        <v>52</v>
      </c>
      <c r="AG174" s="131" t="s">
        <v>940</v>
      </c>
      <c r="AH174" s="131">
        <v>20</v>
      </c>
      <c r="AI174" s="131">
        <v>18</v>
      </c>
      <c r="AJ174" s="131" t="s">
        <v>1161</v>
      </c>
    </row>
    <row r="175" spans="20:36">
      <c r="AA175" s="131">
        <v>670</v>
      </c>
      <c r="AB175" s="131" t="s">
        <v>1163</v>
      </c>
      <c r="AC175" s="131">
        <v>1163</v>
      </c>
      <c r="AD175" s="131" t="s">
        <v>1164</v>
      </c>
      <c r="AE175" s="131" t="s">
        <v>945</v>
      </c>
      <c r="AF175" s="131">
        <v>180</v>
      </c>
      <c r="AG175" s="131" t="s">
        <v>940</v>
      </c>
      <c r="AH175" s="131">
        <v>0</v>
      </c>
      <c r="AI175" s="131">
        <v>18</v>
      </c>
      <c r="AJ175" s="131" t="s">
        <v>1144</v>
      </c>
    </row>
    <row r="176" spans="20:36">
      <c r="AA176" s="131">
        <v>672</v>
      </c>
      <c r="AB176" s="131" t="s">
        <v>1165</v>
      </c>
      <c r="AC176" s="131" t="s">
        <v>927</v>
      </c>
      <c r="AD176" s="131" t="s">
        <v>927</v>
      </c>
      <c r="AE176" s="131" t="s">
        <v>945</v>
      </c>
      <c r="AF176" s="131">
        <v>180</v>
      </c>
      <c r="AG176" s="131" t="s">
        <v>940</v>
      </c>
      <c r="AH176" s="131">
        <v>0</v>
      </c>
      <c r="AI176" s="131">
        <v>18</v>
      </c>
      <c r="AJ176" s="131" t="s">
        <v>1144</v>
      </c>
    </row>
    <row r="177" spans="27:36">
      <c r="AA177" s="131">
        <v>675</v>
      </c>
      <c r="AB177" s="131" t="s">
        <v>1166</v>
      </c>
      <c r="AC177" s="131">
        <v>1166</v>
      </c>
      <c r="AD177" s="131" t="s">
        <v>1167</v>
      </c>
      <c r="AE177" s="131" t="s">
        <v>945</v>
      </c>
      <c r="AF177" s="131">
        <v>180</v>
      </c>
      <c r="AG177" s="131" t="s">
        <v>940</v>
      </c>
      <c r="AH177" s="131">
        <v>0</v>
      </c>
      <c r="AI177" s="131">
        <v>21</v>
      </c>
      <c r="AJ177" s="131" t="s">
        <v>1144</v>
      </c>
    </row>
    <row r="178" spans="27:36">
      <c r="AA178" s="131">
        <v>679</v>
      </c>
      <c r="AB178" s="131" t="s">
        <v>1168</v>
      </c>
      <c r="AC178" s="131" t="s">
        <v>927</v>
      </c>
      <c r="AD178" s="131" t="s">
        <v>927</v>
      </c>
      <c r="AE178" s="131" t="s">
        <v>945</v>
      </c>
      <c r="AF178" s="131">
        <v>52</v>
      </c>
      <c r="AG178" s="131" t="s">
        <v>940</v>
      </c>
      <c r="AH178" s="131">
        <v>20</v>
      </c>
      <c r="AI178" s="131">
        <v>18</v>
      </c>
      <c r="AJ178" s="131" t="s">
        <v>1144</v>
      </c>
    </row>
    <row r="179" spans="27:36">
      <c r="AA179" s="131">
        <v>681</v>
      </c>
      <c r="AB179" s="131" t="s">
        <v>1169</v>
      </c>
      <c r="AC179" s="131" t="s">
        <v>927</v>
      </c>
      <c r="AD179" s="131" t="s">
        <v>927</v>
      </c>
      <c r="AE179" s="131" t="s">
        <v>957</v>
      </c>
      <c r="AF179" s="131">
        <v>0</v>
      </c>
      <c r="AG179" s="131" t="s">
        <v>940</v>
      </c>
      <c r="AH179" s="131">
        <v>0</v>
      </c>
      <c r="AI179" s="131">
        <v>27</v>
      </c>
      <c r="AJ179" s="131"/>
    </row>
    <row r="180" spans="27:36">
      <c r="AA180" s="131">
        <v>682</v>
      </c>
      <c r="AB180" s="131" t="s">
        <v>1170</v>
      </c>
      <c r="AC180" s="131" t="s">
        <v>927</v>
      </c>
      <c r="AD180" s="131" t="s">
        <v>927</v>
      </c>
      <c r="AE180" s="131" t="s">
        <v>957</v>
      </c>
      <c r="AF180" s="131">
        <v>0</v>
      </c>
      <c r="AG180" s="131" t="s">
        <v>940</v>
      </c>
      <c r="AH180" s="131">
        <v>0</v>
      </c>
      <c r="AI180" s="131">
        <v>27</v>
      </c>
      <c r="AJ180" s="131"/>
    </row>
    <row r="181" spans="27:36">
      <c r="AA181" s="131">
        <v>683</v>
      </c>
      <c r="AB181" s="131" t="s">
        <v>1171</v>
      </c>
      <c r="AC181" s="131" t="s">
        <v>927</v>
      </c>
      <c r="AD181" s="131" t="s">
        <v>927</v>
      </c>
      <c r="AE181" s="131" t="s">
        <v>957</v>
      </c>
      <c r="AF181" s="131">
        <v>0</v>
      </c>
      <c r="AG181" s="131" t="s">
        <v>940</v>
      </c>
      <c r="AH181" s="131">
        <v>0</v>
      </c>
      <c r="AI181" s="131">
        <v>27</v>
      </c>
      <c r="AJ181" s="131"/>
    </row>
    <row r="182" spans="27:36">
      <c r="AA182" s="131">
        <v>687</v>
      </c>
      <c r="AB182" s="131" t="s">
        <v>1172</v>
      </c>
      <c r="AC182" s="131">
        <v>1931</v>
      </c>
      <c r="AD182" s="131" t="s">
        <v>1173</v>
      </c>
      <c r="AE182" s="131" t="s">
        <v>945</v>
      </c>
      <c r="AF182" s="131">
        <v>75</v>
      </c>
      <c r="AG182" s="131" t="s">
        <v>940</v>
      </c>
      <c r="AH182" s="131">
        <v>20</v>
      </c>
      <c r="AI182" s="131">
        <v>24</v>
      </c>
      <c r="AJ182" s="131" t="s">
        <v>1161</v>
      </c>
    </row>
    <row r="183" spans="27:36">
      <c r="AA183" s="131">
        <v>691</v>
      </c>
      <c r="AB183" s="131" t="s">
        <v>1174</v>
      </c>
      <c r="AC183" s="131" t="s">
        <v>927</v>
      </c>
      <c r="AD183" s="131" t="s">
        <v>927</v>
      </c>
      <c r="AE183" s="131" t="s">
        <v>945</v>
      </c>
      <c r="AF183" s="131">
        <v>170</v>
      </c>
      <c r="AG183" s="131" t="s">
        <v>940</v>
      </c>
      <c r="AH183" s="131">
        <v>0</v>
      </c>
      <c r="AI183" s="131">
        <v>16</v>
      </c>
      <c r="AJ183" s="131" t="s">
        <v>1144</v>
      </c>
    </row>
    <row r="184" spans="27:36">
      <c r="AA184" s="131">
        <v>693</v>
      </c>
      <c r="AB184" s="131" t="s">
        <v>1175</v>
      </c>
      <c r="AC184" s="131" t="s">
        <v>927</v>
      </c>
      <c r="AD184" s="131" t="s">
        <v>927</v>
      </c>
      <c r="AE184" s="131" t="s">
        <v>945</v>
      </c>
      <c r="AF184" s="131">
        <v>170</v>
      </c>
      <c r="AG184" s="131" t="s">
        <v>940</v>
      </c>
      <c r="AH184" s="131">
        <v>0</v>
      </c>
      <c r="AI184" s="131">
        <v>16</v>
      </c>
      <c r="AJ184" s="131" t="s">
        <v>1144</v>
      </c>
    </row>
    <row r="185" spans="27:36">
      <c r="AA185" s="131">
        <v>694</v>
      </c>
      <c r="AB185" s="131" t="s">
        <v>1176</v>
      </c>
      <c r="AC185" s="131" t="s">
        <v>927</v>
      </c>
      <c r="AD185" s="131" t="s">
        <v>927</v>
      </c>
      <c r="AE185" s="131" t="s">
        <v>945</v>
      </c>
      <c r="AF185" s="131">
        <v>170</v>
      </c>
      <c r="AG185" s="131" t="s">
        <v>940</v>
      </c>
      <c r="AH185" s="131">
        <v>0</v>
      </c>
      <c r="AI185" s="131">
        <v>16</v>
      </c>
      <c r="AJ185" s="131" t="s">
        <v>1144</v>
      </c>
    </row>
    <row r="186" spans="27:36">
      <c r="AA186" s="131">
        <v>695</v>
      </c>
      <c r="AB186" s="131" t="s">
        <v>1177</v>
      </c>
      <c r="AC186" s="131">
        <v>1198</v>
      </c>
      <c r="AD186" s="131" t="s">
        <v>1178</v>
      </c>
      <c r="AE186" s="131" t="s">
        <v>945</v>
      </c>
      <c r="AF186" s="131">
        <v>52</v>
      </c>
      <c r="AG186" s="131"/>
      <c r="AH186" s="131">
        <v>30</v>
      </c>
      <c r="AI186" s="131">
        <v>22</v>
      </c>
      <c r="AJ186" s="131" t="s">
        <v>1082</v>
      </c>
    </row>
    <row r="187" spans="27:36">
      <c r="AA187" s="131">
        <v>696</v>
      </c>
      <c r="AB187" s="131" t="s">
        <v>1179</v>
      </c>
      <c r="AC187" s="131" t="s">
        <v>927</v>
      </c>
      <c r="AD187" s="131" t="s">
        <v>927</v>
      </c>
      <c r="AE187" s="131" t="s">
        <v>945</v>
      </c>
      <c r="AF187" s="131">
        <v>52</v>
      </c>
      <c r="AG187" s="131" t="s">
        <v>940</v>
      </c>
      <c r="AH187" s="131">
        <v>0</v>
      </c>
      <c r="AI187" s="131">
        <v>16</v>
      </c>
      <c r="AJ187" s="131" t="s">
        <v>1082</v>
      </c>
    </row>
    <row r="188" spans="27:36">
      <c r="AA188" s="131">
        <v>697</v>
      </c>
      <c r="AB188" s="131" t="s">
        <v>1180</v>
      </c>
      <c r="AC188" s="131" t="s">
        <v>927</v>
      </c>
      <c r="AD188" s="131" t="s">
        <v>927</v>
      </c>
      <c r="AE188" s="131" t="s">
        <v>916</v>
      </c>
      <c r="AF188" s="131">
        <v>0</v>
      </c>
      <c r="AG188" s="131"/>
      <c r="AH188" s="131">
        <v>0</v>
      </c>
      <c r="AI188" s="131">
        <v>27</v>
      </c>
      <c r="AJ188" s="131"/>
    </row>
    <row r="189" spans="27:36">
      <c r="AA189" s="131">
        <v>700</v>
      </c>
      <c r="AB189" s="131" t="s">
        <v>1181</v>
      </c>
      <c r="AC189" s="131">
        <v>57</v>
      </c>
      <c r="AD189" s="131" t="s">
        <v>1182</v>
      </c>
      <c r="AE189" s="131" t="s">
        <v>945</v>
      </c>
      <c r="AF189" s="131">
        <v>52</v>
      </c>
      <c r="AG189" s="131" t="s">
        <v>940</v>
      </c>
      <c r="AH189" s="131">
        <v>0</v>
      </c>
      <c r="AI189" s="131">
        <v>18</v>
      </c>
      <c r="AJ189" s="131" t="s">
        <v>1161</v>
      </c>
    </row>
    <row r="190" spans="27:36">
      <c r="AA190" s="131">
        <v>707</v>
      </c>
      <c r="AB190" s="131" t="s">
        <v>1183</v>
      </c>
      <c r="AC190" s="131">
        <v>2408</v>
      </c>
      <c r="AD190" s="131" t="s">
        <v>1184</v>
      </c>
      <c r="AE190" s="131" t="s">
        <v>916</v>
      </c>
      <c r="AF190" s="131">
        <v>52</v>
      </c>
      <c r="AG190" s="131"/>
      <c r="AH190" s="131">
        <v>10</v>
      </c>
      <c r="AI190" s="131">
        <v>28</v>
      </c>
      <c r="AJ190" s="131"/>
    </row>
    <row r="191" spans="27:36">
      <c r="AA191" s="131">
        <v>710</v>
      </c>
      <c r="AB191" s="131" t="s">
        <v>1185</v>
      </c>
      <c r="AC191" s="131">
        <v>95</v>
      </c>
      <c r="AD191" s="131" t="s">
        <v>1185</v>
      </c>
      <c r="AE191" s="131" t="s">
        <v>916</v>
      </c>
      <c r="AF191" s="131">
        <v>180</v>
      </c>
      <c r="AG191" s="131"/>
      <c r="AH191" s="131">
        <v>10</v>
      </c>
      <c r="AI191" s="131">
        <v>28</v>
      </c>
      <c r="AJ191" s="131"/>
    </row>
    <row r="192" spans="27:36">
      <c r="AA192" s="131">
        <v>711</v>
      </c>
      <c r="AB192" s="131" t="s">
        <v>1186</v>
      </c>
      <c r="AC192" s="131" t="s">
        <v>927</v>
      </c>
      <c r="AD192" s="131" t="s">
        <v>927</v>
      </c>
      <c r="AE192" s="131" t="s">
        <v>957</v>
      </c>
      <c r="AF192" s="131">
        <v>0</v>
      </c>
      <c r="AG192" s="131" t="s">
        <v>940</v>
      </c>
      <c r="AH192" s="131">
        <v>0</v>
      </c>
      <c r="AI192" s="131">
        <v>27</v>
      </c>
      <c r="AJ192" s="131"/>
    </row>
    <row r="193" spans="27:36">
      <c r="AA193" s="131">
        <v>712</v>
      </c>
      <c r="AB193" s="131" t="s">
        <v>1187</v>
      </c>
      <c r="AC193" s="131" t="s">
        <v>927</v>
      </c>
      <c r="AD193" s="131" t="s">
        <v>927</v>
      </c>
      <c r="AE193" s="131" t="s">
        <v>957</v>
      </c>
      <c r="AF193" s="131">
        <v>0</v>
      </c>
      <c r="AG193" s="131" t="s">
        <v>940</v>
      </c>
      <c r="AH193" s="131">
        <v>0</v>
      </c>
      <c r="AI193" s="131">
        <v>27</v>
      </c>
      <c r="AJ193" s="131"/>
    </row>
    <row r="194" spans="27:36">
      <c r="AA194" s="131">
        <v>713</v>
      </c>
      <c r="AB194" s="131" t="s">
        <v>1188</v>
      </c>
      <c r="AC194" s="131" t="s">
        <v>927</v>
      </c>
      <c r="AD194" s="131" t="s">
        <v>927</v>
      </c>
      <c r="AE194" s="131" t="s">
        <v>957</v>
      </c>
      <c r="AF194" s="131">
        <v>0</v>
      </c>
      <c r="AG194" s="131" t="s">
        <v>940</v>
      </c>
      <c r="AH194" s="131">
        <v>0</v>
      </c>
      <c r="AI194" s="131">
        <v>27</v>
      </c>
      <c r="AJ194" s="131"/>
    </row>
    <row r="195" spans="27:36">
      <c r="AA195" s="131">
        <v>714</v>
      </c>
      <c r="AB195" s="131" t="s">
        <v>1189</v>
      </c>
      <c r="AC195" s="131" t="s">
        <v>927</v>
      </c>
      <c r="AD195" s="131" t="s">
        <v>927</v>
      </c>
      <c r="AE195" s="131" t="s">
        <v>957</v>
      </c>
      <c r="AF195" s="131">
        <v>0</v>
      </c>
      <c r="AG195" s="131" t="s">
        <v>940</v>
      </c>
      <c r="AH195" s="131">
        <v>0</v>
      </c>
      <c r="AI195" s="131">
        <v>27</v>
      </c>
      <c r="AJ195" s="131"/>
    </row>
    <row r="196" spans="27:36">
      <c r="AA196" s="131">
        <v>715</v>
      </c>
      <c r="AB196" s="131" t="s">
        <v>1190</v>
      </c>
      <c r="AC196" s="131">
        <v>1175</v>
      </c>
      <c r="AD196" s="131" t="s">
        <v>1191</v>
      </c>
      <c r="AE196" s="131" t="s">
        <v>945</v>
      </c>
      <c r="AF196" s="131">
        <v>52</v>
      </c>
      <c r="AG196" s="131" t="s">
        <v>940</v>
      </c>
      <c r="AH196" s="131">
        <v>0</v>
      </c>
      <c r="AI196" s="131">
        <v>18</v>
      </c>
      <c r="AJ196" s="131" t="s">
        <v>1161</v>
      </c>
    </row>
    <row r="197" spans="27:36">
      <c r="AA197" s="131">
        <v>716</v>
      </c>
      <c r="AB197" s="131" t="s">
        <v>1192</v>
      </c>
      <c r="AC197" s="131" t="s">
        <v>927</v>
      </c>
      <c r="AD197" s="131" t="s">
        <v>927</v>
      </c>
      <c r="AE197" s="131" t="s">
        <v>957</v>
      </c>
      <c r="AF197" s="131">
        <v>0</v>
      </c>
      <c r="AG197" s="131" t="s">
        <v>940</v>
      </c>
      <c r="AH197" s="131">
        <v>0</v>
      </c>
      <c r="AI197" s="131">
        <v>27</v>
      </c>
      <c r="AJ197" s="131"/>
    </row>
    <row r="198" spans="27:36">
      <c r="AA198" s="131">
        <v>717</v>
      </c>
      <c r="AB198" s="131" t="s">
        <v>1193</v>
      </c>
      <c r="AC198" s="131" t="s">
        <v>927</v>
      </c>
      <c r="AD198" s="131" t="s">
        <v>927</v>
      </c>
      <c r="AE198" s="131" t="s">
        <v>957</v>
      </c>
      <c r="AF198" s="131">
        <v>0</v>
      </c>
      <c r="AG198" s="131" t="s">
        <v>940</v>
      </c>
      <c r="AH198" s="131">
        <v>0</v>
      </c>
      <c r="AI198" s="131">
        <v>27</v>
      </c>
      <c r="AJ198" s="131"/>
    </row>
    <row r="199" spans="27:36">
      <c r="AA199" s="131">
        <v>718</v>
      </c>
      <c r="AB199" s="131" t="s">
        <v>1194</v>
      </c>
      <c r="AC199" s="131" t="s">
        <v>927</v>
      </c>
      <c r="AD199" s="131" t="s">
        <v>927</v>
      </c>
      <c r="AE199" s="131" t="s">
        <v>957</v>
      </c>
      <c r="AF199" s="131">
        <v>0</v>
      </c>
      <c r="AG199" s="131" t="s">
        <v>940</v>
      </c>
      <c r="AH199" s="131">
        <v>0</v>
      </c>
      <c r="AI199" s="131">
        <v>27</v>
      </c>
      <c r="AJ199" s="131"/>
    </row>
    <row r="200" spans="27:36">
      <c r="AA200" s="131">
        <v>740</v>
      </c>
      <c r="AB200" s="131" t="s">
        <v>1195</v>
      </c>
      <c r="AC200" s="131" t="s">
        <v>927</v>
      </c>
      <c r="AD200" s="131" t="s">
        <v>927</v>
      </c>
      <c r="AE200" s="131" t="s">
        <v>945</v>
      </c>
      <c r="AF200" s="131">
        <v>170</v>
      </c>
      <c r="AG200" s="131"/>
      <c r="AH200" s="131">
        <v>20</v>
      </c>
      <c r="AI200" s="131">
        <v>18</v>
      </c>
      <c r="AJ200" s="131" t="s">
        <v>1161</v>
      </c>
    </row>
    <row r="201" spans="27:36">
      <c r="AA201" s="131">
        <v>741</v>
      </c>
      <c r="AB201" s="131" t="s">
        <v>1196</v>
      </c>
      <c r="AC201" s="131" t="s">
        <v>927</v>
      </c>
      <c r="AD201" s="131" t="s">
        <v>927</v>
      </c>
      <c r="AE201" s="131" t="s">
        <v>945</v>
      </c>
      <c r="AF201" s="131">
        <v>180</v>
      </c>
      <c r="AG201" s="131"/>
      <c r="AH201" s="131">
        <v>20</v>
      </c>
      <c r="AI201" s="131">
        <v>18</v>
      </c>
      <c r="AJ201" s="131" t="s">
        <v>1161</v>
      </c>
    </row>
    <row r="202" spans="27:36">
      <c r="AA202" s="131">
        <v>775</v>
      </c>
      <c r="AB202" s="131" t="s">
        <v>1197</v>
      </c>
      <c r="AC202" s="131" t="s">
        <v>927</v>
      </c>
      <c r="AD202" s="131" t="s">
        <v>927</v>
      </c>
      <c r="AE202" s="131" t="s">
        <v>916</v>
      </c>
      <c r="AF202" s="131">
        <v>60</v>
      </c>
      <c r="AG202" s="131"/>
      <c r="AH202" s="131">
        <v>20</v>
      </c>
      <c r="AI202" s="131">
        <v>6</v>
      </c>
      <c r="AJ202" s="131"/>
    </row>
    <row r="203" spans="27:36">
      <c r="AA203" s="131">
        <v>776</v>
      </c>
      <c r="AB203" s="131" t="s">
        <v>1198</v>
      </c>
      <c r="AC203" s="131" t="s">
        <v>927</v>
      </c>
      <c r="AD203" s="131" t="s">
        <v>927</v>
      </c>
      <c r="AE203" s="131" t="s">
        <v>957</v>
      </c>
      <c r="AF203" s="131">
        <v>0</v>
      </c>
      <c r="AG203" s="131" t="s">
        <v>940</v>
      </c>
      <c r="AH203" s="131">
        <v>0</v>
      </c>
      <c r="AI203" s="131">
        <v>27</v>
      </c>
      <c r="AJ203" s="131"/>
    </row>
    <row r="204" spans="27:36">
      <c r="AA204" s="131">
        <v>780</v>
      </c>
      <c r="AB204" s="131" t="s">
        <v>1199</v>
      </c>
      <c r="AC204" s="131" t="s">
        <v>927</v>
      </c>
      <c r="AD204" s="131" t="s">
        <v>927</v>
      </c>
      <c r="AE204" s="131" t="s">
        <v>945</v>
      </c>
      <c r="AF204" s="131">
        <v>52</v>
      </c>
      <c r="AG204" s="131" t="s">
        <v>940</v>
      </c>
      <c r="AH204" s="131">
        <v>0</v>
      </c>
      <c r="AI204" s="131">
        <v>18</v>
      </c>
      <c r="AJ204" s="131" t="s">
        <v>1161</v>
      </c>
    </row>
    <row r="205" spans="27:36">
      <c r="AA205" s="131">
        <v>785</v>
      </c>
      <c r="AB205" s="131" t="s">
        <v>1200</v>
      </c>
      <c r="AC205" s="131" t="s">
        <v>927</v>
      </c>
      <c r="AD205" s="131" t="s">
        <v>927</v>
      </c>
      <c r="AE205" s="131" t="s">
        <v>957</v>
      </c>
      <c r="AF205" s="131">
        <v>0</v>
      </c>
      <c r="AG205" s="131"/>
      <c r="AH205" s="131">
        <v>20</v>
      </c>
      <c r="AI205" s="131">
        <v>27</v>
      </c>
      <c r="AJ205" s="131"/>
    </row>
    <row r="206" spans="27:36">
      <c r="AA206" s="131">
        <v>786</v>
      </c>
      <c r="AB206" s="131" t="s">
        <v>1201</v>
      </c>
      <c r="AC206" s="131" t="s">
        <v>927</v>
      </c>
      <c r="AD206" s="131" t="s">
        <v>927</v>
      </c>
      <c r="AE206" s="131" t="s">
        <v>957</v>
      </c>
      <c r="AF206" s="131">
        <v>0</v>
      </c>
      <c r="AG206" s="131"/>
      <c r="AH206" s="131">
        <v>0</v>
      </c>
      <c r="AI206" s="131">
        <v>27</v>
      </c>
      <c r="AJ206" s="131"/>
    </row>
    <row r="207" spans="27:36">
      <c r="AA207" s="131">
        <v>806</v>
      </c>
      <c r="AB207" s="131" t="s">
        <v>1202</v>
      </c>
      <c r="AC207" s="131" t="s">
        <v>927</v>
      </c>
      <c r="AD207" s="131" t="s">
        <v>927</v>
      </c>
      <c r="AE207" s="131" t="s">
        <v>945</v>
      </c>
      <c r="AF207" s="131">
        <v>75</v>
      </c>
      <c r="AG207" s="131" t="s">
        <v>940</v>
      </c>
      <c r="AH207" s="131">
        <v>30</v>
      </c>
      <c r="AI207" s="131">
        <v>14</v>
      </c>
      <c r="AJ207" s="131"/>
    </row>
    <row r="208" spans="27:36">
      <c r="AA208" s="131">
        <v>811</v>
      </c>
      <c r="AB208" s="131" t="s">
        <v>1203</v>
      </c>
      <c r="AC208" s="131" t="s">
        <v>927</v>
      </c>
      <c r="AD208" s="131" t="s">
        <v>927</v>
      </c>
      <c r="AE208" s="131" t="s">
        <v>945</v>
      </c>
      <c r="AF208" s="131">
        <v>190</v>
      </c>
      <c r="AG208" s="131" t="s">
        <v>940</v>
      </c>
      <c r="AH208" s="131">
        <v>0</v>
      </c>
      <c r="AI208" s="131">
        <v>14</v>
      </c>
      <c r="AJ208" s="131"/>
    </row>
    <row r="209" spans="27:36">
      <c r="AA209" s="131">
        <v>821</v>
      </c>
      <c r="AB209" s="131" t="s">
        <v>1204</v>
      </c>
      <c r="AC209" s="131" t="s">
        <v>927</v>
      </c>
      <c r="AD209" s="131" t="s">
        <v>927</v>
      </c>
      <c r="AE209" s="131" t="s">
        <v>916</v>
      </c>
      <c r="AF209" s="131">
        <v>52</v>
      </c>
      <c r="AG209" s="131"/>
      <c r="AH209" s="131">
        <v>20</v>
      </c>
      <c r="AI209" s="131">
        <v>15</v>
      </c>
      <c r="AJ209" s="131"/>
    </row>
    <row r="210" spans="27:36">
      <c r="AA210" s="131">
        <v>825</v>
      </c>
      <c r="AB210" s="131" t="s">
        <v>1205</v>
      </c>
      <c r="AC210" s="131" t="s">
        <v>927</v>
      </c>
      <c r="AD210" s="131" t="s">
        <v>927</v>
      </c>
      <c r="AE210" s="131" t="s">
        <v>945</v>
      </c>
      <c r="AF210" s="131">
        <v>52</v>
      </c>
      <c r="AG210" s="131"/>
      <c r="AH210" s="131">
        <v>20</v>
      </c>
      <c r="AI210" s="131">
        <v>21</v>
      </c>
      <c r="AJ210" s="131"/>
    </row>
    <row r="211" spans="27:36">
      <c r="AA211" s="131">
        <v>826</v>
      </c>
      <c r="AB211" s="131" t="s">
        <v>1206</v>
      </c>
      <c r="AC211" s="131" t="s">
        <v>927</v>
      </c>
      <c r="AD211" s="131" t="s">
        <v>927</v>
      </c>
      <c r="AE211" s="131" t="s">
        <v>945</v>
      </c>
      <c r="AF211" s="131">
        <v>52</v>
      </c>
      <c r="AG211" s="131"/>
      <c r="AH211" s="131">
        <v>20</v>
      </c>
      <c r="AI211" s="131">
        <v>21</v>
      </c>
      <c r="AJ211" s="131"/>
    </row>
    <row r="212" spans="27:36">
      <c r="AA212" s="131">
        <v>829</v>
      </c>
      <c r="AB212" s="131" t="s">
        <v>1207</v>
      </c>
      <c r="AC212" s="131" t="s">
        <v>927</v>
      </c>
      <c r="AD212" s="131" t="s">
        <v>927</v>
      </c>
      <c r="AE212" s="131" t="s">
        <v>945</v>
      </c>
      <c r="AF212" s="131">
        <v>52</v>
      </c>
      <c r="AG212" s="131"/>
      <c r="AH212" s="131">
        <v>20</v>
      </c>
      <c r="AI212" s="131">
        <v>21</v>
      </c>
      <c r="AJ212" s="131"/>
    </row>
    <row r="213" spans="27:36">
      <c r="AA213" s="131">
        <v>830</v>
      </c>
      <c r="AB213" s="131" t="s">
        <v>1208</v>
      </c>
      <c r="AC213" s="131" t="s">
        <v>927</v>
      </c>
      <c r="AD213" s="131" t="s">
        <v>927</v>
      </c>
      <c r="AE213" s="131" t="s">
        <v>957</v>
      </c>
      <c r="AF213" s="131">
        <v>0</v>
      </c>
      <c r="AG213" s="131"/>
      <c r="AH213" s="131">
        <v>20</v>
      </c>
      <c r="AI213" s="131">
        <v>27</v>
      </c>
      <c r="AJ213" s="131"/>
    </row>
    <row r="214" spans="27:36">
      <c r="AA214" s="131">
        <v>831</v>
      </c>
      <c r="AB214" s="131" t="s">
        <v>1209</v>
      </c>
      <c r="AC214" s="131" t="s">
        <v>927</v>
      </c>
      <c r="AD214" s="131" t="s">
        <v>927</v>
      </c>
      <c r="AE214" s="131" t="s">
        <v>945</v>
      </c>
      <c r="AF214" s="131">
        <v>52</v>
      </c>
      <c r="AG214" s="131" t="s">
        <v>940</v>
      </c>
      <c r="AH214" s="131">
        <v>0</v>
      </c>
      <c r="AI214" s="131">
        <v>21</v>
      </c>
      <c r="AJ214" s="131"/>
    </row>
    <row r="215" spans="27:36">
      <c r="AA215" s="131">
        <v>835</v>
      </c>
      <c r="AB215" s="131" t="s">
        <v>1210</v>
      </c>
      <c r="AC215" s="131" t="s">
        <v>927</v>
      </c>
      <c r="AD215" s="131" t="s">
        <v>927</v>
      </c>
      <c r="AE215" s="131" t="s">
        <v>957</v>
      </c>
      <c r="AF215" s="131">
        <v>0</v>
      </c>
      <c r="AG215" s="131" t="s">
        <v>940</v>
      </c>
      <c r="AH215" s="131">
        <v>20</v>
      </c>
      <c r="AI215" s="131">
        <v>27</v>
      </c>
      <c r="AJ215" s="131"/>
    </row>
    <row r="216" spans="27:36">
      <c r="AA216" s="131">
        <v>836</v>
      </c>
      <c r="AB216" s="131" t="s">
        <v>1211</v>
      </c>
      <c r="AC216" s="131" t="s">
        <v>927</v>
      </c>
      <c r="AD216" s="131" t="s">
        <v>927</v>
      </c>
      <c r="AE216" s="131" t="s">
        <v>945</v>
      </c>
      <c r="AF216" s="131">
        <v>52</v>
      </c>
      <c r="AG216" s="131" t="s">
        <v>940</v>
      </c>
      <c r="AH216" s="131">
        <v>0</v>
      </c>
      <c r="AI216" s="131">
        <v>21</v>
      </c>
      <c r="AJ216" s="131"/>
    </row>
    <row r="217" spans="27:36">
      <c r="AA217" s="131">
        <v>850</v>
      </c>
      <c r="AB217" s="131" t="s">
        <v>1212</v>
      </c>
      <c r="AC217" s="131">
        <v>1932</v>
      </c>
      <c r="AD217" s="131" t="s">
        <v>1213</v>
      </c>
      <c r="AE217" s="131" t="s">
        <v>957</v>
      </c>
      <c r="AF217" s="131">
        <v>0</v>
      </c>
      <c r="AG217" s="131"/>
      <c r="AH217" s="131">
        <v>20</v>
      </c>
      <c r="AI217" s="131">
        <v>27</v>
      </c>
      <c r="AJ217" s="131"/>
    </row>
    <row r="218" spans="27:36">
      <c r="AA218" s="131">
        <v>855</v>
      </c>
      <c r="AB218" s="131" t="s">
        <v>1214</v>
      </c>
      <c r="AC218" s="131" t="s">
        <v>927</v>
      </c>
      <c r="AD218" s="131" t="s">
        <v>927</v>
      </c>
      <c r="AE218" s="131" t="s">
        <v>916</v>
      </c>
      <c r="AF218" s="131">
        <v>50</v>
      </c>
      <c r="AG218" s="131"/>
      <c r="AH218" s="131">
        <v>20</v>
      </c>
      <c r="AI218" s="131">
        <v>28</v>
      </c>
      <c r="AJ218" s="131"/>
    </row>
    <row r="219" spans="27:36">
      <c r="AA219" s="131">
        <v>856</v>
      </c>
      <c r="AB219" s="131" t="s">
        <v>1215</v>
      </c>
      <c r="AC219" s="131" t="s">
        <v>927</v>
      </c>
      <c r="AD219" s="131" t="s">
        <v>927</v>
      </c>
      <c r="AE219" s="131" t="s">
        <v>916</v>
      </c>
      <c r="AF219" s="131">
        <v>52</v>
      </c>
      <c r="AG219" s="131"/>
      <c r="AH219" s="131">
        <v>20</v>
      </c>
      <c r="AI219" s="131">
        <v>28</v>
      </c>
      <c r="AJ219" s="131"/>
    </row>
    <row r="220" spans="27:36">
      <c r="AA220" s="131">
        <v>857</v>
      </c>
      <c r="AB220" s="131" t="s">
        <v>1216</v>
      </c>
      <c r="AC220" s="131" t="s">
        <v>927</v>
      </c>
      <c r="AD220" s="131" t="s">
        <v>927</v>
      </c>
      <c r="AE220" s="131" t="s">
        <v>957</v>
      </c>
      <c r="AF220" s="131">
        <v>0</v>
      </c>
      <c r="AG220" s="131" t="s">
        <v>940</v>
      </c>
      <c r="AH220" s="131">
        <v>0</v>
      </c>
      <c r="AI220" s="131">
        <v>27</v>
      </c>
      <c r="AJ220" s="131"/>
    </row>
    <row r="221" spans="27:36">
      <c r="AA221" s="131">
        <v>858</v>
      </c>
      <c r="AB221" s="131" t="s">
        <v>1217</v>
      </c>
      <c r="AC221" s="131" t="s">
        <v>927</v>
      </c>
      <c r="AD221" s="131" t="s">
        <v>927</v>
      </c>
      <c r="AE221" s="131" t="s">
        <v>957</v>
      </c>
      <c r="AF221" s="131">
        <v>0</v>
      </c>
      <c r="AG221" s="131" t="s">
        <v>940</v>
      </c>
      <c r="AH221" s="131">
        <v>20</v>
      </c>
      <c r="AI221" s="131">
        <v>27</v>
      </c>
      <c r="AJ221" s="131"/>
    </row>
    <row r="222" spans="27:36">
      <c r="AA222" s="131">
        <v>871</v>
      </c>
      <c r="AB222" s="131" t="s">
        <v>1218</v>
      </c>
      <c r="AC222" s="131" t="s">
        <v>927</v>
      </c>
      <c r="AD222" s="131" t="s">
        <v>927</v>
      </c>
      <c r="AE222" s="131" t="s">
        <v>916</v>
      </c>
      <c r="AF222" s="131">
        <v>0</v>
      </c>
      <c r="AG222" s="131"/>
      <c r="AH222" s="131">
        <v>30</v>
      </c>
      <c r="AI222" s="131">
        <v>28</v>
      </c>
      <c r="AJ222" s="131"/>
    </row>
    <row r="223" spans="27:36">
      <c r="AA223" s="131">
        <v>872</v>
      </c>
      <c r="AB223" s="131" t="s">
        <v>1219</v>
      </c>
      <c r="AC223" s="131" t="s">
        <v>927</v>
      </c>
      <c r="AD223" s="131" t="s">
        <v>927</v>
      </c>
      <c r="AE223" s="131" t="s">
        <v>916</v>
      </c>
      <c r="AF223" s="131">
        <v>0</v>
      </c>
      <c r="AG223" s="131"/>
      <c r="AH223" s="131">
        <v>30</v>
      </c>
      <c r="AI223" s="131">
        <v>28</v>
      </c>
      <c r="AJ223" s="131"/>
    </row>
    <row r="224" spans="27:36">
      <c r="AA224" s="131">
        <v>873</v>
      </c>
      <c r="AB224" s="131" t="s">
        <v>1220</v>
      </c>
      <c r="AC224" s="131" t="s">
        <v>927</v>
      </c>
      <c r="AD224" s="131" t="s">
        <v>927</v>
      </c>
      <c r="AE224" s="131" t="s">
        <v>916</v>
      </c>
      <c r="AF224" s="131">
        <v>0</v>
      </c>
      <c r="AG224" s="131"/>
      <c r="AH224" s="131">
        <v>30</v>
      </c>
      <c r="AI224" s="131">
        <v>28</v>
      </c>
      <c r="AJ224" s="131"/>
    </row>
    <row r="225" spans="27:36">
      <c r="AA225" s="131">
        <v>874</v>
      </c>
      <c r="AB225" s="131" t="s">
        <v>1221</v>
      </c>
      <c r="AC225" s="131" t="s">
        <v>927</v>
      </c>
      <c r="AD225" s="131" t="s">
        <v>927</v>
      </c>
      <c r="AE225" s="131" t="s">
        <v>957</v>
      </c>
      <c r="AF225" s="131">
        <v>0</v>
      </c>
      <c r="AG225" s="131" t="s">
        <v>940</v>
      </c>
      <c r="AH225" s="131">
        <v>20</v>
      </c>
      <c r="AI225" s="131">
        <v>27</v>
      </c>
      <c r="AJ225" s="131"/>
    </row>
    <row r="226" spans="27:36">
      <c r="AA226" s="131">
        <v>875</v>
      </c>
      <c r="AB226" s="131" t="s">
        <v>1222</v>
      </c>
      <c r="AC226" s="131" t="s">
        <v>927</v>
      </c>
      <c r="AD226" s="131" t="s">
        <v>927</v>
      </c>
      <c r="AE226" s="131" t="s">
        <v>916</v>
      </c>
      <c r="AF226" s="131">
        <v>0</v>
      </c>
      <c r="AG226" s="131"/>
      <c r="AH226" s="131">
        <v>20</v>
      </c>
      <c r="AI226" s="131">
        <v>27</v>
      </c>
      <c r="AJ226" s="131"/>
    </row>
    <row r="227" spans="27:36">
      <c r="AA227" s="131">
        <v>876</v>
      </c>
      <c r="AB227" s="131" t="s">
        <v>1223</v>
      </c>
      <c r="AC227" s="131" t="s">
        <v>927</v>
      </c>
      <c r="AD227" s="131" t="s">
        <v>927</v>
      </c>
      <c r="AE227" s="131" t="s">
        <v>916</v>
      </c>
      <c r="AF227" s="131">
        <v>0</v>
      </c>
      <c r="AG227" s="131"/>
      <c r="AH227" s="131">
        <v>30</v>
      </c>
      <c r="AI227" s="131">
        <v>27</v>
      </c>
      <c r="AJ227" s="131"/>
    </row>
    <row r="228" spans="27:36">
      <c r="AA228" s="131">
        <v>877</v>
      </c>
      <c r="AB228" s="131" t="s">
        <v>1224</v>
      </c>
      <c r="AC228" s="131" t="s">
        <v>927</v>
      </c>
      <c r="AD228" s="131" t="s">
        <v>927</v>
      </c>
      <c r="AE228" s="131" t="s">
        <v>916</v>
      </c>
      <c r="AF228" s="131">
        <v>0</v>
      </c>
      <c r="AG228" s="131"/>
      <c r="AH228" s="131">
        <v>20</v>
      </c>
      <c r="AI228" s="131">
        <v>27</v>
      </c>
      <c r="AJ228" s="131"/>
    </row>
    <row r="229" spans="27:36">
      <c r="AA229" s="131">
        <v>878</v>
      </c>
      <c r="AB229" s="131" t="s">
        <v>1225</v>
      </c>
      <c r="AC229" s="131" t="s">
        <v>927</v>
      </c>
      <c r="AD229" s="131" t="s">
        <v>927</v>
      </c>
      <c r="AE229" s="131" t="s">
        <v>916</v>
      </c>
      <c r="AF229" s="131">
        <v>0</v>
      </c>
      <c r="AG229" s="131"/>
      <c r="AH229" s="131">
        <v>20</v>
      </c>
      <c r="AI229" s="131">
        <v>27</v>
      </c>
      <c r="AJ229" s="131"/>
    </row>
    <row r="230" spans="27:36">
      <c r="AA230" s="131">
        <v>960</v>
      </c>
      <c r="AB230" s="131" t="s">
        <v>1226</v>
      </c>
      <c r="AC230" s="131" t="s">
        <v>927</v>
      </c>
      <c r="AD230" s="131" t="s">
        <v>927</v>
      </c>
      <c r="AE230" s="131" t="s">
        <v>957</v>
      </c>
      <c r="AF230" s="131">
        <v>0</v>
      </c>
      <c r="AG230" s="131" t="s">
        <v>940</v>
      </c>
      <c r="AH230" s="131">
        <v>20</v>
      </c>
      <c r="AI230" s="131">
        <v>27</v>
      </c>
      <c r="AJ230" s="131"/>
    </row>
    <row r="231" spans="27:36">
      <c r="AA231" s="131">
        <v>961</v>
      </c>
      <c r="AB231" s="131" t="s">
        <v>1227</v>
      </c>
      <c r="AC231" s="131" t="s">
        <v>927</v>
      </c>
      <c r="AD231" s="131" t="s">
        <v>927</v>
      </c>
      <c r="AE231" s="131" t="s">
        <v>957</v>
      </c>
      <c r="AF231" s="131">
        <v>0</v>
      </c>
      <c r="AG231" s="131" t="s">
        <v>940</v>
      </c>
      <c r="AH231" s="131">
        <v>0</v>
      </c>
      <c r="AI231" s="131">
        <v>27</v>
      </c>
      <c r="AJ231" s="131"/>
    </row>
    <row r="232" spans="27:36">
      <c r="AA232" s="131">
        <v>962</v>
      </c>
      <c r="AB232" s="131" t="s">
        <v>1228</v>
      </c>
      <c r="AC232" s="131" t="s">
        <v>927</v>
      </c>
      <c r="AD232" s="131" t="s">
        <v>927</v>
      </c>
      <c r="AE232" s="131" t="s">
        <v>957</v>
      </c>
      <c r="AF232" s="131">
        <v>0</v>
      </c>
      <c r="AG232" s="131" t="s">
        <v>940</v>
      </c>
      <c r="AH232" s="131">
        <v>20</v>
      </c>
      <c r="AI232" s="131">
        <v>27</v>
      </c>
      <c r="AJ232" s="131"/>
    </row>
    <row r="233" spans="27:36">
      <c r="AA233" s="131">
        <v>963</v>
      </c>
      <c r="AB233" s="131" t="s">
        <v>1229</v>
      </c>
      <c r="AC233" s="131" t="s">
        <v>927</v>
      </c>
      <c r="AD233" s="131" t="s">
        <v>927</v>
      </c>
      <c r="AE233" s="131" t="s">
        <v>957</v>
      </c>
      <c r="AF233" s="131">
        <v>0</v>
      </c>
      <c r="AG233" s="131" t="s">
        <v>940</v>
      </c>
      <c r="AH233" s="131">
        <v>20</v>
      </c>
      <c r="AI233" s="131">
        <v>27</v>
      </c>
      <c r="AJ233" s="131"/>
    </row>
    <row r="234" spans="27:36">
      <c r="AA234" s="131">
        <v>964</v>
      </c>
      <c r="AB234" s="131" t="s">
        <v>1230</v>
      </c>
      <c r="AC234" s="131" t="s">
        <v>927</v>
      </c>
      <c r="AD234" s="131" t="s">
        <v>927</v>
      </c>
      <c r="AE234" s="131" t="s">
        <v>957</v>
      </c>
      <c r="AF234" s="131">
        <v>0</v>
      </c>
      <c r="AG234" s="131" t="s">
        <v>940</v>
      </c>
      <c r="AH234" s="131">
        <v>20</v>
      </c>
      <c r="AI234" s="131">
        <v>27</v>
      </c>
      <c r="AJ234" s="131"/>
    </row>
    <row r="235" spans="27:36">
      <c r="AA235" s="131">
        <v>965</v>
      </c>
      <c r="AB235" s="131" t="s">
        <v>1231</v>
      </c>
      <c r="AC235" s="131" t="s">
        <v>927</v>
      </c>
      <c r="AD235" s="131" t="s">
        <v>927</v>
      </c>
      <c r="AE235" s="131" t="s">
        <v>957</v>
      </c>
      <c r="AF235" s="131">
        <v>0</v>
      </c>
      <c r="AG235" s="131" t="s">
        <v>940</v>
      </c>
      <c r="AH235" s="131">
        <v>20</v>
      </c>
      <c r="AI235" s="131">
        <v>27</v>
      </c>
      <c r="AJ235" s="131"/>
    </row>
    <row r="236" spans="27:36">
      <c r="AA236" s="131">
        <v>967</v>
      </c>
      <c r="AB236" s="131" t="s">
        <v>1232</v>
      </c>
      <c r="AC236" s="131" t="s">
        <v>927</v>
      </c>
      <c r="AD236" s="131" t="s">
        <v>927</v>
      </c>
      <c r="AE236" s="131" t="s">
        <v>957</v>
      </c>
      <c r="AF236" s="131">
        <v>0</v>
      </c>
      <c r="AG236" s="131"/>
      <c r="AH236" s="131">
        <v>20</v>
      </c>
      <c r="AI236" s="131">
        <v>28</v>
      </c>
      <c r="AJ236" s="131"/>
    </row>
    <row r="237" spans="27:36">
      <c r="AA237" s="131">
        <v>968</v>
      </c>
      <c r="AB237" s="131" t="s">
        <v>1233</v>
      </c>
      <c r="AC237" s="131" t="s">
        <v>927</v>
      </c>
      <c r="AD237" s="131" t="s">
        <v>927</v>
      </c>
      <c r="AE237" s="131" t="s">
        <v>957</v>
      </c>
      <c r="AF237" s="131">
        <v>0</v>
      </c>
      <c r="AG237" s="131" t="s">
        <v>940</v>
      </c>
      <c r="AH237" s="131">
        <v>20</v>
      </c>
      <c r="AI237" s="131">
        <v>27</v>
      </c>
      <c r="AJ237" s="131"/>
    </row>
    <row r="238" spans="27:36">
      <c r="AA238" s="131">
        <v>969</v>
      </c>
      <c r="AB238" s="131" t="s">
        <v>1234</v>
      </c>
      <c r="AC238" s="131" t="s">
        <v>927</v>
      </c>
      <c r="AD238" s="131" t="s">
        <v>927</v>
      </c>
      <c r="AE238" s="131" t="s">
        <v>957</v>
      </c>
      <c r="AF238" s="131">
        <v>0</v>
      </c>
      <c r="AG238" s="131"/>
      <c r="AH238" s="131">
        <v>20</v>
      </c>
      <c r="AI238" s="131">
        <v>28</v>
      </c>
      <c r="AJ238" s="131"/>
    </row>
    <row r="239" spans="27:36">
      <c r="AA239" s="131">
        <v>970</v>
      </c>
      <c r="AB239" s="131" t="s">
        <v>1235</v>
      </c>
      <c r="AC239" s="131" t="s">
        <v>927</v>
      </c>
      <c r="AD239" s="131" t="s">
        <v>927</v>
      </c>
      <c r="AE239" s="131" t="s">
        <v>957</v>
      </c>
      <c r="AF239" s="131">
        <v>0</v>
      </c>
      <c r="AG239" s="131" t="s">
        <v>940</v>
      </c>
      <c r="AH239" s="131">
        <v>0</v>
      </c>
      <c r="AI239" s="131">
        <v>27</v>
      </c>
      <c r="AJ239" s="131"/>
    </row>
    <row r="240" spans="27:36">
      <c r="AA240" s="131">
        <v>971</v>
      </c>
      <c r="AB240" s="131" t="s">
        <v>1236</v>
      </c>
      <c r="AC240" s="131" t="s">
        <v>927</v>
      </c>
      <c r="AD240" s="131" t="s">
        <v>927</v>
      </c>
      <c r="AE240" s="131" t="s">
        <v>916</v>
      </c>
      <c r="AF240" s="131">
        <v>52</v>
      </c>
      <c r="AG240" s="131"/>
      <c r="AH240" s="131">
        <v>20</v>
      </c>
      <c r="AI240" s="131">
        <v>15</v>
      </c>
      <c r="AJ240" s="131"/>
    </row>
    <row r="241" spans="27:36">
      <c r="AA241" s="131">
        <v>972</v>
      </c>
      <c r="AB241" s="131" t="s">
        <v>1237</v>
      </c>
      <c r="AC241" s="131" t="s">
        <v>927</v>
      </c>
      <c r="AD241" s="131" t="s">
        <v>927</v>
      </c>
      <c r="AE241" s="131" t="s">
        <v>957</v>
      </c>
      <c r="AF241" s="131">
        <v>0</v>
      </c>
      <c r="AG241" s="131" t="s">
        <v>940</v>
      </c>
      <c r="AH241" s="131">
        <v>20</v>
      </c>
      <c r="AI241" s="131">
        <v>27</v>
      </c>
      <c r="AJ241" s="131"/>
    </row>
    <row r="242" spans="27:36">
      <c r="AA242" s="131">
        <v>973</v>
      </c>
      <c r="AB242" s="131" t="s">
        <v>1238</v>
      </c>
      <c r="AC242" s="131" t="s">
        <v>927</v>
      </c>
      <c r="AD242" s="131" t="s">
        <v>927</v>
      </c>
      <c r="AE242" s="131" t="s">
        <v>916</v>
      </c>
      <c r="AF242" s="131">
        <v>75</v>
      </c>
      <c r="AG242" s="131" t="s">
        <v>940</v>
      </c>
      <c r="AH242" s="131">
        <v>20</v>
      </c>
      <c r="AI242" s="131">
        <v>15</v>
      </c>
      <c r="AJ242" s="131"/>
    </row>
    <row r="243" spans="27:36">
      <c r="AA243" s="131">
        <v>974</v>
      </c>
      <c r="AB243" s="131" t="s">
        <v>1239</v>
      </c>
      <c r="AC243" s="131" t="s">
        <v>927</v>
      </c>
      <c r="AD243" s="131" t="s">
        <v>927</v>
      </c>
      <c r="AE243" s="131" t="s">
        <v>957</v>
      </c>
      <c r="AF243" s="131">
        <v>0</v>
      </c>
      <c r="AG243" s="131" t="s">
        <v>940</v>
      </c>
      <c r="AH243" s="131">
        <v>20</v>
      </c>
      <c r="AI243" s="131">
        <v>27</v>
      </c>
      <c r="AJ243" s="131"/>
    </row>
    <row r="244" spans="27:36">
      <c r="AA244" s="131">
        <v>1001</v>
      </c>
      <c r="AB244" s="131" t="s">
        <v>1240</v>
      </c>
      <c r="AC244" s="131" t="s">
        <v>927</v>
      </c>
      <c r="AD244" s="131" t="s">
        <v>927</v>
      </c>
      <c r="AE244" s="131" t="s">
        <v>957</v>
      </c>
      <c r="AF244" s="131">
        <v>0</v>
      </c>
      <c r="AG244" s="131"/>
      <c r="AH244" s="131">
        <v>20</v>
      </c>
      <c r="AI244" s="131">
        <v>27</v>
      </c>
      <c r="AJ244" s="131"/>
    </row>
    <row r="245" spans="27:36">
      <c r="AA245" s="131">
        <v>1005</v>
      </c>
      <c r="AB245" s="131" t="s">
        <v>1241</v>
      </c>
      <c r="AC245" s="131">
        <v>1558</v>
      </c>
      <c r="AD245" s="131" t="s">
        <v>1242</v>
      </c>
      <c r="AE245" s="131" t="s">
        <v>945</v>
      </c>
      <c r="AF245" s="131">
        <v>52</v>
      </c>
      <c r="AG245" s="131" t="s">
        <v>940</v>
      </c>
      <c r="AH245" s="131">
        <v>20</v>
      </c>
      <c r="AI245" s="131">
        <v>15</v>
      </c>
      <c r="AJ245" s="131"/>
    </row>
    <row r="246" spans="27:36">
      <c r="AA246" s="131">
        <v>1015</v>
      </c>
      <c r="AB246" s="131" t="s">
        <v>1243</v>
      </c>
      <c r="AC246" s="131">
        <v>1564</v>
      </c>
      <c r="AD246" s="131" t="s">
        <v>1244</v>
      </c>
      <c r="AE246" s="131" t="s">
        <v>945</v>
      </c>
      <c r="AF246" s="131">
        <v>52</v>
      </c>
      <c r="AG246" s="131" t="s">
        <v>940</v>
      </c>
      <c r="AH246" s="131">
        <v>0</v>
      </c>
      <c r="AI246" s="131">
        <v>15</v>
      </c>
      <c r="AJ246" s="131"/>
    </row>
    <row r="247" spans="27:36">
      <c r="AA247" s="131">
        <v>1050</v>
      </c>
      <c r="AB247" s="131" t="s">
        <v>1245</v>
      </c>
      <c r="AC247" s="131" t="s">
        <v>927</v>
      </c>
      <c r="AD247" s="131" t="s">
        <v>927</v>
      </c>
      <c r="AE247" s="131" t="s">
        <v>957</v>
      </c>
      <c r="AF247" s="131">
        <v>0</v>
      </c>
      <c r="AG247" s="131"/>
      <c r="AH247" s="131">
        <v>10</v>
      </c>
      <c r="AI247" s="131">
        <v>27</v>
      </c>
      <c r="AJ247" s="131"/>
    </row>
    <row r="248" spans="27:36">
      <c r="AA248" s="131">
        <v>1055</v>
      </c>
      <c r="AB248" s="131" t="s">
        <v>1246</v>
      </c>
      <c r="AC248" s="131" t="s">
        <v>927</v>
      </c>
      <c r="AD248" s="131" t="s">
        <v>927</v>
      </c>
      <c r="AE248" s="131" t="s">
        <v>945</v>
      </c>
      <c r="AF248" s="131">
        <v>52</v>
      </c>
      <c r="AG248" s="131" t="s">
        <v>940</v>
      </c>
      <c r="AH248" s="131">
        <v>0</v>
      </c>
      <c r="AI248" s="131">
        <v>25</v>
      </c>
      <c r="AJ248" s="131"/>
    </row>
    <row r="249" spans="27:36">
      <c r="AA249" s="131">
        <v>1065</v>
      </c>
      <c r="AB249" s="131" t="s">
        <v>1247</v>
      </c>
      <c r="AC249" s="131" t="s">
        <v>927</v>
      </c>
      <c r="AD249" s="131" t="s">
        <v>927</v>
      </c>
      <c r="AE249" s="131" t="s">
        <v>916</v>
      </c>
      <c r="AF249" s="131">
        <v>52</v>
      </c>
      <c r="AG249" s="131"/>
      <c r="AH249" s="131">
        <v>20</v>
      </c>
      <c r="AI249" s="131">
        <v>15</v>
      </c>
      <c r="AJ249" s="131"/>
    </row>
    <row r="250" spans="27:36">
      <c r="AA250" s="131">
        <v>1070</v>
      </c>
      <c r="AB250" s="131" t="s">
        <v>1248</v>
      </c>
      <c r="AC250" s="131" t="s">
        <v>927</v>
      </c>
      <c r="AD250" s="131" t="s">
        <v>927</v>
      </c>
      <c r="AE250" s="131" t="s">
        <v>916</v>
      </c>
      <c r="AF250" s="131">
        <v>52</v>
      </c>
      <c r="AG250" s="131"/>
      <c r="AH250" s="131">
        <v>20</v>
      </c>
      <c r="AI250" s="131">
        <v>15</v>
      </c>
      <c r="AJ250" s="131"/>
    </row>
    <row r="251" spans="27:36">
      <c r="AA251" s="131">
        <v>1125</v>
      </c>
      <c r="AB251" s="131" t="s">
        <v>1249</v>
      </c>
      <c r="AC251" s="131" t="s">
        <v>927</v>
      </c>
      <c r="AD251" s="131" t="s">
        <v>927</v>
      </c>
      <c r="AE251" s="131" t="s">
        <v>945</v>
      </c>
      <c r="AF251" s="131">
        <v>52</v>
      </c>
      <c r="AG251" s="131" t="s">
        <v>940</v>
      </c>
      <c r="AH251" s="131">
        <v>20</v>
      </c>
      <c r="AI251" s="131">
        <v>21</v>
      </c>
      <c r="AJ251" s="131"/>
    </row>
    <row r="252" spans="27:36">
      <c r="AA252" s="131">
        <v>1130</v>
      </c>
      <c r="AB252" s="131" t="s">
        <v>1250</v>
      </c>
      <c r="AC252" s="131" t="s">
        <v>927</v>
      </c>
      <c r="AD252" s="131" t="s">
        <v>927</v>
      </c>
      <c r="AE252" s="131" t="s">
        <v>945</v>
      </c>
      <c r="AF252" s="131">
        <v>52</v>
      </c>
      <c r="AG252" s="131" t="s">
        <v>940</v>
      </c>
      <c r="AH252" s="131">
        <v>0</v>
      </c>
      <c r="AI252" s="131">
        <v>21</v>
      </c>
      <c r="AJ252" s="131"/>
    </row>
    <row r="253" spans="27:36">
      <c r="AA253" s="131">
        <v>1150</v>
      </c>
      <c r="AB253" s="131" t="s">
        <v>1251</v>
      </c>
      <c r="AC253" s="131" t="s">
        <v>927</v>
      </c>
      <c r="AD253" s="131" t="s">
        <v>927</v>
      </c>
      <c r="AE253" s="131" t="s">
        <v>957</v>
      </c>
      <c r="AF253" s="131">
        <v>0</v>
      </c>
      <c r="AG253" s="131" t="s">
        <v>940</v>
      </c>
      <c r="AH253" s="131">
        <v>20</v>
      </c>
      <c r="AI253" s="131">
        <v>27</v>
      </c>
      <c r="AJ253" s="131"/>
    </row>
    <row r="254" spans="27:36">
      <c r="AA254" s="131">
        <v>1151</v>
      </c>
      <c r="AB254" s="131" t="s">
        <v>1252</v>
      </c>
      <c r="AC254" s="131" t="s">
        <v>927</v>
      </c>
      <c r="AD254" s="131" t="s">
        <v>927</v>
      </c>
      <c r="AE254" s="131" t="s">
        <v>916</v>
      </c>
      <c r="AF254" s="131">
        <v>0</v>
      </c>
      <c r="AG254" s="131"/>
      <c r="AH254" s="131">
        <v>20</v>
      </c>
      <c r="AI254" s="131">
        <v>27</v>
      </c>
      <c r="AJ254" s="131"/>
    </row>
    <row r="255" spans="27:36">
      <c r="AA255" s="131">
        <v>1160</v>
      </c>
      <c r="AB255" s="131" t="s">
        <v>1253</v>
      </c>
      <c r="AC255" s="131" t="s">
        <v>927</v>
      </c>
      <c r="AD255" s="131" t="s">
        <v>927</v>
      </c>
      <c r="AE255" s="131" t="s">
        <v>957</v>
      </c>
      <c r="AF255" s="131">
        <v>0</v>
      </c>
      <c r="AG255" s="131"/>
      <c r="AH255" s="131">
        <v>20</v>
      </c>
      <c r="AI255" s="131">
        <v>27</v>
      </c>
      <c r="AJ255" s="131"/>
    </row>
    <row r="256" spans="27:36">
      <c r="AA256" s="131">
        <v>1161</v>
      </c>
      <c r="AB256" s="131" t="s">
        <v>1254</v>
      </c>
      <c r="AC256" s="131" t="s">
        <v>927</v>
      </c>
      <c r="AD256" s="131" t="s">
        <v>927</v>
      </c>
      <c r="AE256" s="131" t="s">
        <v>957</v>
      </c>
      <c r="AF256" s="131">
        <v>0</v>
      </c>
      <c r="AG256" s="131"/>
      <c r="AH256" s="131">
        <v>20</v>
      </c>
      <c r="AI256" s="131">
        <v>27</v>
      </c>
      <c r="AJ256" s="131"/>
    </row>
    <row r="257" spans="27:36">
      <c r="AA257" s="131">
        <v>1200</v>
      </c>
      <c r="AB257" s="131" t="s">
        <v>1255</v>
      </c>
      <c r="AC257" s="131">
        <v>1713</v>
      </c>
      <c r="AD257" s="131" t="s">
        <v>1256</v>
      </c>
      <c r="AE257" s="131" t="s">
        <v>957</v>
      </c>
      <c r="AF257" s="131">
        <v>0</v>
      </c>
      <c r="AG257" s="131"/>
      <c r="AH257" s="131">
        <v>30</v>
      </c>
      <c r="AI257" s="131">
        <v>27</v>
      </c>
      <c r="AJ257" s="131"/>
    </row>
    <row r="258" spans="27:36">
      <c r="AA258" s="131">
        <v>1210</v>
      </c>
      <c r="AB258" s="131" t="s">
        <v>1257</v>
      </c>
      <c r="AC258" s="131">
        <v>1714</v>
      </c>
      <c r="AD258" s="131" t="s">
        <v>1258</v>
      </c>
      <c r="AE258" s="131" t="s">
        <v>945</v>
      </c>
      <c r="AF258" s="131">
        <v>52</v>
      </c>
      <c r="AG258" s="131" t="s">
        <v>940</v>
      </c>
      <c r="AH258" s="131">
        <v>0</v>
      </c>
      <c r="AI258" s="131">
        <v>22</v>
      </c>
      <c r="AJ258" s="131"/>
    </row>
    <row r="259" spans="27:36">
      <c r="AA259" s="131">
        <v>1215</v>
      </c>
      <c r="AB259" s="131" t="s">
        <v>1259</v>
      </c>
      <c r="AC259" s="131" t="s">
        <v>927</v>
      </c>
      <c r="AD259" s="131" t="s">
        <v>927</v>
      </c>
      <c r="AE259" s="131" t="s">
        <v>957</v>
      </c>
      <c r="AF259" s="131">
        <v>0</v>
      </c>
      <c r="AG259" s="131" t="s">
        <v>940</v>
      </c>
      <c r="AH259" s="131">
        <v>20</v>
      </c>
      <c r="AI259" s="131">
        <v>27</v>
      </c>
      <c r="AJ259" s="131"/>
    </row>
    <row r="260" spans="27:36">
      <c r="AA260" s="131">
        <v>1216</v>
      </c>
      <c r="AB260" s="131" t="s">
        <v>1260</v>
      </c>
      <c r="AC260" s="131" t="s">
        <v>927</v>
      </c>
      <c r="AD260" s="131" t="s">
        <v>927</v>
      </c>
      <c r="AE260" s="131" t="s">
        <v>945</v>
      </c>
      <c r="AF260" s="131">
        <v>52</v>
      </c>
      <c r="AG260" s="131" t="s">
        <v>940</v>
      </c>
      <c r="AH260" s="131">
        <v>0</v>
      </c>
      <c r="AI260" s="131">
        <v>21</v>
      </c>
      <c r="AJ260" s="131"/>
    </row>
    <row r="261" spans="27:36">
      <c r="AA261" s="131">
        <v>1311</v>
      </c>
      <c r="AB261" s="131" t="s">
        <v>1261</v>
      </c>
      <c r="AC261" s="131" t="s">
        <v>927</v>
      </c>
      <c r="AD261" s="131" t="s">
        <v>927</v>
      </c>
      <c r="AE261" s="131" t="s">
        <v>957</v>
      </c>
      <c r="AF261" s="131">
        <v>0</v>
      </c>
      <c r="AG261" s="131" t="s">
        <v>940</v>
      </c>
      <c r="AH261" s="131">
        <v>20</v>
      </c>
      <c r="AI261" s="131">
        <v>27</v>
      </c>
      <c r="AJ261" s="131"/>
    </row>
    <row r="262" spans="27:36">
      <c r="AA262" s="131">
        <v>1312</v>
      </c>
      <c r="AB262" s="131" t="s">
        <v>1262</v>
      </c>
      <c r="AC262" s="131" t="s">
        <v>927</v>
      </c>
      <c r="AD262" s="131" t="s">
        <v>927</v>
      </c>
      <c r="AE262" s="131" t="s">
        <v>957</v>
      </c>
      <c r="AF262" s="131">
        <v>0</v>
      </c>
      <c r="AG262" s="131" t="s">
        <v>940</v>
      </c>
      <c r="AH262" s="131">
        <v>20</v>
      </c>
      <c r="AI262" s="131">
        <v>27</v>
      </c>
      <c r="AJ262" s="131"/>
    </row>
    <row r="263" spans="27:36">
      <c r="AA263" s="131">
        <v>1313</v>
      </c>
      <c r="AB263" s="131" t="s">
        <v>1263</v>
      </c>
      <c r="AC263" s="131" t="s">
        <v>927</v>
      </c>
      <c r="AD263" s="131" t="s">
        <v>927</v>
      </c>
      <c r="AE263" s="131" t="s">
        <v>957</v>
      </c>
      <c r="AF263" s="131">
        <v>0</v>
      </c>
      <c r="AG263" s="131" t="s">
        <v>940</v>
      </c>
      <c r="AH263" s="131">
        <v>20</v>
      </c>
      <c r="AI263" s="131">
        <v>27</v>
      </c>
      <c r="AJ263" s="131"/>
    </row>
    <row r="264" spans="27:36">
      <c r="AA264" s="131">
        <v>1314</v>
      </c>
      <c r="AB264" s="131" t="s">
        <v>1264</v>
      </c>
      <c r="AC264" s="131" t="s">
        <v>927</v>
      </c>
      <c r="AD264" s="131" t="s">
        <v>927</v>
      </c>
      <c r="AE264" s="131" t="s">
        <v>957</v>
      </c>
      <c r="AF264" s="131">
        <v>0</v>
      </c>
      <c r="AG264" s="131" t="s">
        <v>940</v>
      </c>
      <c r="AH264" s="131">
        <v>20</v>
      </c>
      <c r="AI264" s="131">
        <v>27</v>
      </c>
      <c r="AJ264" s="131"/>
    </row>
    <row r="265" spans="27:36">
      <c r="AA265" s="131">
        <v>1316</v>
      </c>
      <c r="AB265" s="131" t="s">
        <v>1265</v>
      </c>
      <c r="AC265" s="131" t="s">
        <v>927</v>
      </c>
      <c r="AD265" s="131" t="s">
        <v>927</v>
      </c>
      <c r="AE265" s="131" t="s">
        <v>945</v>
      </c>
      <c r="AF265" s="131">
        <v>52</v>
      </c>
      <c r="AG265" s="131" t="s">
        <v>940</v>
      </c>
      <c r="AH265" s="131">
        <v>20</v>
      </c>
      <c r="AI265" s="131">
        <v>23</v>
      </c>
      <c r="AJ265" s="131"/>
    </row>
    <row r="266" spans="27:36">
      <c r="AA266" s="131">
        <v>1319</v>
      </c>
      <c r="AB266" s="131" t="s">
        <v>1266</v>
      </c>
      <c r="AC266" s="131" t="s">
        <v>927</v>
      </c>
      <c r="AD266" s="131" t="s">
        <v>927</v>
      </c>
      <c r="AE266" s="131" t="s">
        <v>957</v>
      </c>
      <c r="AF266" s="131">
        <v>0</v>
      </c>
      <c r="AG266" s="131" t="s">
        <v>940</v>
      </c>
      <c r="AH266" s="131">
        <v>20</v>
      </c>
      <c r="AI266" s="131">
        <v>27</v>
      </c>
      <c r="AJ266" s="131"/>
    </row>
    <row r="267" spans="27:36">
      <c r="AA267" s="131">
        <v>1320</v>
      </c>
      <c r="AB267" s="131" t="s">
        <v>1267</v>
      </c>
      <c r="AC267" s="131" t="s">
        <v>927</v>
      </c>
      <c r="AD267" s="131" t="s">
        <v>927</v>
      </c>
      <c r="AE267" s="131" t="s">
        <v>916</v>
      </c>
      <c r="AF267" s="131">
        <v>0</v>
      </c>
      <c r="AG267" s="131"/>
      <c r="AH267" s="131">
        <v>20</v>
      </c>
      <c r="AI267" s="131">
        <v>27</v>
      </c>
      <c r="AJ267" s="131"/>
    </row>
    <row r="268" spans="27:36">
      <c r="AA268" s="131">
        <v>1321</v>
      </c>
      <c r="AB268" s="131" t="s">
        <v>1268</v>
      </c>
      <c r="AC268" s="131" t="s">
        <v>927</v>
      </c>
      <c r="AD268" s="131" t="s">
        <v>927</v>
      </c>
      <c r="AE268" s="131" t="s">
        <v>957</v>
      </c>
      <c r="AF268" s="131">
        <v>0</v>
      </c>
      <c r="AG268" s="131" t="s">
        <v>940</v>
      </c>
      <c r="AH268" s="131">
        <v>20</v>
      </c>
      <c r="AI268" s="131">
        <v>27</v>
      </c>
      <c r="AJ268" s="131"/>
    </row>
    <row r="269" spans="27:36">
      <c r="AA269" s="131">
        <v>1322</v>
      </c>
      <c r="AB269" s="131" t="s">
        <v>1269</v>
      </c>
      <c r="AC269" s="131" t="s">
        <v>927</v>
      </c>
      <c r="AD269" s="131" t="s">
        <v>927</v>
      </c>
      <c r="AE269" s="131" t="s">
        <v>957</v>
      </c>
      <c r="AF269" s="131">
        <v>0</v>
      </c>
      <c r="AG269" s="131" t="s">
        <v>940</v>
      </c>
      <c r="AH269" s="131">
        <v>20</v>
      </c>
      <c r="AI269" s="131">
        <v>27</v>
      </c>
      <c r="AJ269" s="131"/>
    </row>
    <row r="270" spans="27:36">
      <c r="AA270" s="131">
        <v>1405</v>
      </c>
      <c r="AB270" s="131" t="s">
        <v>1270</v>
      </c>
      <c r="AC270" s="131">
        <v>1585</v>
      </c>
      <c r="AD270" s="131" t="s">
        <v>1271</v>
      </c>
      <c r="AE270" s="131" t="s">
        <v>916</v>
      </c>
      <c r="AF270" s="131">
        <v>60</v>
      </c>
      <c r="AG270" s="131" t="s">
        <v>940</v>
      </c>
      <c r="AH270" s="131">
        <v>0</v>
      </c>
      <c r="AI270" s="131">
        <v>9</v>
      </c>
      <c r="AJ270" s="131"/>
    </row>
    <row r="271" spans="27:36">
      <c r="AA271" s="131">
        <v>1407</v>
      </c>
      <c r="AB271" s="131" t="s">
        <v>1272</v>
      </c>
      <c r="AC271" s="131" t="s">
        <v>927</v>
      </c>
      <c r="AD271" s="131" t="s">
        <v>927</v>
      </c>
      <c r="AE271" s="131" t="s">
        <v>916</v>
      </c>
      <c r="AF271" s="131">
        <v>60</v>
      </c>
      <c r="AG271" s="131" t="s">
        <v>940</v>
      </c>
      <c r="AH271" s="131">
        <v>0</v>
      </c>
      <c r="AI271" s="131">
        <v>9</v>
      </c>
      <c r="AJ271" s="131"/>
    </row>
    <row r="272" spans="27:36">
      <c r="AA272" s="131">
        <v>1408</v>
      </c>
      <c r="AB272" s="131" t="s">
        <v>1273</v>
      </c>
      <c r="AC272" s="131" t="s">
        <v>927</v>
      </c>
      <c r="AD272" s="131" t="s">
        <v>927</v>
      </c>
      <c r="AE272" s="131" t="s">
        <v>916</v>
      </c>
      <c r="AF272" s="131">
        <v>0</v>
      </c>
      <c r="AG272" s="131"/>
      <c r="AH272" s="131">
        <v>20</v>
      </c>
      <c r="AI272" s="131">
        <v>28</v>
      </c>
      <c r="AJ272" s="131"/>
    </row>
    <row r="273" spans="27:36">
      <c r="AA273" s="131">
        <v>1409</v>
      </c>
      <c r="AB273" s="131" t="s">
        <v>1274</v>
      </c>
      <c r="AC273" s="131" t="s">
        <v>927</v>
      </c>
      <c r="AD273" s="131" t="s">
        <v>927</v>
      </c>
      <c r="AE273" s="131" t="s">
        <v>916</v>
      </c>
      <c r="AF273" s="131">
        <v>0</v>
      </c>
      <c r="AG273" s="131"/>
      <c r="AH273" s="131">
        <v>20</v>
      </c>
      <c r="AI273" s="131">
        <v>28</v>
      </c>
      <c r="AJ273" s="131"/>
    </row>
    <row r="274" spans="27:36">
      <c r="AA274" s="131">
        <v>1410</v>
      </c>
      <c r="AB274" s="131" t="s">
        <v>1275</v>
      </c>
      <c r="AC274" s="131" t="s">
        <v>927</v>
      </c>
      <c r="AD274" s="131" t="s">
        <v>927</v>
      </c>
      <c r="AE274" s="131" t="s">
        <v>916</v>
      </c>
      <c r="AF274" s="131">
        <v>190</v>
      </c>
      <c r="AG274" s="131" t="s">
        <v>940</v>
      </c>
      <c r="AH274" s="131">
        <v>0</v>
      </c>
      <c r="AI274" s="131">
        <v>9</v>
      </c>
      <c r="AJ274" s="131"/>
    </row>
    <row r="275" spans="27:36">
      <c r="AA275" s="131">
        <v>1500</v>
      </c>
      <c r="AB275" s="131" t="s">
        <v>1276</v>
      </c>
      <c r="AC275" s="131">
        <v>1337</v>
      </c>
      <c r="AD275" s="131" t="s">
        <v>1277</v>
      </c>
      <c r="AE275" s="131" t="s">
        <v>945</v>
      </c>
      <c r="AF275" s="131">
        <v>52</v>
      </c>
      <c r="AG275" s="131" t="s">
        <v>940</v>
      </c>
      <c r="AH275" s="131">
        <v>0</v>
      </c>
      <c r="AI275" s="131">
        <v>23</v>
      </c>
      <c r="AJ275" s="131"/>
    </row>
    <row r="276" spans="27:36">
      <c r="AA276" s="131">
        <v>1510</v>
      </c>
      <c r="AB276" s="131" t="s">
        <v>1278</v>
      </c>
      <c r="AC276" s="131">
        <v>1306</v>
      </c>
      <c r="AD276" s="131" t="s">
        <v>1279</v>
      </c>
      <c r="AE276" s="131" t="s">
        <v>945</v>
      </c>
      <c r="AF276" s="131">
        <v>52</v>
      </c>
      <c r="AG276" s="131" t="s">
        <v>940</v>
      </c>
      <c r="AH276" s="131">
        <v>0</v>
      </c>
      <c r="AI276" s="131">
        <v>23</v>
      </c>
      <c r="AJ276" s="131"/>
    </row>
    <row r="277" spans="27:36">
      <c r="AA277" s="131">
        <v>1520</v>
      </c>
      <c r="AB277" s="131" t="s">
        <v>1280</v>
      </c>
      <c r="AC277" s="131" t="s">
        <v>927</v>
      </c>
      <c r="AD277" s="131" t="s">
        <v>927</v>
      </c>
      <c r="AE277" s="131" t="s">
        <v>945</v>
      </c>
      <c r="AF277" s="131">
        <v>52</v>
      </c>
      <c r="AG277" s="131" t="s">
        <v>940</v>
      </c>
      <c r="AH277" s="131">
        <v>20</v>
      </c>
      <c r="AI277" s="131">
        <v>21</v>
      </c>
      <c r="AJ277" s="131"/>
    </row>
    <row r="278" spans="27:36">
      <c r="AA278" s="131">
        <v>1525</v>
      </c>
      <c r="AB278" s="131" t="s">
        <v>1281</v>
      </c>
      <c r="AC278" s="131" t="s">
        <v>927</v>
      </c>
      <c r="AD278" s="131" t="s">
        <v>927</v>
      </c>
      <c r="AE278" s="131" t="s">
        <v>945</v>
      </c>
      <c r="AF278" s="131">
        <v>52</v>
      </c>
      <c r="AG278" s="131" t="s">
        <v>940</v>
      </c>
      <c r="AH278" s="131">
        <v>20</v>
      </c>
      <c r="AI278" s="131">
        <v>21</v>
      </c>
      <c r="AJ278" s="131"/>
    </row>
    <row r="279" spans="27:36">
      <c r="AA279" s="131">
        <v>1530</v>
      </c>
      <c r="AB279" s="131" t="s">
        <v>1282</v>
      </c>
      <c r="AC279" s="131" t="s">
        <v>927</v>
      </c>
      <c r="AD279" s="131" t="s">
        <v>927</v>
      </c>
      <c r="AE279" s="131" t="s">
        <v>957</v>
      </c>
      <c r="AF279" s="131">
        <v>0</v>
      </c>
      <c r="AG279" s="131"/>
      <c r="AH279" s="131">
        <v>10</v>
      </c>
      <c r="AI279" s="131">
        <v>27</v>
      </c>
      <c r="AJ279" s="131"/>
    </row>
    <row r="280" spans="27:36">
      <c r="AA280" s="131">
        <v>1548</v>
      </c>
      <c r="AB280" s="131" t="s">
        <v>1283</v>
      </c>
      <c r="AC280" s="131" t="s">
        <v>927</v>
      </c>
      <c r="AD280" s="131" t="s">
        <v>927</v>
      </c>
      <c r="AE280" s="131" t="s">
        <v>945</v>
      </c>
      <c r="AF280" s="131">
        <v>52</v>
      </c>
      <c r="AG280" s="131" t="s">
        <v>940</v>
      </c>
      <c r="AH280" s="131">
        <v>20</v>
      </c>
      <c r="AI280" s="131">
        <v>23</v>
      </c>
      <c r="AJ280" s="131"/>
    </row>
    <row r="281" spans="27:36">
      <c r="AA281" s="131">
        <v>1550</v>
      </c>
      <c r="AB281" s="131" t="s">
        <v>1284</v>
      </c>
      <c r="AC281" s="131">
        <v>1355</v>
      </c>
      <c r="AD281" s="131" t="s">
        <v>1285</v>
      </c>
      <c r="AE281" s="131" t="s">
        <v>945</v>
      </c>
      <c r="AF281" s="131">
        <v>52</v>
      </c>
      <c r="AG281" s="131" t="s">
        <v>940</v>
      </c>
      <c r="AH281" s="131">
        <v>20</v>
      </c>
      <c r="AI281" s="131">
        <v>23</v>
      </c>
      <c r="AJ281" s="131"/>
    </row>
    <row r="282" spans="27:36">
      <c r="AA282" s="131">
        <v>1552</v>
      </c>
      <c r="AB282" s="131" t="s">
        <v>1286</v>
      </c>
      <c r="AC282" s="131">
        <v>2315</v>
      </c>
      <c r="AD282" s="131" t="s">
        <v>927</v>
      </c>
      <c r="AE282" s="131" t="s">
        <v>916</v>
      </c>
      <c r="AF282" s="131">
        <v>0</v>
      </c>
      <c r="AG282" s="131"/>
      <c r="AH282" s="131">
        <v>20</v>
      </c>
      <c r="AI282" s="131">
        <v>28</v>
      </c>
      <c r="AJ282" s="131"/>
    </row>
    <row r="283" spans="27:36">
      <c r="AA283" s="131">
        <v>1555</v>
      </c>
      <c r="AB283" s="131" t="s">
        <v>1287</v>
      </c>
      <c r="AC283" s="131" t="s">
        <v>927</v>
      </c>
      <c r="AD283" s="131" t="s">
        <v>927</v>
      </c>
      <c r="AE283" s="131" t="s">
        <v>916</v>
      </c>
      <c r="AF283" s="131">
        <v>0</v>
      </c>
      <c r="AG283" s="131"/>
      <c r="AH283" s="131">
        <v>20</v>
      </c>
      <c r="AI283" s="131">
        <v>28</v>
      </c>
      <c r="AJ283" s="131"/>
    </row>
    <row r="284" spans="27:36">
      <c r="AA284" s="131">
        <v>1557</v>
      </c>
      <c r="AB284" s="131" t="s">
        <v>1288</v>
      </c>
      <c r="AC284" s="131" t="s">
        <v>927</v>
      </c>
      <c r="AD284" s="131" t="s">
        <v>927</v>
      </c>
      <c r="AE284" s="131" t="s">
        <v>916</v>
      </c>
      <c r="AF284" s="131">
        <v>0</v>
      </c>
      <c r="AG284" s="131"/>
      <c r="AH284" s="131">
        <v>20</v>
      </c>
      <c r="AI284" s="131">
        <v>28</v>
      </c>
      <c r="AJ284" s="131"/>
    </row>
    <row r="285" spans="27:36">
      <c r="AA285" s="131">
        <v>1558</v>
      </c>
      <c r="AB285" s="131" t="s">
        <v>1289</v>
      </c>
      <c r="AC285" s="131" t="s">
        <v>927</v>
      </c>
      <c r="AD285" s="131" t="s">
        <v>927</v>
      </c>
      <c r="AE285" s="131" t="s">
        <v>957</v>
      </c>
      <c r="AF285" s="131">
        <v>0</v>
      </c>
      <c r="AG285" s="131" t="s">
        <v>940</v>
      </c>
      <c r="AH285" s="131">
        <v>0</v>
      </c>
      <c r="AI285" s="131">
        <v>27</v>
      </c>
      <c r="AJ285" s="131"/>
    </row>
    <row r="286" spans="27:36">
      <c r="AA286" s="131">
        <v>1560</v>
      </c>
      <c r="AB286" s="131" t="s">
        <v>1290</v>
      </c>
      <c r="AC286" s="131" t="s">
        <v>927</v>
      </c>
      <c r="AD286" s="131" t="s">
        <v>927</v>
      </c>
      <c r="AE286" s="131" t="s">
        <v>916</v>
      </c>
      <c r="AF286" s="131">
        <v>0</v>
      </c>
      <c r="AG286" s="131"/>
      <c r="AH286" s="131">
        <v>20</v>
      </c>
      <c r="AI286" s="131">
        <v>28</v>
      </c>
      <c r="AJ286" s="131"/>
    </row>
    <row r="287" spans="27:36">
      <c r="AA287" s="131">
        <v>1565</v>
      </c>
      <c r="AB287" s="131" t="s">
        <v>1291</v>
      </c>
      <c r="AC287" s="131" t="s">
        <v>927</v>
      </c>
      <c r="AD287" s="131" t="s">
        <v>927</v>
      </c>
      <c r="AE287" s="131" t="s">
        <v>916</v>
      </c>
      <c r="AF287" s="131">
        <v>0</v>
      </c>
      <c r="AG287" s="131"/>
      <c r="AH287" s="131">
        <v>20</v>
      </c>
      <c r="AI287" s="131">
        <v>28</v>
      </c>
      <c r="AJ287" s="131"/>
    </row>
    <row r="288" spans="27:36">
      <c r="AA288" s="131">
        <v>1570</v>
      </c>
      <c r="AB288" s="131" t="s">
        <v>1292</v>
      </c>
      <c r="AC288" s="131" t="s">
        <v>927</v>
      </c>
      <c r="AD288" s="131" t="s">
        <v>927</v>
      </c>
      <c r="AE288" s="131" t="s">
        <v>916</v>
      </c>
      <c r="AF288" s="131">
        <v>0</v>
      </c>
      <c r="AG288" s="131"/>
      <c r="AH288" s="131">
        <v>20</v>
      </c>
      <c r="AI288" s="131">
        <v>28</v>
      </c>
      <c r="AJ288" s="131"/>
    </row>
    <row r="289" spans="27:36">
      <c r="AA289" s="131">
        <v>1600</v>
      </c>
      <c r="AB289" s="131" t="s">
        <v>1293</v>
      </c>
      <c r="AC289" s="131" t="s">
        <v>1294</v>
      </c>
      <c r="AD289" s="131" t="s">
        <v>1295</v>
      </c>
      <c r="AE289" s="131" t="s">
        <v>945</v>
      </c>
      <c r="AF289" s="131">
        <v>75</v>
      </c>
      <c r="AG289" s="131" t="s">
        <v>940</v>
      </c>
      <c r="AH289" s="131">
        <v>30</v>
      </c>
      <c r="AI289" s="131">
        <v>14</v>
      </c>
      <c r="AJ289" s="131"/>
    </row>
    <row r="290" spans="27:36">
      <c r="AA290" s="131">
        <v>1610</v>
      </c>
      <c r="AB290" s="131" t="s">
        <v>1296</v>
      </c>
      <c r="AC290" s="131" t="s">
        <v>1297</v>
      </c>
      <c r="AD290" s="131" t="s">
        <v>1298</v>
      </c>
      <c r="AE290" s="131" t="s">
        <v>945</v>
      </c>
      <c r="AF290" s="131">
        <v>190</v>
      </c>
      <c r="AG290" s="131" t="s">
        <v>940</v>
      </c>
      <c r="AH290" s="131">
        <v>0</v>
      </c>
      <c r="AI290" s="131">
        <v>14</v>
      </c>
      <c r="AJ290" s="131"/>
    </row>
    <row r="291" spans="27:36">
      <c r="AA291" s="131">
        <v>1625</v>
      </c>
      <c r="AB291" s="131" t="s">
        <v>1299</v>
      </c>
      <c r="AC291" s="131" t="s">
        <v>927</v>
      </c>
      <c r="AD291" s="131" t="s">
        <v>927</v>
      </c>
      <c r="AE291" s="131" t="s">
        <v>945</v>
      </c>
      <c r="AF291" s="131">
        <v>52</v>
      </c>
      <c r="AG291" s="131"/>
      <c r="AH291" s="131">
        <v>20</v>
      </c>
      <c r="AI291" s="131">
        <v>21</v>
      </c>
      <c r="AJ291" s="131"/>
    </row>
    <row r="292" spans="27:36">
      <c r="AA292" s="131">
        <v>1630</v>
      </c>
      <c r="AB292" s="131" t="s">
        <v>1300</v>
      </c>
      <c r="AC292" s="131" t="s">
        <v>927</v>
      </c>
      <c r="AD292" s="131" t="s">
        <v>927</v>
      </c>
      <c r="AE292" s="131" t="s">
        <v>945</v>
      </c>
      <c r="AF292" s="131">
        <v>52</v>
      </c>
      <c r="AG292" s="131" t="s">
        <v>940</v>
      </c>
      <c r="AH292" s="131">
        <v>0</v>
      </c>
      <c r="AI292" s="131">
        <v>21</v>
      </c>
      <c r="AJ292" s="131"/>
    </row>
    <row r="293" spans="27:36">
      <c r="AA293" s="131">
        <v>1680</v>
      </c>
      <c r="AB293" s="131" t="s">
        <v>1301</v>
      </c>
      <c r="AC293" s="131" t="s">
        <v>927</v>
      </c>
      <c r="AD293" s="131" t="s">
        <v>927</v>
      </c>
      <c r="AE293" s="131" t="s">
        <v>945</v>
      </c>
      <c r="AF293" s="131">
        <v>52</v>
      </c>
      <c r="AG293" s="131"/>
      <c r="AH293" s="131">
        <v>20</v>
      </c>
      <c r="AI293" s="131">
        <v>21</v>
      </c>
      <c r="AJ293" s="131"/>
    </row>
    <row r="294" spans="27:36">
      <c r="AA294" s="131">
        <v>1685</v>
      </c>
      <c r="AB294" s="131" t="s">
        <v>1302</v>
      </c>
      <c r="AC294" s="131" t="s">
        <v>927</v>
      </c>
      <c r="AD294" s="131" t="s">
        <v>927</v>
      </c>
      <c r="AE294" s="131" t="s">
        <v>945</v>
      </c>
      <c r="AF294" s="131">
        <v>52</v>
      </c>
      <c r="AG294" s="131" t="s">
        <v>940</v>
      </c>
      <c r="AH294" s="131">
        <v>20</v>
      </c>
      <c r="AI294" s="131">
        <v>15</v>
      </c>
      <c r="AJ294" s="131"/>
    </row>
    <row r="295" spans="27:36">
      <c r="AA295" s="131">
        <v>1700</v>
      </c>
      <c r="AB295" s="131" t="s">
        <v>1303</v>
      </c>
      <c r="AC295" s="131" t="s">
        <v>1304</v>
      </c>
      <c r="AD295" s="131" t="s">
        <v>1305</v>
      </c>
      <c r="AE295" s="131" t="s">
        <v>957</v>
      </c>
      <c r="AF295" s="131">
        <v>0</v>
      </c>
      <c r="AG295" s="131"/>
      <c r="AH295" s="131">
        <v>20</v>
      </c>
      <c r="AI295" s="131">
        <v>27</v>
      </c>
      <c r="AJ295" s="131"/>
    </row>
    <row r="296" spans="27:36">
      <c r="AA296" s="131">
        <v>1705</v>
      </c>
      <c r="AB296" s="131" t="s">
        <v>1306</v>
      </c>
      <c r="AC296" s="131" t="s">
        <v>1307</v>
      </c>
      <c r="AD296" s="131" t="s">
        <v>1308</v>
      </c>
      <c r="AE296" s="131" t="s">
        <v>945</v>
      </c>
      <c r="AF296" s="131">
        <v>52</v>
      </c>
      <c r="AG296" s="131" t="s">
        <v>940</v>
      </c>
      <c r="AH296" s="131">
        <v>0</v>
      </c>
      <c r="AI296" s="131">
        <v>22</v>
      </c>
      <c r="AJ296" s="131"/>
    </row>
    <row r="297" spans="27:36">
      <c r="AA297" s="131">
        <v>1707</v>
      </c>
      <c r="AB297" s="131" t="s">
        <v>1309</v>
      </c>
      <c r="AC297" s="131" t="s">
        <v>927</v>
      </c>
      <c r="AD297" s="131" t="s">
        <v>927</v>
      </c>
      <c r="AE297" s="131" t="s">
        <v>945</v>
      </c>
      <c r="AF297" s="131">
        <v>52</v>
      </c>
      <c r="AG297" s="131" t="s">
        <v>940</v>
      </c>
      <c r="AH297" s="131">
        <v>20</v>
      </c>
      <c r="AI297" s="131">
        <v>21</v>
      </c>
      <c r="AJ297" s="131"/>
    </row>
    <row r="298" spans="27:36">
      <c r="AA298" s="131">
        <v>1708</v>
      </c>
      <c r="AB298" s="131" t="s">
        <v>1310</v>
      </c>
      <c r="AC298" s="131" t="s">
        <v>927</v>
      </c>
      <c r="AD298" s="131" t="s">
        <v>927</v>
      </c>
      <c r="AE298" s="131" t="s">
        <v>945</v>
      </c>
      <c r="AF298" s="131">
        <v>52</v>
      </c>
      <c r="AG298" s="131" t="s">
        <v>940</v>
      </c>
      <c r="AH298" s="131">
        <v>20</v>
      </c>
      <c r="AI298" s="131">
        <v>21</v>
      </c>
      <c r="AJ298" s="131"/>
    </row>
    <row r="299" spans="27:36">
      <c r="AA299" s="131">
        <v>1710</v>
      </c>
      <c r="AB299" s="131" t="s">
        <v>1311</v>
      </c>
      <c r="AC299" s="131" t="s">
        <v>1312</v>
      </c>
      <c r="AD299" s="131" t="s">
        <v>1313</v>
      </c>
      <c r="AE299" s="131" t="s">
        <v>957</v>
      </c>
      <c r="AF299" s="131">
        <v>0</v>
      </c>
      <c r="AG299" s="131"/>
      <c r="AH299" s="131">
        <v>20</v>
      </c>
      <c r="AI299" s="131">
        <v>27</v>
      </c>
      <c r="AJ299" s="131"/>
    </row>
    <row r="300" spans="27:36">
      <c r="AA300" s="131">
        <v>1715</v>
      </c>
      <c r="AB300" s="131" t="s">
        <v>1314</v>
      </c>
      <c r="AC300" s="131" t="s">
        <v>1315</v>
      </c>
      <c r="AD300" s="131" t="s">
        <v>1316</v>
      </c>
      <c r="AE300" s="131" t="s">
        <v>945</v>
      </c>
      <c r="AF300" s="131">
        <v>52</v>
      </c>
      <c r="AG300" s="131" t="s">
        <v>940</v>
      </c>
      <c r="AH300" s="131">
        <v>0</v>
      </c>
      <c r="AI300" s="131">
        <v>22</v>
      </c>
      <c r="AJ300" s="131"/>
    </row>
    <row r="301" spans="27:36">
      <c r="AA301" s="131">
        <v>1717</v>
      </c>
      <c r="AB301" s="131" t="s">
        <v>1317</v>
      </c>
      <c r="AC301" s="131" t="s">
        <v>927</v>
      </c>
      <c r="AD301" s="131" t="s">
        <v>927</v>
      </c>
      <c r="AE301" s="131" t="s">
        <v>945</v>
      </c>
      <c r="AF301" s="131">
        <v>52</v>
      </c>
      <c r="AG301" s="131" t="s">
        <v>940</v>
      </c>
      <c r="AH301" s="131">
        <v>20</v>
      </c>
      <c r="AI301" s="131">
        <v>21</v>
      </c>
      <c r="AJ301" s="131"/>
    </row>
    <row r="302" spans="27:36">
      <c r="AA302" s="131">
        <v>1718</v>
      </c>
      <c r="AB302" s="131" t="s">
        <v>1318</v>
      </c>
      <c r="AC302" s="131" t="s">
        <v>927</v>
      </c>
      <c r="AD302" s="131" t="s">
        <v>927</v>
      </c>
      <c r="AE302" s="131" t="s">
        <v>945</v>
      </c>
      <c r="AF302" s="131">
        <v>52</v>
      </c>
      <c r="AG302" s="131" t="s">
        <v>940</v>
      </c>
      <c r="AH302" s="131">
        <v>20</v>
      </c>
      <c r="AI302" s="131">
        <v>21</v>
      </c>
      <c r="AJ302" s="131"/>
    </row>
    <row r="303" spans="27:36">
      <c r="AA303" s="131">
        <v>1720</v>
      </c>
      <c r="AB303" s="131" t="s">
        <v>1319</v>
      </c>
      <c r="AC303" s="131" t="s">
        <v>1320</v>
      </c>
      <c r="AD303" s="131" t="s">
        <v>1321</v>
      </c>
      <c r="AE303" s="131" t="s">
        <v>945</v>
      </c>
      <c r="AF303" s="131">
        <v>52</v>
      </c>
      <c r="AG303" s="131" t="s">
        <v>940</v>
      </c>
      <c r="AH303" s="131">
        <v>20</v>
      </c>
      <c r="AI303" s="131">
        <v>22</v>
      </c>
      <c r="AJ303" s="131"/>
    </row>
    <row r="304" spans="27:36">
      <c r="AA304" s="131">
        <v>1723</v>
      </c>
      <c r="AB304" s="131" t="s">
        <v>1322</v>
      </c>
      <c r="AC304" s="131" t="s">
        <v>927</v>
      </c>
      <c r="AD304" s="131" t="s">
        <v>927</v>
      </c>
      <c r="AE304" s="131" t="s">
        <v>957</v>
      </c>
      <c r="AF304" s="131">
        <v>0</v>
      </c>
      <c r="AG304" s="131" t="s">
        <v>940</v>
      </c>
      <c r="AH304" s="131">
        <v>20</v>
      </c>
      <c r="AI304" s="131">
        <v>27</v>
      </c>
      <c r="AJ304" s="131"/>
    </row>
    <row r="305" spans="27:36">
      <c r="AA305" s="131">
        <v>1725</v>
      </c>
      <c r="AB305" s="131" t="s">
        <v>1323</v>
      </c>
      <c r="AC305" s="131" t="s">
        <v>1324</v>
      </c>
      <c r="AD305" s="131" t="s">
        <v>1325</v>
      </c>
      <c r="AE305" s="131" t="s">
        <v>916</v>
      </c>
      <c r="AF305" s="131">
        <v>52</v>
      </c>
      <c r="AG305" s="131" t="s">
        <v>940</v>
      </c>
      <c r="AH305" s="131">
        <v>30</v>
      </c>
      <c r="AI305" s="131">
        <v>6</v>
      </c>
      <c r="AJ305" s="131"/>
    </row>
    <row r="306" spans="27:36">
      <c r="AA306" s="131">
        <v>1727</v>
      </c>
      <c r="AB306" s="131" t="s">
        <v>1326</v>
      </c>
      <c r="AC306" s="131" t="s">
        <v>927</v>
      </c>
      <c r="AD306" s="131" t="s">
        <v>927</v>
      </c>
      <c r="AE306" s="131" t="s">
        <v>945</v>
      </c>
      <c r="AF306" s="131">
        <v>52</v>
      </c>
      <c r="AG306" s="131" t="s">
        <v>940</v>
      </c>
      <c r="AH306" s="131">
        <v>20</v>
      </c>
      <c r="AI306" s="131">
        <v>21</v>
      </c>
      <c r="AJ306" s="131"/>
    </row>
    <row r="307" spans="27:36">
      <c r="AA307" s="131">
        <v>1728</v>
      </c>
      <c r="AB307" s="131" t="s">
        <v>1327</v>
      </c>
      <c r="AC307" s="131" t="s">
        <v>927</v>
      </c>
      <c r="AD307" s="131" t="s">
        <v>927</v>
      </c>
      <c r="AE307" s="131" t="s">
        <v>945</v>
      </c>
      <c r="AF307" s="131">
        <v>52</v>
      </c>
      <c r="AG307" s="131" t="s">
        <v>940</v>
      </c>
      <c r="AH307" s="131">
        <v>20</v>
      </c>
      <c r="AI307" s="131">
        <v>21</v>
      </c>
      <c r="AJ307" s="131"/>
    </row>
    <row r="308" spans="27:36">
      <c r="AA308" s="131">
        <v>1729</v>
      </c>
      <c r="AB308" s="131" t="s">
        <v>1328</v>
      </c>
      <c r="AC308" s="131" t="s">
        <v>927</v>
      </c>
      <c r="AD308" s="131" t="s">
        <v>927</v>
      </c>
      <c r="AE308" s="131" t="s">
        <v>957</v>
      </c>
      <c r="AF308" s="131">
        <v>0</v>
      </c>
      <c r="AG308" s="131" t="s">
        <v>940</v>
      </c>
      <c r="AH308" s="131">
        <v>20</v>
      </c>
      <c r="AI308" s="131">
        <v>27</v>
      </c>
      <c r="AJ308" s="131"/>
    </row>
    <row r="309" spans="27:36">
      <c r="AA309" s="131">
        <v>1731</v>
      </c>
      <c r="AB309" s="131" t="s">
        <v>1329</v>
      </c>
      <c r="AC309" s="131" t="s">
        <v>927</v>
      </c>
      <c r="AD309" s="131" t="s">
        <v>927</v>
      </c>
      <c r="AE309" s="131" t="s">
        <v>957</v>
      </c>
      <c r="AF309" s="131">
        <v>0</v>
      </c>
      <c r="AG309" s="131"/>
      <c r="AH309" s="131">
        <v>20</v>
      </c>
      <c r="AI309" s="131">
        <v>27</v>
      </c>
      <c r="AJ309" s="131"/>
    </row>
    <row r="310" spans="27:36">
      <c r="AA310" s="131">
        <v>1732</v>
      </c>
      <c r="AB310" s="131" t="s">
        <v>1330</v>
      </c>
      <c r="AC310" s="131" t="s">
        <v>927</v>
      </c>
      <c r="AD310" s="131" t="s">
        <v>927</v>
      </c>
      <c r="AE310" s="131" t="s">
        <v>945</v>
      </c>
      <c r="AF310" s="131">
        <v>52</v>
      </c>
      <c r="AG310" s="131" t="s">
        <v>940</v>
      </c>
      <c r="AH310" s="131">
        <v>0</v>
      </c>
      <c r="AI310" s="131">
        <v>22</v>
      </c>
      <c r="AJ310" s="131"/>
    </row>
    <row r="311" spans="27:36">
      <c r="AA311" s="131">
        <v>1738</v>
      </c>
      <c r="AB311" s="131" t="s">
        <v>1331</v>
      </c>
      <c r="AC311" s="131" t="s">
        <v>927</v>
      </c>
      <c r="AD311" s="131" t="s">
        <v>927</v>
      </c>
      <c r="AE311" s="131" t="s">
        <v>957</v>
      </c>
      <c r="AF311" s="131">
        <v>0</v>
      </c>
      <c r="AG311" s="131" t="s">
        <v>940</v>
      </c>
      <c r="AH311" s="131">
        <v>20</v>
      </c>
      <c r="AI311" s="131">
        <v>27</v>
      </c>
      <c r="AJ311" s="131"/>
    </row>
    <row r="312" spans="27:36">
      <c r="AA312" s="131">
        <v>1740</v>
      </c>
      <c r="AB312" s="131" t="s">
        <v>1332</v>
      </c>
      <c r="AC312" s="131" t="s">
        <v>927</v>
      </c>
      <c r="AD312" s="131" t="s">
        <v>927</v>
      </c>
      <c r="AE312" s="131" t="s">
        <v>957</v>
      </c>
      <c r="AF312" s="131">
        <v>0</v>
      </c>
      <c r="AG312" s="131"/>
      <c r="AH312" s="131">
        <v>20</v>
      </c>
      <c r="AI312" s="131">
        <v>27</v>
      </c>
      <c r="AJ312" s="131"/>
    </row>
    <row r="313" spans="27:36">
      <c r="AA313" s="131">
        <v>1745</v>
      </c>
      <c r="AB313" s="131" t="s">
        <v>1333</v>
      </c>
      <c r="AC313" s="131" t="s">
        <v>927</v>
      </c>
      <c r="AD313" s="131" t="s">
        <v>927</v>
      </c>
      <c r="AE313" s="131" t="s">
        <v>945</v>
      </c>
      <c r="AF313" s="131">
        <v>52</v>
      </c>
      <c r="AG313" s="131" t="s">
        <v>940</v>
      </c>
      <c r="AH313" s="131">
        <v>0</v>
      </c>
      <c r="AI313" s="131">
        <v>22</v>
      </c>
      <c r="AJ313" s="131"/>
    </row>
    <row r="314" spans="27:36">
      <c r="AA314" s="131">
        <v>1747</v>
      </c>
      <c r="AB314" s="131" t="s">
        <v>1334</v>
      </c>
      <c r="AC314" s="131" t="s">
        <v>927</v>
      </c>
      <c r="AD314" s="131" t="s">
        <v>927</v>
      </c>
      <c r="AE314" s="131" t="s">
        <v>945</v>
      </c>
      <c r="AF314" s="131">
        <v>52</v>
      </c>
      <c r="AG314" s="131" t="s">
        <v>940</v>
      </c>
      <c r="AH314" s="131">
        <v>20</v>
      </c>
      <c r="AI314" s="131">
        <v>21</v>
      </c>
      <c r="AJ314" s="131"/>
    </row>
    <row r="315" spans="27:36">
      <c r="AA315" s="131">
        <v>1748</v>
      </c>
      <c r="AB315" s="131" t="s">
        <v>1335</v>
      </c>
      <c r="AC315" s="131" t="s">
        <v>927</v>
      </c>
      <c r="AD315" s="131" t="s">
        <v>927</v>
      </c>
      <c r="AE315" s="131" t="s">
        <v>945</v>
      </c>
      <c r="AF315" s="131">
        <v>52</v>
      </c>
      <c r="AG315" s="131" t="s">
        <v>940</v>
      </c>
      <c r="AH315" s="131">
        <v>20</v>
      </c>
      <c r="AI315" s="131">
        <v>21</v>
      </c>
      <c r="AJ315" s="131"/>
    </row>
    <row r="316" spans="27:36">
      <c r="AA316" s="131">
        <v>1750</v>
      </c>
      <c r="AB316" s="131" t="s">
        <v>1336</v>
      </c>
      <c r="AC316" s="131" t="s">
        <v>927</v>
      </c>
      <c r="AD316" s="131" t="s">
        <v>927</v>
      </c>
      <c r="AE316" s="131" t="s">
        <v>957</v>
      </c>
      <c r="AF316" s="131">
        <v>0</v>
      </c>
      <c r="AG316" s="131"/>
      <c r="AH316" s="131">
        <v>20</v>
      </c>
      <c r="AI316" s="131">
        <v>27</v>
      </c>
      <c r="AJ316" s="131"/>
    </row>
    <row r="317" spans="27:36">
      <c r="AA317" s="131">
        <v>1755</v>
      </c>
      <c r="AB317" s="131" t="s">
        <v>1337</v>
      </c>
      <c r="AC317" s="131" t="s">
        <v>927</v>
      </c>
      <c r="AD317" s="131" t="s">
        <v>927</v>
      </c>
      <c r="AE317" s="131" t="s">
        <v>945</v>
      </c>
      <c r="AF317" s="131">
        <v>52</v>
      </c>
      <c r="AG317" s="131" t="s">
        <v>940</v>
      </c>
      <c r="AH317" s="131">
        <v>0</v>
      </c>
      <c r="AI317" s="131">
        <v>22</v>
      </c>
      <c r="AJ317" s="131"/>
    </row>
    <row r="318" spans="27:36">
      <c r="AA318" s="131">
        <v>1757</v>
      </c>
      <c r="AB318" s="131" t="s">
        <v>1338</v>
      </c>
      <c r="AC318" s="131" t="s">
        <v>927</v>
      </c>
      <c r="AD318" s="131" t="s">
        <v>927</v>
      </c>
      <c r="AE318" s="131" t="s">
        <v>945</v>
      </c>
      <c r="AF318" s="131">
        <v>52</v>
      </c>
      <c r="AG318" s="131" t="s">
        <v>940</v>
      </c>
      <c r="AH318" s="131">
        <v>20</v>
      </c>
      <c r="AI318" s="131">
        <v>21</v>
      </c>
      <c r="AJ318" s="131"/>
    </row>
    <row r="319" spans="27:36">
      <c r="AA319" s="131">
        <v>1758</v>
      </c>
      <c r="AB319" s="131" t="s">
        <v>1339</v>
      </c>
      <c r="AC319" s="131" t="s">
        <v>927</v>
      </c>
      <c r="AD319" s="131" t="s">
        <v>927</v>
      </c>
      <c r="AE319" s="131" t="s">
        <v>945</v>
      </c>
      <c r="AF319" s="131">
        <v>52</v>
      </c>
      <c r="AG319" s="131" t="s">
        <v>940</v>
      </c>
      <c r="AH319" s="131">
        <v>20</v>
      </c>
      <c r="AI319" s="131">
        <v>21</v>
      </c>
      <c r="AJ319" s="131"/>
    </row>
    <row r="320" spans="27:36">
      <c r="AA320" s="131">
        <v>1800</v>
      </c>
      <c r="AB320" s="131" t="s">
        <v>1340</v>
      </c>
      <c r="AC320" s="131" t="s">
        <v>1341</v>
      </c>
      <c r="AD320" s="131" t="s">
        <v>1342</v>
      </c>
      <c r="AE320" s="131" t="s">
        <v>945</v>
      </c>
      <c r="AF320" s="131">
        <v>52</v>
      </c>
      <c r="AG320" s="131" t="s">
        <v>940</v>
      </c>
      <c r="AH320" s="131">
        <v>20</v>
      </c>
      <c r="AI320" s="131">
        <v>24</v>
      </c>
      <c r="AJ320" s="131"/>
    </row>
    <row r="321" spans="27:36">
      <c r="AA321" s="131">
        <v>1810</v>
      </c>
      <c r="AB321" s="131" t="s">
        <v>1343</v>
      </c>
      <c r="AC321" s="131" t="s">
        <v>1344</v>
      </c>
      <c r="AD321" s="131" t="s">
        <v>1345</v>
      </c>
      <c r="AE321" s="131" t="s">
        <v>957</v>
      </c>
      <c r="AF321" s="131">
        <v>0</v>
      </c>
      <c r="AG321" s="131" t="s">
        <v>940</v>
      </c>
      <c r="AH321" s="131">
        <v>20</v>
      </c>
      <c r="AI321" s="131">
        <v>27</v>
      </c>
      <c r="AJ321" s="131"/>
    </row>
    <row r="322" spans="27:36">
      <c r="AA322" s="131">
        <v>1816</v>
      </c>
      <c r="AB322" s="131" t="s">
        <v>1346</v>
      </c>
      <c r="AC322" s="131" t="s">
        <v>927</v>
      </c>
      <c r="AD322" s="131" t="s">
        <v>927</v>
      </c>
      <c r="AE322" s="131" t="s">
        <v>957</v>
      </c>
      <c r="AF322" s="131">
        <v>0</v>
      </c>
      <c r="AG322" s="131" t="s">
        <v>940</v>
      </c>
      <c r="AH322" s="131">
        <v>20</v>
      </c>
      <c r="AI322" s="131">
        <v>27</v>
      </c>
      <c r="AJ322" s="131"/>
    </row>
    <row r="323" spans="27:36">
      <c r="AA323" s="131">
        <v>1818</v>
      </c>
      <c r="AB323" s="131" t="s">
        <v>1347</v>
      </c>
      <c r="AC323" s="131" t="s">
        <v>927</v>
      </c>
      <c r="AD323" s="131" t="s">
        <v>927</v>
      </c>
      <c r="AE323" s="131" t="s">
        <v>957</v>
      </c>
      <c r="AF323" s="131">
        <v>0</v>
      </c>
      <c r="AG323" s="131" t="s">
        <v>940</v>
      </c>
      <c r="AH323" s="131">
        <v>20</v>
      </c>
      <c r="AI323" s="131">
        <v>27</v>
      </c>
      <c r="AJ323" s="131"/>
    </row>
    <row r="324" spans="27:36">
      <c r="AA324" s="131">
        <v>1819</v>
      </c>
      <c r="AB324" s="131" t="s">
        <v>1348</v>
      </c>
      <c r="AC324" s="131" t="s">
        <v>927</v>
      </c>
      <c r="AD324" s="131" t="s">
        <v>927</v>
      </c>
      <c r="AE324" s="131" t="s">
        <v>957</v>
      </c>
      <c r="AF324" s="131">
        <v>0</v>
      </c>
      <c r="AG324" s="131" t="s">
        <v>940</v>
      </c>
      <c r="AH324" s="131">
        <v>20</v>
      </c>
      <c r="AI324" s="131">
        <v>27</v>
      </c>
      <c r="AJ324" s="131"/>
    </row>
    <row r="325" spans="27:36">
      <c r="AA325" s="131">
        <v>1822</v>
      </c>
      <c r="AB325" s="131" t="s">
        <v>1349</v>
      </c>
      <c r="AC325" s="131" t="s">
        <v>927</v>
      </c>
      <c r="AD325" s="131" t="s">
        <v>927</v>
      </c>
      <c r="AE325" s="131" t="s">
        <v>957</v>
      </c>
      <c r="AF325" s="131">
        <v>0</v>
      </c>
      <c r="AG325" s="131" t="s">
        <v>940</v>
      </c>
      <c r="AH325" s="131">
        <v>20</v>
      </c>
      <c r="AI325" s="131">
        <v>27</v>
      </c>
      <c r="AJ325" s="131"/>
    </row>
    <row r="326" spans="27:36">
      <c r="AA326" s="131">
        <v>1824</v>
      </c>
      <c r="AB326" s="131" t="s">
        <v>1350</v>
      </c>
      <c r="AC326" s="131" t="s">
        <v>927</v>
      </c>
      <c r="AD326" s="131" t="s">
        <v>927</v>
      </c>
      <c r="AE326" s="131" t="s">
        <v>957</v>
      </c>
      <c r="AF326" s="131">
        <v>0</v>
      </c>
      <c r="AG326" s="131" t="s">
        <v>940</v>
      </c>
      <c r="AH326" s="131">
        <v>20</v>
      </c>
      <c r="AI326" s="131">
        <v>27</v>
      </c>
      <c r="AJ326" s="131"/>
    </row>
    <row r="327" spans="27:36">
      <c r="AA327" s="131">
        <v>1860</v>
      </c>
      <c r="AB327" s="131" t="s">
        <v>1351</v>
      </c>
      <c r="AC327" s="131" t="s">
        <v>1352</v>
      </c>
      <c r="AD327" s="131" t="s">
        <v>1353</v>
      </c>
      <c r="AE327" s="131" t="s">
        <v>957</v>
      </c>
      <c r="AF327" s="131">
        <v>0</v>
      </c>
      <c r="AG327" s="131" t="s">
        <v>940</v>
      </c>
      <c r="AH327" s="131">
        <v>0</v>
      </c>
      <c r="AI327" s="131">
        <v>27</v>
      </c>
      <c r="AJ327" s="131"/>
    </row>
    <row r="328" spans="27:36">
      <c r="AA328" s="131">
        <v>1870</v>
      </c>
      <c r="AB328" s="131" t="s">
        <v>1354</v>
      </c>
      <c r="AC328" s="131" t="s">
        <v>927</v>
      </c>
      <c r="AD328" s="131" t="s">
        <v>927</v>
      </c>
      <c r="AE328" s="131" t="s">
        <v>957</v>
      </c>
      <c r="AF328" s="131">
        <v>0</v>
      </c>
      <c r="AG328" s="131" t="s">
        <v>940</v>
      </c>
      <c r="AH328" s="131">
        <v>20</v>
      </c>
      <c r="AI328" s="131">
        <v>27</v>
      </c>
      <c r="AJ328" s="131"/>
    </row>
    <row r="329" spans="27:36">
      <c r="AA329" s="131">
        <v>1880</v>
      </c>
      <c r="AB329" s="131" t="s">
        <v>1355</v>
      </c>
      <c r="AC329" s="131" t="s">
        <v>927</v>
      </c>
      <c r="AD329" s="131" t="s">
        <v>927</v>
      </c>
      <c r="AE329" s="131" t="s">
        <v>957</v>
      </c>
      <c r="AF329" s="131">
        <v>0</v>
      </c>
      <c r="AG329" s="131" t="s">
        <v>940</v>
      </c>
      <c r="AH329" s="131">
        <v>10</v>
      </c>
      <c r="AI329" s="131">
        <v>27</v>
      </c>
      <c r="AJ329" s="131"/>
    </row>
    <row r="330" spans="27:36">
      <c r="AA330" s="131">
        <v>1920</v>
      </c>
      <c r="AB330" s="131" t="s">
        <v>1356</v>
      </c>
      <c r="AC330" s="131" t="s">
        <v>927</v>
      </c>
      <c r="AD330" s="131" t="s">
        <v>927</v>
      </c>
      <c r="AE330" s="131" t="s">
        <v>957</v>
      </c>
      <c r="AF330" s="131">
        <v>0</v>
      </c>
      <c r="AG330" s="131" t="s">
        <v>940</v>
      </c>
      <c r="AH330" s="131">
        <v>20</v>
      </c>
      <c r="AI330" s="131">
        <v>27</v>
      </c>
      <c r="AJ330" s="131"/>
    </row>
    <row r="331" spans="27:36">
      <c r="AA331" s="131">
        <v>1922</v>
      </c>
      <c r="AB331" s="131" t="s">
        <v>1357</v>
      </c>
      <c r="AC331" s="131" t="s">
        <v>927</v>
      </c>
      <c r="AD331" s="131" t="s">
        <v>927</v>
      </c>
      <c r="AE331" s="131" t="s">
        <v>957</v>
      </c>
      <c r="AF331" s="131">
        <v>0</v>
      </c>
      <c r="AG331" s="131" t="s">
        <v>940</v>
      </c>
      <c r="AH331" s="131">
        <v>20</v>
      </c>
      <c r="AI331" s="131">
        <v>27</v>
      </c>
      <c r="AJ331" s="131"/>
    </row>
    <row r="332" spans="27:36">
      <c r="AA332" s="131">
        <v>1924</v>
      </c>
      <c r="AB332" s="131" t="s">
        <v>1358</v>
      </c>
      <c r="AC332" s="131" t="s">
        <v>927</v>
      </c>
      <c r="AD332" s="131" t="s">
        <v>927</v>
      </c>
      <c r="AE332" s="131" t="s">
        <v>945</v>
      </c>
      <c r="AF332" s="131">
        <v>52</v>
      </c>
      <c r="AG332" s="131" t="s">
        <v>940</v>
      </c>
      <c r="AH332" s="131">
        <v>0</v>
      </c>
      <c r="AI332" s="131">
        <v>23</v>
      </c>
      <c r="AJ332" s="131"/>
    </row>
    <row r="333" spans="27:36">
      <c r="AA333" s="131">
        <v>1926</v>
      </c>
      <c r="AB333" s="131" t="s">
        <v>1359</v>
      </c>
      <c r="AC333" s="131" t="s">
        <v>927</v>
      </c>
      <c r="AD333" s="131" t="s">
        <v>927</v>
      </c>
      <c r="AE333" s="131" t="s">
        <v>957</v>
      </c>
      <c r="AF333" s="131">
        <v>0</v>
      </c>
      <c r="AG333" s="131" t="s">
        <v>940</v>
      </c>
      <c r="AH333" s="131">
        <v>20</v>
      </c>
      <c r="AI333" s="131">
        <v>27</v>
      </c>
      <c r="AJ333" s="131"/>
    </row>
    <row r="334" spans="27:36">
      <c r="AA334" s="131">
        <v>2005</v>
      </c>
      <c r="AB334" s="131" t="s">
        <v>1360</v>
      </c>
      <c r="AC334" s="131" t="s">
        <v>927</v>
      </c>
      <c r="AD334" s="131" t="s">
        <v>927</v>
      </c>
      <c r="AE334" s="131" t="s">
        <v>945</v>
      </c>
      <c r="AF334" s="131">
        <v>52</v>
      </c>
      <c r="AG334" s="131" t="s">
        <v>940</v>
      </c>
      <c r="AH334" s="131">
        <v>0</v>
      </c>
      <c r="AI334" s="131">
        <v>23</v>
      </c>
      <c r="AJ334" s="131"/>
    </row>
    <row r="335" spans="27:36">
      <c r="AA335" s="131">
        <v>2007</v>
      </c>
      <c r="AB335" s="131" t="s">
        <v>1361</v>
      </c>
      <c r="AC335" s="131" t="s">
        <v>927</v>
      </c>
      <c r="AD335" s="131" t="s">
        <v>927</v>
      </c>
      <c r="AE335" s="131" t="s">
        <v>957</v>
      </c>
      <c r="AF335" s="131">
        <v>0</v>
      </c>
      <c r="AG335" s="131" t="s">
        <v>940</v>
      </c>
      <c r="AH335" s="131">
        <v>30</v>
      </c>
      <c r="AI335" s="131">
        <v>27</v>
      </c>
      <c r="AJ335" s="131"/>
    </row>
    <row r="336" spans="27:36">
      <c r="AA336" s="131">
        <v>2050</v>
      </c>
      <c r="AB336" s="131" t="s">
        <v>1362</v>
      </c>
      <c r="AC336" s="131" t="s">
        <v>1363</v>
      </c>
      <c r="AD336" s="131" t="s">
        <v>1364</v>
      </c>
      <c r="AE336" s="131" t="s">
        <v>945</v>
      </c>
      <c r="AF336" s="131">
        <v>170</v>
      </c>
      <c r="AG336" s="131" t="s">
        <v>940</v>
      </c>
      <c r="AH336" s="131">
        <v>0</v>
      </c>
      <c r="AI336" s="131">
        <v>23</v>
      </c>
      <c r="AJ336" s="131"/>
    </row>
    <row r="337" spans="27:36">
      <c r="AA337" s="131">
        <v>2125</v>
      </c>
      <c r="AB337" s="131" t="s">
        <v>1365</v>
      </c>
      <c r="AC337" s="131" t="s">
        <v>927</v>
      </c>
      <c r="AD337" s="131" t="s">
        <v>927</v>
      </c>
      <c r="AE337" s="131" t="s">
        <v>957</v>
      </c>
      <c r="AF337" s="131">
        <v>0</v>
      </c>
      <c r="AG337" s="131" t="s">
        <v>940</v>
      </c>
      <c r="AH337" s="131">
        <v>20</v>
      </c>
      <c r="AI337" s="131">
        <v>27</v>
      </c>
      <c r="AJ337" s="131"/>
    </row>
    <row r="338" spans="27:36">
      <c r="AA338" s="131">
        <v>2150</v>
      </c>
      <c r="AB338" s="131" t="s">
        <v>1366</v>
      </c>
      <c r="AC338" s="131" t="s">
        <v>927</v>
      </c>
      <c r="AD338" s="131" t="s">
        <v>927</v>
      </c>
      <c r="AE338" s="131" t="s">
        <v>916</v>
      </c>
      <c r="AF338" s="131">
        <v>52</v>
      </c>
      <c r="AG338" s="131" t="s">
        <v>940</v>
      </c>
      <c r="AH338" s="131">
        <v>20</v>
      </c>
      <c r="AI338" s="131">
        <v>28</v>
      </c>
      <c r="AJ338" s="131"/>
    </row>
    <row r="339" spans="27:36">
      <c r="AA339" s="131">
        <v>2160</v>
      </c>
      <c r="AB339" s="131" t="s">
        <v>1367</v>
      </c>
      <c r="AC339" s="131" t="s">
        <v>927</v>
      </c>
      <c r="AD339" s="131" t="s">
        <v>927</v>
      </c>
      <c r="AE339" s="131" t="s">
        <v>916</v>
      </c>
      <c r="AF339" s="131">
        <v>0</v>
      </c>
      <c r="AG339" s="131" t="s">
        <v>940</v>
      </c>
      <c r="AH339" s="131">
        <v>20</v>
      </c>
      <c r="AI339" s="131">
        <v>28</v>
      </c>
      <c r="AJ339" s="131"/>
    </row>
    <row r="340" spans="27:36">
      <c r="AA340" s="131">
        <v>2170</v>
      </c>
      <c r="AB340" s="131" t="s">
        <v>1368</v>
      </c>
      <c r="AC340" s="131" t="s">
        <v>927</v>
      </c>
      <c r="AD340" s="131" t="s">
        <v>927</v>
      </c>
      <c r="AE340" s="131" t="s">
        <v>916</v>
      </c>
      <c r="AF340" s="131">
        <v>75</v>
      </c>
      <c r="AG340" s="131" t="s">
        <v>940</v>
      </c>
      <c r="AH340" s="131">
        <v>20</v>
      </c>
      <c r="AI340" s="131">
        <v>28</v>
      </c>
      <c r="AJ340" s="131"/>
    </row>
    <row r="341" spans="27:36">
      <c r="AA341" s="131">
        <v>2200</v>
      </c>
      <c r="AB341" s="131" t="s">
        <v>1369</v>
      </c>
      <c r="AC341" s="131" t="s">
        <v>927</v>
      </c>
      <c r="AD341" s="131" t="s">
        <v>927</v>
      </c>
      <c r="AE341" s="131" t="s">
        <v>945</v>
      </c>
      <c r="AF341" s="131">
        <v>52</v>
      </c>
      <c r="AG341" s="131" t="s">
        <v>940</v>
      </c>
      <c r="AH341" s="131">
        <v>0</v>
      </c>
      <c r="AI341" s="131">
        <v>15</v>
      </c>
      <c r="AJ341" s="131"/>
    </row>
    <row r="342" spans="27:36">
      <c r="AA342" s="131">
        <v>2340</v>
      </c>
      <c r="AB342" s="131" t="s">
        <v>1370</v>
      </c>
      <c r="AC342" s="131" t="s">
        <v>927</v>
      </c>
      <c r="AD342" s="131" t="s">
        <v>927</v>
      </c>
      <c r="AE342" s="131" t="s">
        <v>945</v>
      </c>
      <c r="AF342" s="131">
        <v>52</v>
      </c>
      <c r="AG342" s="131" t="s">
        <v>940</v>
      </c>
      <c r="AH342" s="131">
        <v>0</v>
      </c>
      <c r="AI342" s="131">
        <v>23</v>
      </c>
      <c r="AJ342" s="131"/>
    </row>
    <row r="343" spans="27:36">
      <c r="AA343" s="131">
        <v>2350</v>
      </c>
      <c r="AB343" s="131" t="s">
        <v>1371</v>
      </c>
      <c r="AC343" s="131" t="s">
        <v>927</v>
      </c>
      <c r="AD343" s="131" t="s">
        <v>927</v>
      </c>
      <c r="AE343" s="131" t="s">
        <v>916</v>
      </c>
      <c r="AF343" s="131">
        <v>52</v>
      </c>
      <c r="AG343" s="131"/>
      <c r="AH343" s="131">
        <v>20</v>
      </c>
      <c r="AI343" s="131">
        <v>28</v>
      </c>
      <c r="AJ343" s="131"/>
    </row>
    <row r="344" spans="27:36">
      <c r="AA344" s="131">
        <v>2355</v>
      </c>
      <c r="AB344" s="131" t="s">
        <v>1372</v>
      </c>
      <c r="AC344" s="131" t="s">
        <v>927</v>
      </c>
      <c r="AD344" s="131" t="s">
        <v>927</v>
      </c>
      <c r="AE344" s="131" t="s">
        <v>916</v>
      </c>
      <c r="AF344" s="131">
        <v>0</v>
      </c>
      <c r="AG344" s="131"/>
      <c r="AH344" s="131">
        <v>20</v>
      </c>
      <c r="AI344" s="131">
        <v>28</v>
      </c>
      <c r="AJ344" s="131"/>
    </row>
    <row r="345" spans="27:36">
      <c r="AA345" s="131">
        <v>2356</v>
      </c>
      <c r="AB345" s="131" t="s">
        <v>1373</v>
      </c>
      <c r="AC345" s="131" t="s">
        <v>927</v>
      </c>
      <c r="AD345" s="131" t="s">
        <v>927</v>
      </c>
      <c r="AE345" s="131" t="s">
        <v>916</v>
      </c>
      <c r="AF345" s="131">
        <v>75</v>
      </c>
      <c r="AG345" s="131"/>
      <c r="AH345" s="131">
        <v>0</v>
      </c>
      <c r="AI345" s="131">
        <v>15</v>
      </c>
      <c r="AJ345" s="131"/>
    </row>
    <row r="346" spans="27:36">
      <c r="AA346" s="131">
        <v>2357</v>
      </c>
      <c r="AB346" s="131" t="s">
        <v>1374</v>
      </c>
      <c r="AC346" s="131" t="s">
        <v>927</v>
      </c>
      <c r="AD346" s="131" t="s">
        <v>927</v>
      </c>
      <c r="AE346" s="131" t="s">
        <v>916</v>
      </c>
      <c r="AF346" s="131">
        <v>75</v>
      </c>
      <c r="AG346" s="131"/>
      <c r="AH346" s="131">
        <v>20</v>
      </c>
      <c r="AI346" s="131">
        <v>15</v>
      </c>
      <c r="AJ346" s="131"/>
    </row>
    <row r="347" spans="27:36">
      <c r="AA347" s="131">
        <v>2358</v>
      </c>
      <c r="AB347" s="131" t="s">
        <v>1375</v>
      </c>
      <c r="AC347" s="131" t="s">
        <v>927</v>
      </c>
      <c r="AD347" s="131" t="s">
        <v>927</v>
      </c>
      <c r="AE347" s="131" t="s">
        <v>957</v>
      </c>
      <c r="AF347" s="131">
        <v>0</v>
      </c>
      <c r="AG347" s="131" t="s">
        <v>940</v>
      </c>
      <c r="AH347" s="131">
        <v>20</v>
      </c>
      <c r="AI347" s="131">
        <v>27</v>
      </c>
      <c r="AJ347" s="131"/>
    </row>
    <row r="348" spans="27:36">
      <c r="AA348" s="131">
        <v>2360</v>
      </c>
      <c r="AB348" s="131" t="s">
        <v>1376</v>
      </c>
      <c r="AC348" s="131" t="s">
        <v>927</v>
      </c>
      <c r="AD348" s="131" t="s">
        <v>927</v>
      </c>
      <c r="AE348" s="131" t="s">
        <v>945</v>
      </c>
      <c r="AF348" s="131">
        <v>52</v>
      </c>
      <c r="AG348" s="131" t="s">
        <v>940</v>
      </c>
      <c r="AH348" s="131">
        <v>20</v>
      </c>
      <c r="AI348" s="131">
        <v>21</v>
      </c>
      <c r="AJ348" s="131"/>
    </row>
    <row r="349" spans="27:36">
      <c r="AA349" s="131">
        <v>2361</v>
      </c>
      <c r="AB349" s="131" t="s">
        <v>1377</v>
      </c>
      <c r="AC349" s="131" t="s">
        <v>927</v>
      </c>
      <c r="AD349" s="131" t="s">
        <v>927</v>
      </c>
      <c r="AE349" s="131" t="s">
        <v>945</v>
      </c>
      <c r="AF349" s="131">
        <v>52</v>
      </c>
      <c r="AG349" s="131" t="s">
        <v>940</v>
      </c>
      <c r="AH349" s="131">
        <v>20</v>
      </c>
      <c r="AI349" s="131">
        <v>21</v>
      </c>
      <c r="AJ349" s="131"/>
    </row>
    <row r="350" spans="27:36">
      <c r="AA350" s="131">
        <v>2370</v>
      </c>
      <c r="AB350" s="131" t="s">
        <v>1378</v>
      </c>
      <c r="AC350" s="131" t="s">
        <v>927</v>
      </c>
      <c r="AD350" s="131" t="s">
        <v>927</v>
      </c>
      <c r="AE350" s="131" t="s">
        <v>945</v>
      </c>
      <c r="AF350" s="131">
        <v>52</v>
      </c>
      <c r="AG350" s="131" t="s">
        <v>940</v>
      </c>
      <c r="AH350" s="131">
        <v>20</v>
      </c>
      <c r="AI350" s="131">
        <v>21</v>
      </c>
      <c r="AJ350" s="131"/>
    </row>
    <row r="351" spans="27:36">
      <c r="AA351" s="131">
        <v>2371</v>
      </c>
      <c r="AB351" s="131" t="s">
        <v>1379</v>
      </c>
      <c r="AC351" s="131" t="s">
        <v>927</v>
      </c>
      <c r="AD351" s="131" t="s">
        <v>927</v>
      </c>
      <c r="AE351" s="131" t="s">
        <v>945</v>
      </c>
      <c r="AF351" s="131">
        <v>52</v>
      </c>
      <c r="AG351" s="131" t="s">
        <v>940</v>
      </c>
      <c r="AH351" s="131">
        <v>20</v>
      </c>
      <c r="AI351" s="131">
        <v>21</v>
      </c>
      <c r="AJ351" s="131"/>
    </row>
    <row r="352" spans="27:36">
      <c r="AA352" s="131">
        <v>2380</v>
      </c>
      <c r="AB352" s="131" t="s">
        <v>1380</v>
      </c>
      <c r="AC352" s="131" t="s">
        <v>927</v>
      </c>
      <c r="AD352" s="131" t="s">
        <v>927</v>
      </c>
      <c r="AE352" s="131" t="s">
        <v>945</v>
      </c>
      <c r="AF352" s="131">
        <v>52</v>
      </c>
      <c r="AG352" s="131" t="s">
        <v>940</v>
      </c>
      <c r="AH352" s="131">
        <v>20</v>
      </c>
      <c r="AI352" s="131">
        <v>21</v>
      </c>
      <c r="AJ352" s="131"/>
    </row>
    <row r="353" spans="27:36">
      <c r="AA353" s="131">
        <v>2390</v>
      </c>
      <c r="AB353" s="131" t="s">
        <v>1381</v>
      </c>
      <c r="AC353" s="131" t="s">
        <v>927</v>
      </c>
      <c r="AD353" s="131" t="s">
        <v>927</v>
      </c>
      <c r="AE353" s="131" t="s">
        <v>945</v>
      </c>
      <c r="AF353" s="131">
        <v>52</v>
      </c>
      <c r="AG353" s="131" t="s">
        <v>940</v>
      </c>
      <c r="AH353" s="131">
        <v>0</v>
      </c>
      <c r="AI353" s="131">
        <v>24</v>
      </c>
      <c r="AJ353" s="131"/>
    </row>
    <row r="354" spans="27:36">
      <c r="AA354" s="131">
        <v>2515</v>
      </c>
      <c r="AB354" s="131" t="s">
        <v>1382</v>
      </c>
      <c r="AC354" s="131" t="s">
        <v>927</v>
      </c>
      <c r="AD354" s="131" t="s">
        <v>927</v>
      </c>
      <c r="AE354" s="131" t="s">
        <v>945</v>
      </c>
      <c r="AF354" s="131">
        <v>52</v>
      </c>
      <c r="AG354" s="131" t="s">
        <v>940</v>
      </c>
      <c r="AH354" s="131">
        <v>0</v>
      </c>
      <c r="AI354" s="131">
        <v>21</v>
      </c>
      <c r="AJ354" s="131"/>
    </row>
    <row r="355" spans="27:36">
      <c r="AA355" s="131">
        <v>2520</v>
      </c>
      <c r="AB355" s="131" t="s">
        <v>1383</v>
      </c>
      <c r="AC355" s="131" t="s">
        <v>927</v>
      </c>
      <c r="AD355" s="131" t="s">
        <v>927</v>
      </c>
      <c r="AE355" s="131" t="s">
        <v>945</v>
      </c>
      <c r="AF355" s="131">
        <v>52</v>
      </c>
      <c r="AG355" s="131"/>
      <c r="AH355" s="131">
        <v>20</v>
      </c>
      <c r="AI355" s="131">
        <v>20</v>
      </c>
      <c r="AJ355" s="131"/>
    </row>
    <row r="356" spans="27:36">
      <c r="AA356" s="131">
        <v>2521</v>
      </c>
      <c r="AB356" s="131" t="s">
        <v>1384</v>
      </c>
      <c r="AC356" s="131" t="s">
        <v>927</v>
      </c>
      <c r="AD356" s="131" t="s">
        <v>927</v>
      </c>
      <c r="AE356" s="131" t="s">
        <v>945</v>
      </c>
      <c r="AF356" s="131">
        <v>52</v>
      </c>
      <c r="AG356" s="131"/>
      <c r="AH356" s="131">
        <v>20</v>
      </c>
      <c r="AI356" s="131">
        <v>21</v>
      </c>
      <c r="AJ356" s="131"/>
    </row>
    <row r="357" spans="27:36">
      <c r="AA357" s="131">
        <v>2530</v>
      </c>
      <c r="AB357" s="131" t="s">
        <v>1385</v>
      </c>
      <c r="AC357" s="131" t="s">
        <v>927</v>
      </c>
      <c r="AD357" s="131" t="s">
        <v>927</v>
      </c>
      <c r="AE357" s="131" t="s">
        <v>916</v>
      </c>
      <c r="AF357" s="131">
        <v>0</v>
      </c>
      <c r="AG357" s="131"/>
      <c r="AH357" s="131">
        <v>20</v>
      </c>
      <c r="AI357" s="131">
        <v>32</v>
      </c>
      <c r="AJ357" s="131"/>
    </row>
    <row r="358" spans="27:36">
      <c r="AA358" s="131">
        <v>2540</v>
      </c>
      <c r="AB358" s="131" t="s">
        <v>1386</v>
      </c>
      <c r="AC358" s="131" t="s">
        <v>927</v>
      </c>
      <c r="AD358" s="131" t="s">
        <v>927</v>
      </c>
      <c r="AE358" s="131" t="s">
        <v>945</v>
      </c>
      <c r="AF358" s="131">
        <v>52</v>
      </c>
      <c r="AG358" s="131" t="s">
        <v>940</v>
      </c>
      <c r="AH358" s="131">
        <v>20</v>
      </c>
      <c r="AI358" s="131">
        <v>21</v>
      </c>
      <c r="AJ358" s="131"/>
    </row>
    <row r="359" spans="27:36">
      <c r="AA359" s="131">
        <v>2541</v>
      </c>
      <c r="AB359" s="131" t="s">
        <v>1387</v>
      </c>
      <c r="AC359" s="131" t="s">
        <v>927</v>
      </c>
      <c r="AD359" s="131" t="s">
        <v>927</v>
      </c>
      <c r="AE359" s="131" t="s">
        <v>945</v>
      </c>
      <c r="AF359" s="131">
        <v>52</v>
      </c>
      <c r="AG359" s="131" t="s">
        <v>940</v>
      </c>
      <c r="AH359" s="131">
        <v>20</v>
      </c>
      <c r="AI359" s="131">
        <v>21</v>
      </c>
      <c r="AJ359" s="131"/>
    </row>
    <row r="360" spans="27:36">
      <c r="AA360" s="131">
        <v>2550</v>
      </c>
      <c r="AB360" s="131" t="s">
        <v>1388</v>
      </c>
      <c r="AC360" s="131" t="s">
        <v>1389</v>
      </c>
      <c r="AD360" s="131" t="s">
        <v>1390</v>
      </c>
      <c r="AE360" s="131" t="s">
        <v>957</v>
      </c>
      <c r="AF360" s="131">
        <v>0</v>
      </c>
      <c r="AG360" s="131" t="s">
        <v>940</v>
      </c>
      <c r="AH360" s="131">
        <v>20</v>
      </c>
      <c r="AI360" s="131">
        <v>27</v>
      </c>
      <c r="AJ360" s="131"/>
    </row>
    <row r="361" spans="27:36">
      <c r="AA361" s="131">
        <v>2600</v>
      </c>
      <c r="AB361" s="131" t="s">
        <v>1391</v>
      </c>
      <c r="AC361" s="131" t="s">
        <v>1392</v>
      </c>
      <c r="AD361" s="131" t="s">
        <v>1393</v>
      </c>
      <c r="AE361" s="131" t="s">
        <v>957</v>
      </c>
      <c r="AF361" s="131">
        <v>0</v>
      </c>
      <c r="AG361" s="131"/>
      <c r="AH361" s="131">
        <v>30</v>
      </c>
      <c r="AI361" s="131">
        <v>27</v>
      </c>
      <c r="AJ361" s="131"/>
    </row>
    <row r="362" spans="27:36">
      <c r="AA362" s="131">
        <v>2605</v>
      </c>
      <c r="AB362" s="131" t="s">
        <v>1394</v>
      </c>
      <c r="AC362" s="131" t="s">
        <v>1395</v>
      </c>
      <c r="AD362" s="131" t="s">
        <v>1396</v>
      </c>
      <c r="AE362" s="131" t="s">
        <v>945</v>
      </c>
      <c r="AF362" s="131">
        <v>52</v>
      </c>
      <c r="AG362" s="131" t="s">
        <v>940</v>
      </c>
      <c r="AH362" s="131">
        <v>0</v>
      </c>
      <c r="AI362" s="131">
        <v>22</v>
      </c>
      <c r="AJ362" s="131"/>
    </row>
    <row r="363" spans="27:36">
      <c r="AA363" s="131">
        <v>2607</v>
      </c>
      <c r="AB363" s="131" t="s">
        <v>1397</v>
      </c>
      <c r="AC363" s="131" t="s">
        <v>927</v>
      </c>
      <c r="AD363" s="131" t="s">
        <v>927</v>
      </c>
      <c r="AE363" s="131" t="s">
        <v>945</v>
      </c>
      <c r="AF363" s="131">
        <v>52</v>
      </c>
      <c r="AG363" s="131" t="s">
        <v>940</v>
      </c>
      <c r="AH363" s="131">
        <v>20</v>
      </c>
      <c r="AI363" s="131">
        <v>21</v>
      </c>
      <c r="AJ363" s="131"/>
    </row>
    <row r="364" spans="27:36">
      <c r="AA364" s="131">
        <v>2608</v>
      </c>
      <c r="AB364" s="131" t="s">
        <v>1398</v>
      </c>
      <c r="AC364" s="131" t="s">
        <v>927</v>
      </c>
      <c r="AD364" s="131" t="s">
        <v>927</v>
      </c>
      <c r="AE364" s="131" t="s">
        <v>945</v>
      </c>
      <c r="AF364" s="131">
        <v>52</v>
      </c>
      <c r="AG364" s="131" t="s">
        <v>940</v>
      </c>
      <c r="AH364" s="131">
        <v>20</v>
      </c>
      <c r="AI364" s="131">
        <v>21</v>
      </c>
      <c r="AJ364" s="131"/>
    </row>
    <row r="365" spans="27:36">
      <c r="AA365" s="131">
        <v>2610</v>
      </c>
      <c r="AB365" s="131" t="s">
        <v>1399</v>
      </c>
      <c r="AC365" s="131" t="s">
        <v>1400</v>
      </c>
      <c r="AD365" s="131" t="s">
        <v>1401</v>
      </c>
      <c r="AE365" s="131" t="s">
        <v>957</v>
      </c>
      <c r="AF365" s="131">
        <v>0</v>
      </c>
      <c r="AG365" s="131"/>
      <c r="AH365" s="131">
        <v>30</v>
      </c>
      <c r="AI365" s="131">
        <v>27</v>
      </c>
      <c r="AJ365" s="131"/>
    </row>
    <row r="366" spans="27:36">
      <c r="AA366" s="131">
        <v>2615</v>
      </c>
      <c r="AB366" s="131" t="s">
        <v>1402</v>
      </c>
      <c r="AC366" s="131" t="s">
        <v>1403</v>
      </c>
      <c r="AD366" s="131" t="s">
        <v>1404</v>
      </c>
      <c r="AE366" s="131" t="s">
        <v>945</v>
      </c>
      <c r="AF366" s="131">
        <v>52</v>
      </c>
      <c r="AG366" s="131" t="s">
        <v>940</v>
      </c>
      <c r="AH366" s="131">
        <v>0</v>
      </c>
      <c r="AI366" s="131">
        <v>22</v>
      </c>
      <c r="AJ366" s="131"/>
    </row>
    <row r="367" spans="27:36">
      <c r="AA367" s="131">
        <v>2617</v>
      </c>
      <c r="AB367" s="131" t="s">
        <v>1405</v>
      </c>
      <c r="AC367" s="131" t="s">
        <v>927</v>
      </c>
      <c r="AD367" s="131" t="s">
        <v>927</v>
      </c>
      <c r="AE367" s="131" t="s">
        <v>945</v>
      </c>
      <c r="AF367" s="131">
        <v>52</v>
      </c>
      <c r="AG367" s="131" t="s">
        <v>940</v>
      </c>
      <c r="AH367" s="131">
        <v>20</v>
      </c>
      <c r="AI367" s="131">
        <v>21</v>
      </c>
      <c r="AJ367" s="131"/>
    </row>
    <row r="368" spans="27:36">
      <c r="AA368" s="131">
        <v>2618</v>
      </c>
      <c r="AB368" s="131" t="s">
        <v>1406</v>
      </c>
      <c r="AC368" s="131" t="s">
        <v>927</v>
      </c>
      <c r="AD368" s="131" t="s">
        <v>927</v>
      </c>
      <c r="AE368" s="131" t="s">
        <v>945</v>
      </c>
      <c r="AF368" s="131">
        <v>52</v>
      </c>
      <c r="AG368" s="131" t="s">
        <v>940</v>
      </c>
      <c r="AH368" s="131">
        <v>20</v>
      </c>
      <c r="AI368" s="131">
        <v>21</v>
      </c>
      <c r="AJ368" s="131"/>
    </row>
    <row r="369" spans="27:36">
      <c r="AA369" s="131">
        <v>2650</v>
      </c>
      <c r="AB369" s="131" t="s">
        <v>1407</v>
      </c>
      <c r="AC369" s="131" t="s">
        <v>1408</v>
      </c>
      <c r="AD369" s="131" t="s">
        <v>1409</v>
      </c>
      <c r="AE369" s="131" t="s">
        <v>957</v>
      </c>
      <c r="AF369" s="131">
        <v>0</v>
      </c>
      <c r="AG369" s="131" t="s">
        <v>940</v>
      </c>
      <c r="AH369" s="131">
        <v>20</v>
      </c>
      <c r="AI369" s="131">
        <v>27</v>
      </c>
      <c r="AJ369" s="131"/>
    </row>
    <row r="370" spans="27:36">
      <c r="AA370" s="131">
        <v>2655</v>
      </c>
      <c r="AB370" s="131" t="s">
        <v>1410</v>
      </c>
      <c r="AC370" s="131" t="s">
        <v>927</v>
      </c>
      <c r="AD370" s="131" t="s">
        <v>927</v>
      </c>
      <c r="AE370" s="131" t="s">
        <v>957</v>
      </c>
      <c r="AF370" s="131">
        <v>0</v>
      </c>
      <c r="AG370" s="131" t="s">
        <v>940</v>
      </c>
      <c r="AH370" s="131">
        <v>20</v>
      </c>
      <c r="AI370" s="131">
        <v>27</v>
      </c>
      <c r="AJ370" s="131"/>
    </row>
    <row r="371" spans="27:36">
      <c r="AA371" s="131">
        <v>2660</v>
      </c>
      <c r="AB371" s="131" t="s">
        <v>1411</v>
      </c>
      <c r="AC371" s="131" t="s">
        <v>1412</v>
      </c>
      <c r="AD371" s="131" t="s">
        <v>1413</v>
      </c>
      <c r="AE371" s="131" t="s">
        <v>945</v>
      </c>
      <c r="AF371" s="131">
        <v>52</v>
      </c>
      <c r="AG371" s="131" t="s">
        <v>940</v>
      </c>
      <c r="AH371" s="131">
        <v>0</v>
      </c>
      <c r="AI371" s="131">
        <v>22</v>
      </c>
      <c r="AJ371" s="131"/>
    </row>
    <row r="372" spans="27:36">
      <c r="AA372" s="131">
        <v>2662</v>
      </c>
      <c r="AB372" s="131" t="s">
        <v>1414</v>
      </c>
      <c r="AC372" s="131" t="s">
        <v>927</v>
      </c>
      <c r="AD372" s="131" t="s">
        <v>927</v>
      </c>
      <c r="AE372" s="131" t="s">
        <v>945</v>
      </c>
      <c r="AF372" s="131">
        <v>52</v>
      </c>
      <c r="AG372" s="131" t="s">
        <v>940</v>
      </c>
      <c r="AH372" s="131">
        <v>20</v>
      </c>
      <c r="AI372" s="131">
        <v>21</v>
      </c>
      <c r="AJ372" s="131"/>
    </row>
    <row r="373" spans="27:36">
      <c r="AA373" s="131">
        <v>2663</v>
      </c>
      <c r="AB373" s="131" t="s">
        <v>1415</v>
      </c>
      <c r="AC373" s="131" t="s">
        <v>927</v>
      </c>
      <c r="AD373" s="131" t="s">
        <v>927</v>
      </c>
      <c r="AE373" s="131" t="s">
        <v>945</v>
      </c>
      <c r="AF373" s="131">
        <v>52</v>
      </c>
      <c r="AG373" s="131" t="s">
        <v>940</v>
      </c>
      <c r="AH373" s="131">
        <v>20</v>
      </c>
      <c r="AI373" s="131">
        <v>21</v>
      </c>
      <c r="AJ373" s="131"/>
    </row>
    <row r="374" spans="27:36">
      <c r="AA374" s="131">
        <v>2665</v>
      </c>
      <c r="AB374" s="131" t="s">
        <v>1416</v>
      </c>
      <c r="AC374" s="131" t="s">
        <v>1417</v>
      </c>
      <c r="AD374" s="131" t="s">
        <v>1418</v>
      </c>
      <c r="AE374" s="131" t="s">
        <v>957</v>
      </c>
      <c r="AF374" s="131">
        <v>0</v>
      </c>
      <c r="AG374" s="131"/>
      <c r="AH374" s="131">
        <v>30</v>
      </c>
      <c r="AI374" s="131">
        <v>27</v>
      </c>
      <c r="AJ374" s="131"/>
    </row>
    <row r="375" spans="27:36">
      <c r="AA375" s="131">
        <v>2666</v>
      </c>
      <c r="AB375" s="131" t="s">
        <v>1419</v>
      </c>
      <c r="AC375" s="131" t="s">
        <v>927</v>
      </c>
      <c r="AD375" s="131" t="s">
        <v>927</v>
      </c>
      <c r="AE375" s="131" t="s">
        <v>957</v>
      </c>
      <c r="AF375" s="131">
        <v>0</v>
      </c>
      <c r="AG375" s="131"/>
      <c r="AH375" s="131">
        <v>20</v>
      </c>
      <c r="AI375" s="131">
        <v>27</v>
      </c>
      <c r="AJ375" s="131"/>
    </row>
    <row r="376" spans="27:36">
      <c r="AA376" s="131">
        <v>2670</v>
      </c>
      <c r="AB376" s="131" t="s">
        <v>1420</v>
      </c>
      <c r="AC376" s="131" t="s">
        <v>1421</v>
      </c>
      <c r="AD376" s="131" t="s">
        <v>1422</v>
      </c>
      <c r="AE376" s="131" t="s">
        <v>945</v>
      </c>
      <c r="AF376" s="131">
        <v>52</v>
      </c>
      <c r="AG376" s="131" t="s">
        <v>940</v>
      </c>
      <c r="AH376" s="131">
        <v>30</v>
      </c>
      <c r="AI376" s="131">
        <v>22</v>
      </c>
      <c r="AJ376" s="131"/>
    </row>
    <row r="377" spans="27:36">
      <c r="AA377" s="131">
        <v>2671</v>
      </c>
      <c r="AB377" s="131" t="s">
        <v>1423</v>
      </c>
      <c r="AC377" s="131" t="s">
        <v>927</v>
      </c>
      <c r="AD377" s="131" t="s">
        <v>927</v>
      </c>
      <c r="AE377" s="131" t="s">
        <v>945</v>
      </c>
      <c r="AF377" s="131">
        <v>52</v>
      </c>
      <c r="AG377" s="131" t="s">
        <v>940</v>
      </c>
      <c r="AH377" s="131">
        <v>20</v>
      </c>
      <c r="AI377" s="131">
        <v>22</v>
      </c>
      <c r="AJ377" s="131"/>
    </row>
    <row r="378" spans="27:36">
      <c r="AA378" s="131">
        <v>2672</v>
      </c>
      <c r="AB378" s="131" t="s">
        <v>1424</v>
      </c>
      <c r="AC378" s="131" t="s">
        <v>927</v>
      </c>
      <c r="AD378" s="131" t="s">
        <v>927</v>
      </c>
      <c r="AE378" s="131" t="s">
        <v>945</v>
      </c>
      <c r="AF378" s="131">
        <v>52</v>
      </c>
      <c r="AG378" s="131" t="s">
        <v>940</v>
      </c>
      <c r="AH378" s="131">
        <v>20</v>
      </c>
      <c r="AI378" s="131">
        <v>21</v>
      </c>
      <c r="AJ378" s="131"/>
    </row>
    <row r="379" spans="27:36">
      <c r="AA379" s="131">
        <v>2673</v>
      </c>
      <c r="AB379" s="131" t="s">
        <v>1425</v>
      </c>
      <c r="AC379" s="131" t="s">
        <v>927</v>
      </c>
      <c r="AD379" s="131" t="s">
        <v>927</v>
      </c>
      <c r="AE379" s="131" t="s">
        <v>945</v>
      </c>
      <c r="AF379" s="131">
        <v>52</v>
      </c>
      <c r="AG379" s="131" t="s">
        <v>940</v>
      </c>
      <c r="AH379" s="131">
        <v>20</v>
      </c>
      <c r="AI379" s="131">
        <v>21</v>
      </c>
      <c r="AJ379" s="131"/>
    </row>
    <row r="380" spans="27:36">
      <c r="AA380" s="131">
        <v>2674</v>
      </c>
      <c r="AB380" s="131" t="s">
        <v>1426</v>
      </c>
      <c r="AC380" s="131" t="s">
        <v>927</v>
      </c>
      <c r="AD380" s="131" t="s">
        <v>927</v>
      </c>
      <c r="AE380" s="131" t="s">
        <v>957</v>
      </c>
      <c r="AF380" s="131">
        <v>0</v>
      </c>
      <c r="AG380" s="131" t="s">
        <v>940</v>
      </c>
      <c r="AH380" s="131">
        <v>20</v>
      </c>
      <c r="AI380" s="131">
        <v>27</v>
      </c>
      <c r="AJ380" s="131"/>
    </row>
    <row r="381" spans="27:36">
      <c r="AA381" s="131">
        <v>2675</v>
      </c>
      <c r="AB381" s="131" t="s">
        <v>1427</v>
      </c>
      <c r="AC381" s="131" t="s">
        <v>927</v>
      </c>
      <c r="AD381" s="131" t="s">
        <v>927</v>
      </c>
      <c r="AE381" s="131" t="s">
        <v>945</v>
      </c>
      <c r="AF381" s="131">
        <v>52</v>
      </c>
      <c r="AG381" s="131" t="s">
        <v>940</v>
      </c>
      <c r="AH381" s="131">
        <v>20</v>
      </c>
      <c r="AI381" s="131">
        <v>24</v>
      </c>
      <c r="AJ381" s="131"/>
    </row>
    <row r="382" spans="27:36">
      <c r="AA382" s="131">
        <v>2685</v>
      </c>
      <c r="AB382" s="131" t="s">
        <v>1428</v>
      </c>
      <c r="AC382" s="131" t="s">
        <v>1429</v>
      </c>
      <c r="AD382" s="131" t="s">
        <v>1430</v>
      </c>
      <c r="AE382" s="131" t="s">
        <v>957</v>
      </c>
      <c r="AF382" s="131">
        <v>0</v>
      </c>
      <c r="AG382" s="131"/>
      <c r="AH382" s="131">
        <v>20</v>
      </c>
      <c r="AI382" s="131">
        <v>27</v>
      </c>
      <c r="AJ382" s="131"/>
    </row>
    <row r="383" spans="27:36">
      <c r="AA383" s="131">
        <v>2687</v>
      </c>
      <c r="AB383" s="131" t="s">
        <v>1431</v>
      </c>
      <c r="AC383" s="131" t="s">
        <v>1432</v>
      </c>
      <c r="AD383" s="131" t="s">
        <v>1433</v>
      </c>
      <c r="AE383" s="131" t="s">
        <v>945</v>
      </c>
      <c r="AF383" s="131">
        <v>52</v>
      </c>
      <c r="AG383" s="131"/>
      <c r="AH383" s="131">
        <v>30</v>
      </c>
      <c r="AI383" s="131">
        <v>22</v>
      </c>
      <c r="AJ383" s="131"/>
    </row>
    <row r="384" spans="27:36">
      <c r="AA384" s="131">
        <v>2689</v>
      </c>
      <c r="AB384" s="131" t="s">
        <v>1434</v>
      </c>
      <c r="AC384" s="131" t="s">
        <v>927</v>
      </c>
      <c r="AD384" s="131" t="s">
        <v>927</v>
      </c>
      <c r="AE384" s="131" t="s">
        <v>945</v>
      </c>
      <c r="AF384" s="131">
        <v>52</v>
      </c>
      <c r="AG384" s="131" t="s">
        <v>940</v>
      </c>
      <c r="AH384" s="131">
        <v>20</v>
      </c>
      <c r="AI384" s="131">
        <v>21</v>
      </c>
      <c r="AJ384" s="131"/>
    </row>
    <row r="385" spans="27:36">
      <c r="AA385" s="131">
        <v>2691</v>
      </c>
      <c r="AB385" s="131" t="s">
        <v>1435</v>
      </c>
      <c r="AC385" s="131" t="s">
        <v>927</v>
      </c>
      <c r="AD385" s="131" t="s">
        <v>927</v>
      </c>
      <c r="AE385" s="131" t="s">
        <v>945</v>
      </c>
      <c r="AF385" s="131">
        <v>52</v>
      </c>
      <c r="AG385" s="131" t="s">
        <v>940</v>
      </c>
      <c r="AH385" s="131">
        <v>20</v>
      </c>
      <c r="AI385" s="131">
        <v>21</v>
      </c>
      <c r="AJ385" s="131"/>
    </row>
    <row r="386" spans="27:36">
      <c r="AA386" s="131">
        <v>2695</v>
      </c>
      <c r="AB386" s="131" t="s">
        <v>1436</v>
      </c>
      <c r="AC386" s="131" t="s">
        <v>927</v>
      </c>
      <c r="AD386" s="131" t="s">
        <v>927</v>
      </c>
      <c r="AE386" s="131" t="s">
        <v>957</v>
      </c>
      <c r="AF386" s="131">
        <v>0</v>
      </c>
      <c r="AG386" s="131" t="s">
        <v>940</v>
      </c>
      <c r="AH386" s="131">
        <v>20</v>
      </c>
      <c r="AI386" s="131">
        <v>27</v>
      </c>
      <c r="AJ386" s="131"/>
    </row>
    <row r="387" spans="27:36">
      <c r="AA387" s="131">
        <v>2696</v>
      </c>
      <c r="AB387" s="131" t="s">
        <v>1437</v>
      </c>
      <c r="AC387" s="131" t="s">
        <v>927</v>
      </c>
      <c r="AD387" s="131" t="s">
        <v>927</v>
      </c>
      <c r="AE387" s="131" t="s">
        <v>945</v>
      </c>
      <c r="AF387" s="131">
        <v>52</v>
      </c>
      <c r="AG387" s="131" t="s">
        <v>940</v>
      </c>
      <c r="AH387" s="131">
        <v>20</v>
      </c>
      <c r="AI387" s="131">
        <v>22</v>
      </c>
      <c r="AJ387" s="131"/>
    </row>
    <row r="388" spans="27:36">
      <c r="AA388" s="131">
        <v>2710</v>
      </c>
      <c r="AB388" s="131" t="s">
        <v>1438</v>
      </c>
      <c r="AC388" s="131" t="s">
        <v>1439</v>
      </c>
      <c r="AD388" s="131" t="s">
        <v>1440</v>
      </c>
      <c r="AE388" s="131" t="s">
        <v>945</v>
      </c>
      <c r="AF388" s="131">
        <v>52</v>
      </c>
      <c r="AG388" s="131" t="s">
        <v>940</v>
      </c>
      <c r="AH388" s="131">
        <v>20</v>
      </c>
      <c r="AI388" s="131">
        <v>20</v>
      </c>
      <c r="AJ388" s="131"/>
    </row>
    <row r="389" spans="27:36">
      <c r="AA389" s="131">
        <v>2800</v>
      </c>
      <c r="AB389" s="131" t="s">
        <v>1441</v>
      </c>
      <c r="AC389" s="131" t="s">
        <v>1442</v>
      </c>
      <c r="AD389" s="131" t="s">
        <v>1443</v>
      </c>
      <c r="AE389" s="131" t="s">
        <v>945</v>
      </c>
      <c r="AF389" s="131">
        <v>52</v>
      </c>
      <c r="AG389" s="131" t="s">
        <v>940</v>
      </c>
      <c r="AH389" s="131">
        <v>0</v>
      </c>
      <c r="AI389" s="131">
        <v>24</v>
      </c>
      <c r="AJ389" s="131"/>
    </row>
    <row r="390" spans="27:36">
      <c r="AA390" s="131">
        <v>2810</v>
      </c>
      <c r="AB390" s="131" t="s">
        <v>1444</v>
      </c>
      <c r="AC390" s="131" t="s">
        <v>1445</v>
      </c>
      <c r="AD390" s="131" t="s">
        <v>1446</v>
      </c>
      <c r="AE390" s="131" t="s">
        <v>957</v>
      </c>
      <c r="AF390" s="131">
        <v>0</v>
      </c>
      <c r="AG390" s="131" t="s">
        <v>940</v>
      </c>
      <c r="AH390" s="131">
        <v>0</v>
      </c>
      <c r="AI390" s="131">
        <v>27</v>
      </c>
      <c r="AJ390" s="131"/>
    </row>
    <row r="391" spans="27:36">
      <c r="AA391" s="131">
        <v>2811</v>
      </c>
      <c r="AB391" s="131" t="s">
        <v>1447</v>
      </c>
      <c r="AC391" s="131" t="s">
        <v>927</v>
      </c>
      <c r="AD391" s="131" t="s">
        <v>927</v>
      </c>
      <c r="AE391" s="131" t="s">
        <v>945</v>
      </c>
      <c r="AF391" s="131">
        <v>52</v>
      </c>
      <c r="AG391" s="131" t="s">
        <v>940</v>
      </c>
      <c r="AH391" s="131">
        <v>0</v>
      </c>
      <c r="AI391" s="131">
        <v>20</v>
      </c>
      <c r="AJ391" s="131"/>
    </row>
    <row r="392" spans="27:36">
      <c r="AA392" s="131">
        <v>2822</v>
      </c>
      <c r="AB392" s="131" t="s">
        <v>1448</v>
      </c>
      <c r="AC392" s="131" t="s">
        <v>927</v>
      </c>
      <c r="AD392" s="131" t="s">
        <v>927</v>
      </c>
      <c r="AE392" s="131" t="s">
        <v>957</v>
      </c>
      <c r="AF392" s="131">
        <v>0</v>
      </c>
      <c r="AG392" s="131" t="s">
        <v>940</v>
      </c>
      <c r="AH392" s="131">
        <v>20</v>
      </c>
      <c r="AI392" s="131">
        <v>27</v>
      </c>
      <c r="AJ392" s="131"/>
    </row>
    <row r="393" spans="27:36">
      <c r="AA393" s="131">
        <v>2823</v>
      </c>
      <c r="AB393" s="131" t="s">
        <v>1449</v>
      </c>
      <c r="AC393" s="131" t="s">
        <v>927</v>
      </c>
      <c r="AD393" s="131" t="s">
        <v>927</v>
      </c>
      <c r="AE393" s="131" t="s">
        <v>957</v>
      </c>
      <c r="AF393" s="131">
        <v>0</v>
      </c>
      <c r="AG393" s="131" t="s">
        <v>940</v>
      </c>
      <c r="AH393" s="131">
        <v>20</v>
      </c>
      <c r="AI393" s="131">
        <v>27</v>
      </c>
      <c r="AJ393" s="131"/>
    </row>
    <row r="394" spans="27:36">
      <c r="AA394" s="131">
        <v>2826</v>
      </c>
      <c r="AB394" s="131" t="s">
        <v>1450</v>
      </c>
      <c r="AC394" s="131" t="s">
        <v>927</v>
      </c>
      <c r="AD394" s="131" t="s">
        <v>927</v>
      </c>
      <c r="AE394" s="131" t="s">
        <v>916</v>
      </c>
      <c r="AF394" s="131">
        <v>0</v>
      </c>
      <c r="AG394" s="131"/>
      <c r="AH394" s="131">
        <v>20</v>
      </c>
      <c r="AI394" s="131">
        <v>28</v>
      </c>
      <c r="AJ394" s="131"/>
    </row>
    <row r="395" spans="27:36">
      <c r="AA395" s="131">
        <v>2828</v>
      </c>
      <c r="AB395" s="131" t="s">
        <v>1451</v>
      </c>
      <c r="AC395" s="131" t="s">
        <v>927</v>
      </c>
      <c r="AD395" s="131" t="s">
        <v>927</v>
      </c>
      <c r="AE395" s="131" t="s">
        <v>945</v>
      </c>
      <c r="AF395" s="131">
        <v>52</v>
      </c>
      <c r="AG395" s="131" t="s">
        <v>940</v>
      </c>
      <c r="AH395" s="131">
        <v>20</v>
      </c>
      <c r="AI395" s="131">
        <v>23</v>
      </c>
      <c r="AJ395" s="131"/>
    </row>
    <row r="396" spans="27:36">
      <c r="AA396" s="131">
        <v>2829</v>
      </c>
      <c r="AB396" s="131" t="s">
        <v>1452</v>
      </c>
      <c r="AC396" s="131" t="s">
        <v>927</v>
      </c>
      <c r="AD396" s="131" t="s">
        <v>927</v>
      </c>
      <c r="AE396" s="131" t="s">
        <v>916</v>
      </c>
      <c r="AF396" s="131">
        <v>0</v>
      </c>
      <c r="AG396" s="131"/>
      <c r="AH396" s="131">
        <v>20</v>
      </c>
      <c r="AI396" s="131">
        <v>32</v>
      </c>
      <c r="AJ396" s="131"/>
    </row>
    <row r="397" spans="27:36">
      <c r="AA397" s="131">
        <v>2831</v>
      </c>
      <c r="AB397" s="131" t="s">
        <v>1453</v>
      </c>
      <c r="AC397" s="131" t="s">
        <v>927</v>
      </c>
      <c r="AD397" s="131" t="s">
        <v>927</v>
      </c>
      <c r="AE397" s="131" t="s">
        <v>957</v>
      </c>
      <c r="AF397" s="131">
        <v>0</v>
      </c>
      <c r="AG397" s="131" t="s">
        <v>940</v>
      </c>
      <c r="AH397" s="131">
        <v>20</v>
      </c>
      <c r="AI397" s="131">
        <v>27</v>
      </c>
      <c r="AJ397" s="131"/>
    </row>
    <row r="398" spans="27:36">
      <c r="AA398" s="131">
        <v>2832</v>
      </c>
      <c r="AB398" s="131" t="s">
        <v>1454</v>
      </c>
      <c r="AC398" s="131" t="s">
        <v>927</v>
      </c>
      <c r="AD398" s="131" t="s">
        <v>927</v>
      </c>
      <c r="AE398" s="131" t="s">
        <v>957</v>
      </c>
      <c r="AF398" s="131">
        <v>0</v>
      </c>
      <c r="AG398" s="131" t="s">
        <v>940</v>
      </c>
      <c r="AH398" s="131">
        <v>20</v>
      </c>
      <c r="AI398" s="131">
        <v>27</v>
      </c>
      <c r="AJ398" s="131"/>
    </row>
    <row r="399" spans="27:36">
      <c r="AA399" s="131">
        <v>2900</v>
      </c>
      <c r="AB399" s="131" t="s">
        <v>1455</v>
      </c>
      <c r="AC399" s="131" t="s">
        <v>927</v>
      </c>
      <c r="AD399" s="131" t="s">
        <v>927</v>
      </c>
      <c r="AE399" s="131" t="s">
        <v>916</v>
      </c>
      <c r="AF399" s="131">
        <v>0</v>
      </c>
      <c r="AG399" s="131"/>
      <c r="AH399" s="131">
        <v>20</v>
      </c>
      <c r="AI399" s="131">
        <v>27</v>
      </c>
      <c r="AJ399" s="131"/>
    </row>
    <row r="400" spans="27:36">
      <c r="AA400" s="131">
        <v>2910</v>
      </c>
      <c r="AB400" s="131" t="s">
        <v>1456</v>
      </c>
      <c r="AC400" s="131" t="s">
        <v>927</v>
      </c>
      <c r="AD400" s="131" t="s">
        <v>927</v>
      </c>
      <c r="AE400" s="131" t="s">
        <v>916</v>
      </c>
      <c r="AF400" s="131">
        <v>0</v>
      </c>
      <c r="AG400" s="131"/>
      <c r="AH400" s="131">
        <v>20</v>
      </c>
      <c r="AI400" s="131">
        <v>27</v>
      </c>
      <c r="AJ400" s="131"/>
    </row>
    <row r="401" spans="27:36">
      <c r="AA401" s="131">
        <v>2920</v>
      </c>
      <c r="AB401" s="131" t="s">
        <v>1457</v>
      </c>
      <c r="AC401" s="131" t="s">
        <v>927</v>
      </c>
      <c r="AD401" s="131" t="s">
        <v>927</v>
      </c>
      <c r="AE401" s="131" t="s">
        <v>916</v>
      </c>
      <c r="AF401" s="131">
        <v>0</v>
      </c>
      <c r="AG401" s="131"/>
      <c r="AH401" s="131">
        <v>20</v>
      </c>
      <c r="AI401" s="131">
        <v>27</v>
      </c>
      <c r="AJ401" s="131"/>
    </row>
    <row r="402" spans="27:36">
      <c r="AA402" s="131">
        <v>2930</v>
      </c>
      <c r="AB402" s="131" t="s">
        <v>1458</v>
      </c>
      <c r="AC402" s="131" t="s">
        <v>927</v>
      </c>
      <c r="AD402" s="131" t="s">
        <v>927</v>
      </c>
      <c r="AE402" s="131" t="s">
        <v>916</v>
      </c>
      <c r="AF402" s="131">
        <v>0</v>
      </c>
      <c r="AG402" s="131"/>
      <c r="AH402" s="131">
        <v>20</v>
      </c>
      <c r="AI402" s="131">
        <v>27</v>
      </c>
      <c r="AJ402" s="131"/>
    </row>
    <row r="403" spans="27:36">
      <c r="AA403" s="131">
        <v>2950</v>
      </c>
      <c r="AB403" s="131" t="s">
        <v>1459</v>
      </c>
      <c r="AC403" s="131" t="s">
        <v>1460</v>
      </c>
      <c r="AD403" s="131" t="s">
        <v>1461</v>
      </c>
      <c r="AE403" s="131" t="s">
        <v>957</v>
      </c>
      <c r="AF403" s="131">
        <v>0</v>
      </c>
      <c r="AG403" s="131"/>
      <c r="AH403" s="131">
        <v>0</v>
      </c>
      <c r="AI403" s="131">
        <v>27</v>
      </c>
      <c r="AJ403" s="131"/>
    </row>
    <row r="404" spans="27:36">
      <c r="AA404" s="131">
        <v>3000</v>
      </c>
      <c r="AB404" s="131" t="s">
        <v>1462</v>
      </c>
      <c r="AC404" s="131" t="s">
        <v>1463</v>
      </c>
      <c r="AD404" s="131" t="s">
        <v>1464</v>
      </c>
      <c r="AE404" s="131" t="s">
        <v>945</v>
      </c>
      <c r="AF404" s="131">
        <v>75</v>
      </c>
      <c r="AG404" s="131"/>
      <c r="AH404" s="131">
        <v>10</v>
      </c>
      <c r="AI404" s="131">
        <v>20</v>
      </c>
      <c r="AJ404" s="131"/>
    </row>
    <row r="405" spans="27:36">
      <c r="AA405" s="131">
        <v>3005</v>
      </c>
      <c r="AB405" s="131" t="s">
        <v>1465</v>
      </c>
      <c r="AC405" s="131" t="s">
        <v>927</v>
      </c>
      <c r="AD405" s="131" t="s">
        <v>927</v>
      </c>
      <c r="AE405" s="131" t="s">
        <v>957</v>
      </c>
      <c r="AF405" s="131">
        <v>0</v>
      </c>
      <c r="AG405" s="131"/>
      <c r="AH405" s="131">
        <v>20</v>
      </c>
      <c r="AI405" s="131">
        <v>27</v>
      </c>
      <c r="AJ405" s="131"/>
    </row>
    <row r="406" spans="27:36">
      <c r="AA406" s="131">
        <v>3010</v>
      </c>
      <c r="AB406" s="131" t="s">
        <v>1466</v>
      </c>
      <c r="AC406" s="131" t="s">
        <v>927</v>
      </c>
      <c r="AD406" s="131" t="s">
        <v>927</v>
      </c>
      <c r="AE406" s="131" t="s">
        <v>945</v>
      </c>
      <c r="AF406" s="131">
        <v>52</v>
      </c>
      <c r="AG406" s="131" t="s">
        <v>940</v>
      </c>
      <c r="AH406" s="131">
        <v>20</v>
      </c>
      <c r="AI406" s="131">
        <v>15</v>
      </c>
      <c r="AJ406" s="131"/>
    </row>
    <row r="407" spans="27:36">
      <c r="AA407" s="131">
        <v>3011</v>
      </c>
      <c r="AB407" s="131" t="s">
        <v>1467</v>
      </c>
      <c r="AC407" s="131" t="s">
        <v>927</v>
      </c>
      <c r="AD407" s="131" t="s">
        <v>927</v>
      </c>
      <c r="AE407" s="131" t="s">
        <v>957</v>
      </c>
      <c r="AF407" s="131">
        <v>0</v>
      </c>
      <c r="AG407" s="131" t="s">
        <v>940</v>
      </c>
      <c r="AH407" s="131">
        <v>0</v>
      </c>
      <c r="AI407" s="131">
        <v>27</v>
      </c>
      <c r="AJ407" s="131"/>
    </row>
    <row r="408" spans="27:36">
      <c r="AA408" s="131">
        <v>3020</v>
      </c>
      <c r="AB408" s="131" t="s">
        <v>1468</v>
      </c>
      <c r="AC408" s="131" t="s">
        <v>927</v>
      </c>
      <c r="AD408" s="131" t="s">
        <v>927</v>
      </c>
      <c r="AE408" s="131" t="s">
        <v>957</v>
      </c>
      <c r="AF408" s="131">
        <v>0</v>
      </c>
      <c r="AG408" s="131"/>
      <c r="AH408" s="131">
        <v>20</v>
      </c>
      <c r="AI408" s="131">
        <v>28</v>
      </c>
      <c r="AJ408" s="131"/>
    </row>
    <row r="409" spans="27:36">
      <c r="AA409" s="131">
        <v>3021</v>
      </c>
      <c r="AB409" s="131" t="s">
        <v>1469</v>
      </c>
      <c r="AC409" s="131" t="s">
        <v>927</v>
      </c>
      <c r="AD409" s="131" t="s">
        <v>927</v>
      </c>
      <c r="AE409" s="131" t="s">
        <v>945</v>
      </c>
      <c r="AF409" s="131">
        <v>75</v>
      </c>
      <c r="AG409" s="131"/>
      <c r="AH409" s="131">
        <v>20</v>
      </c>
      <c r="AI409" s="131">
        <v>20</v>
      </c>
      <c r="AJ409" s="131"/>
    </row>
    <row r="410" spans="27:36">
      <c r="AA410" s="131">
        <v>3030</v>
      </c>
      <c r="AB410" s="131" t="s">
        <v>1470</v>
      </c>
      <c r="AC410" s="131" t="s">
        <v>927</v>
      </c>
      <c r="AD410" s="131" t="s">
        <v>927</v>
      </c>
      <c r="AE410" s="131" t="s">
        <v>957</v>
      </c>
      <c r="AF410" s="131">
        <v>0</v>
      </c>
      <c r="AG410" s="131"/>
      <c r="AH410" s="131">
        <v>20</v>
      </c>
      <c r="AI410" s="131">
        <v>27</v>
      </c>
      <c r="AJ410" s="131"/>
    </row>
    <row r="411" spans="27:36">
      <c r="AA411" s="131">
        <v>3040</v>
      </c>
      <c r="AB411" s="131" t="s">
        <v>1471</v>
      </c>
      <c r="AC411" s="131" t="s">
        <v>927</v>
      </c>
      <c r="AD411" s="131" t="s">
        <v>927</v>
      </c>
      <c r="AE411" s="131" t="s">
        <v>916</v>
      </c>
      <c r="AF411" s="131">
        <v>52</v>
      </c>
      <c r="AG411" s="131"/>
      <c r="AH411" s="131">
        <v>30</v>
      </c>
      <c r="AI411" s="131">
        <v>28</v>
      </c>
      <c r="AJ411" s="131"/>
    </row>
    <row r="412" spans="27:36">
      <c r="AA412" s="131">
        <v>3050</v>
      </c>
      <c r="AB412" s="131" t="s">
        <v>1472</v>
      </c>
      <c r="AC412" s="131" t="s">
        <v>1473</v>
      </c>
      <c r="AD412" s="131" t="s">
        <v>1474</v>
      </c>
      <c r="AE412" s="131" t="s">
        <v>945</v>
      </c>
      <c r="AF412" s="131">
        <v>52</v>
      </c>
      <c r="AG412" s="131"/>
      <c r="AH412" s="131">
        <v>10</v>
      </c>
      <c r="AI412" s="131">
        <v>20</v>
      </c>
      <c r="AJ412" s="131"/>
    </row>
    <row r="413" spans="27:36">
      <c r="AA413" s="131">
        <v>3060</v>
      </c>
      <c r="AB413" s="131" t="s">
        <v>1475</v>
      </c>
      <c r="AC413" s="131" t="s">
        <v>927</v>
      </c>
      <c r="AD413" s="131" t="s">
        <v>927</v>
      </c>
      <c r="AE413" s="131" t="s">
        <v>945</v>
      </c>
      <c r="AF413" s="131">
        <v>75</v>
      </c>
      <c r="AG413" s="131" t="s">
        <v>940</v>
      </c>
      <c r="AH413" s="131">
        <v>20</v>
      </c>
      <c r="AI413" s="131">
        <v>20</v>
      </c>
      <c r="AJ413" s="131"/>
    </row>
    <row r="414" spans="27:36">
      <c r="AA414" s="131">
        <v>3061</v>
      </c>
      <c r="AB414" s="131" t="s">
        <v>1476</v>
      </c>
      <c r="AC414" s="131" t="s">
        <v>927</v>
      </c>
      <c r="AD414" s="131" t="s">
        <v>927</v>
      </c>
      <c r="AE414" s="131" t="s">
        <v>945</v>
      </c>
      <c r="AF414" s="131">
        <v>75</v>
      </c>
      <c r="AG414" s="131" t="s">
        <v>940</v>
      </c>
      <c r="AH414" s="131">
        <v>20</v>
      </c>
      <c r="AI414" s="131">
        <v>20</v>
      </c>
      <c r="AJ414" s="131"/>
    </row>
    <row r="415" spans="27:36">
      <c r="AA415" s="131">
        <v>3062</v>
      </c>
      <c r="AB415" s="131" t="s">
        <v>1477</v>
      </c>
      <c r="AC415" s="131" t="s">
        <v>927</v>
      </c>
      <c r="AD415" s="131" t="s">
        <v>927</v>
      </c>
      <c r="AE415" s="131" t="s">
        <v>945</v>
      </c>
      <c r="AF415" s="131">
        <v>75</v>
      </c>
      <c r="AG415" s="131" t="s">
        <v>940</v>
      </c>
      <c r="AH415" s="131">
        <v>20</v>
      </c>
      <c r="AI415" s="131">
        <v>20</v>
      </c>
      <c r="AJ415" s="131"/>
    </row>
    <row r="416" spans="27:36">
      <c r="AA416" s="131">
        <v>3063</v>
      </c>
      <c r="AB416" s="131" t="s">
        <v>1478</v>
      </c>
      <c r="AC416" s="131" t="s">
        <v>927</v>
      </c>
      <c r="AD416" s="131" t="s">
        <v>927</v>
      </c>
      <c r="AE416" s="131" t="s">
        <v>945</v>
      </c>
      <c r="AF416" s="131">
        <v>75</v>
      </c>
      <c r="AG416" s="131" t="s">
        <v>940</v>
      </c>
      <c r="AH416" s="131">
        <v>20</v>
      </c>
      <c r="AI416" s="131">
        <v>20</v>
      </c>
      <c r="AJ416" s="131"/>
    </row>
    <row r="417" spans="20:36">
      <c r="AA417" s="131">
        <v>3064</v>
      </c>
      <c r="AB417" s="131" t="s">
        <v>1479</v>
      </c>
      <c r="AC417" s="131" t="s">
        <v>927</v>
      </c>
      <c r="AD417" s="131" t="s">
        <v>927</v>
      </c>
      <c r="AE417" s="131" t="s">
        <v>945</v>
      </c>
      <c r="AF417" s="131">
        <v>75</v>
      </c>
      <c r="AG417" s="131" t="s">
        <v>940</v>
      </c>
      <c r="AH417" s="131">
        <v>20</v>
      </c>
      <c r="AI417" s="131">
        <v>20</v>
      </c>
      <c r="AJ417" s="131"/>
    </row>
    <row r="418" spans="20:36">
      <c r="AA418" s="131">
        <v>3065</v>
      </c>
      <c r="AB418" s="131" t="s">
        <v>1480</v>
      </c>
      <c r="AC418" s="131" t="s">
        <v>927</v>
      </c>
      <c r="AD418" s="131" t="s">
        <v>927</v>
      </c>
      <c r="AE418" s="131" t="s">
        <v>945</v>
      </c>
      <c r="AF418" s="131">
        <v>75</v>
      </c>
      <c r="AG418" s="131" t="s">
        <v>940</v>
      </c>
      <c r="AH418" s="131">
        <v>20</v>
      </c>
      <c r="AI418" s="131">
        <v>20</v>
      </c>
      <c r="AJ418" s="131"/>
    </row>
    <row r="419" spans="20:36">
      <c r="AA419" s="131">
        <v>3090</v>
      </c>
      <c r="AB419" s="131" t="s">
        <v>1481</v>
      </c>
      <c r="AC419" s="131" t="s">
        <v>927</v>
      </c>
      <c r="AD419" s="131" t="s">
        <v>927</v>
      </c>
      <c r="AE419" s="131" t="s">
        <v>945</v>
      </c>
      <c r="AF419" s="131">
        <v>75</v>
      </c>
      <c r="AG419" s="131" t="s">
        <v>940</v>
      </c>
      <c r="AH419" s="131">
        <v>0</v>
      </c>
      <c r="AI419" s="131">
        <v>20</v>
      </c>
      <c r="AJ419" s="131"/>
    </row>
    <row r="420" spans="20:36">
      <c r="AA420" s="131">
        <v>3095</v>
      </c>
      <c r="AB420" s="131" t="s">
        <v>1482</v>
      </c>
      <c r="AC420" s="131" t="s">
        <v>927</v>
      </c>
      <c r="AD420" s="131" t="s">
        <v>927</v>
      </c>
      <c r="AE420" s="131" t="s">
        <v>945</v>
      </c>
      <c r="AF420" s="131">
        <v>75</v>
      </c>
      <c r="AG420" s="131" t="s">
        <v>940</v>
      </c>
      <c r="AH420" s="131">
        <v>0</v>
      </c>
      <c r="AI420" s="131">
        <v>20</v>
      </c>
      <c r="AJ420" s="131"/>
    </row>
    <row r="421" spans="20:36">
      <c r="T421" s="94"/>
      <c r="U421" s="95"/>
      <c r="AA421" s="131">
        <v>3096</v>
      </c>
      <c r="AB421" s="131" t="s">
        <v>1483</v>
      </c>
      <c r="AC421" s="131" t="s">
        <v>927</v>
      </c>
      <c r="AD421" s="131" t="s">
        <v>927</v>
      </c>
      <c r="AE421" s="131" t="s">
        <v>945</v>
      </c>
      <c r="AF421" s="131">
        <v>52</v>
      </c>
      <c r="AG421" s="131" t="s">
        <v>940</v>
      </c>
      <c r="AH421" s="131">
        <v>0</v>
      </c>
      <c r="AI421" s="131">
        <v>20</v>
      </c>
      <c r="AJ421" s="131"/>
    </row>
    <row r="422" spans="20:36">
      <c r="T422" s="375"/>
      <c r="U422" s="376"/>
      <c r="AA422" s="131">
        <v>3097</v>
      </c>
      <c r="AB422" s="131" t="s">
        <v>1484</v>
      </c>
      <c r="AC422" s="131" t="s">
        <v>927</v>
      </c>
      <c r="AD422" s="131" t="s">
        <v>927</v>
      </c>
      <c r="AE422" s="131" t="s">
        <v>945</v>
      </c>
      <c r="AF422" s="131">
        <v>75</v>
      </c>
      <c r="AG422" s="131" t="s">
        <v>940</v>
      </c>
      <c r="AH422" s="131">
        <v>0</v>
      </c>
      <c r="AI422" s="131">
        <v>20</v>
      </c>
      <c r="AJ422" s="131"/>
    </row>
    <row r="423" spans="20:36">
      <c r="T423" s="112"/>
      <c r="U423" s="131"/>
      <c r="AA423" s="131">
        <v>3110</v>
      </c>
      <c r="AB423" s="131" t="s">
        <v>1485</v>
      </c>
      <c r="AC423" s="131" t="s">
        <v>1486</v>
      </c>
      <c r="AD423" s="131" t="s">
        <v>1487</v>
      </c>
      <c r="AE423" s="131" t="s">
        <v>945</v>
      </c>
      <c r="AF423" s="131">
        <v>75</v>
      </c>
      <c r="AG423" s="131" t="s">
        <v>940</v>
      </c>
      <c r="AH423" s="131">
        <v>20</v>
      </c>
      <c r="AI423" s="131">
        <v>20</v>
      </c>
      <c r="AJ423" s="131"/>
    </row>
    <row r="424" spans="20:36">
      <c r="AA424" s="131">
        <v>3120</v>
      </c>
      <c r="AB424" s="131" t="s">
        <v>1488</v>
      </c>
      <c r="AC424" s="131" t="s">
        <v>1489</v>
      </c>
      <c r="AD424" s="131" t="s">
        <v>1490</v>
      </c>
      <c r="AE424" s="131" t="s">
        <v>945</v>
      </c>
      <c r="AF424" s="131">
        <v>75</v>
      </c>
      <c r="AG424" s="131"/>
      <c r="AH424" s="131">
        <v>10</v>
      </c>
      <c r="AI424" s="131">
        <v>14</v>
      </c>
      <c r="AJ424" s="131"/>
    </row>
    <row r="425" spans="20:36">
      <c r="AA425" s="131">
        <v>3121</v>
      </c>
      <c r="AB425" s="131" t="s">
        <v>1491</v>
      </c>
      <c r="AC425" s="131" t="s">
        <v>927</v>
      </c>
      <c r="AD425" s="131" t="s">
        <v>927</v>
      </c>
      <c r="AE425" s="131" t="s">
        <v>945</v>
      </c>
      <c r="AF425" s="131">
        <v>75</v>
      </c>
      <c r="AG425" s="131"/>
      <c r="AH425" s="131">
        <v>10</v>
      </c>
      <c r="AI425" s="131">
        <v>14</v>
      </c>
      <c r="AJ425" s="131"/>
    </row>
    <row r="426" spans="20:36">
      <c r="AA426" s="131">
        <v>3125</v>
      </c>
      <c r="AB426" s="131" t="s">
        <v>1492</v>
      </c>
      <c r="AC426" s="131" t="s">
        <v>1493</v>
      </c>
      <c r="AD426" s="131" t="s">
        <v>1494</v>
      </c>
      <c r="AE426" s="131" t="s">
        <v>945</v>
      </c>
      <c r="AF426" s="131">
        <v>52</v>
      </c>
      <c r="AG426" s="131"/>
      <c r="AH426" s="131">
        <v>10</v>
      </c>
      <c r="AI426" s="131">
        <v>24</v>
      </c>
      <c r="AJ426" s="131"/>
    </row>
    <row r="427" spans="20:36">
      <c r="AA427" s="131">
        <v>3130</v>
      </c>
      <c r="AB427" s="131" t="s">
        <v>1495</v>
      </c>
      <c r="AC427" s="131" t="s">
        <v>1496</v>
      </c>
      <c r="AD427" s="131" t="s">
        <v>1497</v>
      </c>
      <c r="AE427" s="131" t="s">
        <v>945</v>
      </c>
      <c r="AF427" s="131">
        <v>52</v>
      </c>
      <c r="AG427" s="131"/>
      <c r="AH427" s="131">
        <v>10</v>
      </c>
      <c r="AI427" s="131">
        <v>20</v>
      </c>
      <c r="AJ427" s="131"/>
    </row>
    <row r="428" spans="20:36">
      <c r="AA428" s="131">
        <v>3140</v>
      </c>
      <c r="AB428" s="131" t="s">
        <v>1498</v>
      </c>
      <c r="AC428" s="131" t="s">
        <v>1499</v>
      </c>
      <c r="AD428" s="131" t="s">
        <v>1500</v>
      </c>
      <c r="AE428" s="131" t="s">
        <v>945</v>
      </c>
      <c r="AF428" s="131">
        <v>52</v>
      </c>
      <c r="AG428" s="131"/>
      <c r="AH428" s="131">
        <v>10</v>
      </c>
      <c r="AI428" s="131">
        <v>20</v>
      </c>
      <c r="AJ428" s="131"/>
    </row>
    <row r="429" spans="20:36">
      <c r="AA429" s="131">
        <v>3155</v>
      </c>
      <c r="AB429" s="131" t="s">
        <v>1501</v>
      </c>
      <c r="AC429" s="131" t="s">
        <v>927</v>
      </c>
      <c r="AD429" s="131" t="s">
        <v>927</v>
      </c>
      <c r="AE429" s="131" t="s">
        <v>916</v>
      </c>
      <c r="AF429" s="131">
        <v>0</v>
      </c>
      <c r="AG429" s="131"/>
      <c r="AH429" s="131">
        <v>20</v>
      </c>
      <c r="AI429" s="131">
        <v>27</v>
      </c>
      <c r="AJ429" s="131"/>
    </row>
    <row r="430" spans="20:36">
      <c r="AA430" s="131">
        <v>3160</v>
      </c>
      <c r="AB430" s="131" t="s">
        <v>1502</v>
      </c>
      <c r="AC430" s="131" t="s">
        <v>1503</v>
      </c>
      <c r="AD430" s="131" t="s">
        <v>1502</v>
      </c>
      <c r="AE430" s="131" t="s">
        <v>957</v>
      </c>
      <c r="AF430" s="131">
        <v>0</v>
      </c>
      <c r="AG430" s="131"/>
      <c r="AH430" s="131">
        <v>20</v>
      </c>
      <c r="AI430" s="131">
        <v>27</v>
      </c>
      <c r="AJ430" s="131"/>
    </row>
    <row r="431" spans="20:36">
      <c r="AA431" s="131">
        <v>3161</v>
      </c>
      <c r="AB431" s="131" t="s">
        <v>1504</v>
      </c>
      <c r="AC431" s="131" t="s">
        <v>927</v>
      </c>
      <c r="AD431" s="131" t="s">
        <v>927</v>
      </c>
      <c r="AE431" s="131" t="s">
        <v>916</v>
      </c>
      <c r="AF431" s="131">
        <v>0</v>
      </c>
      <c r="AG431" s="131"/>
      <c r="AH431" s="131">
        <v>20</v>
      </c>
      <c r="AI431" s="131">
        <v>27</v>
      </c>
      <c r="AJ431" s="131"/>
    </row>
    <row r="432" spans="20:36">
      <c r="AA432" s="131">
        <v>3162</v>
      </c>
      <c r="AB432" s="131" t="s">
        <v>1505</v>
      </c>
      <c r="AC432" s="131" t="s">
        <v>1506</v>
      </c>
      <c r="AD432" s="131" t="s">
        <v>1505</v>
      </c>
      <c r="AE432" s="131" t="s">
        <v>945</v>
      </c>
      <c r="AF432" s="131">
        <v>52</v>
      </c>
      <c r="AG432" s="131"/>
      <c r="AH432" s="131">
        <v>20</v>
      </c>
      <c r="AI432" s="131">
        <v>24</v>
      </c>
      <c r="AJ432" s="131"/>
    </row>
    <row r="433" spans="27:36">
      <c r="AA433" s="131">
        <v>3164</v>
      </c>
      <c r="AB433" s="131" t="s">
        <v>1507</v>
      </c>
      <c r="AC433" s="131" t="s">
        <v>927</v>
      </c>
      <c r="AD433" s="131" t="s">
        <v>927</v>
      </c>
      <c r="AE433" s="131" t="s">
        <v>916</v>
      </c>
      <c r="AF433" s="131">
        <v>0</v>
      </c>
      <c r="AG433" s="131"/>
      <c r="AH433" s="131">
        <v>20</v>
      </c>
      <c r="AI433" s="131">
        <v>27</v>
      </c>
      <c r="AJ433" s="131"/>
    </row>
    <row r="434" spans="27:36">
      <c r="AA434" s="131">
        <v>3200</v>
      </c>
      <c r="AB434" s="131" t="s">
        <v>1508</v>
      </c>
      <c r="AC434" s="131" t="s">
        <v>1509</v>
      </c>
      <c r="AD434" s="131" t="s">
        <v>1510</v>
      </c>
      <c r="AE434" s="131" t="s">
        <v>916</v>
      </c>
      <c r="AF434" s="131">
        <v>52</v>
      </c>
      <c r="AG434" s="131"/>
      <c r="AH434" s="131">
        <v>20</v>
      </c>
      <c r="AI434" s="131">
        <v>6</v>
      </c>
      <c r="AJ434" s="131"/>
    </row>
    <row r="435" spans="27:36">
      <c r="AA435" s="131">
        <v>3201</v>
      </c>
      <c r="AB435" s="131" t="s">
        <v>1511</v>
      </c>
      <c r="AC435" s="131" t="s">
        <v>927</v>
      </c>
      <c r="AD435" s="131" t="s">
        <v>927</v>
      </c>
      <c r="AE435" s="131" t="s">
        <v>916</v>
      </c>
      <c r="AF435" s="131">
        <v>0</v>
      </c>
      <c r="AG435" s="131"/>
      <c r="AH435" s="131">
        <v>20</v>
      </c>
      <c r="AI435" s="131">
        <v>28</v>
      </c>
      <c r="AJ435" s="131"/>
    </row>
    <row r="436" spans="27:36">
      <c r="AA436" s="131">
        <v>3202</v>
      </c>
      <c r="AB436" s="131" t="s">
        <v>1512</v>
      </c>
      <c r="AC436" s="131" t="s">
        <v>927</v>
      </c>
      <c r="AD436" s="131" t="s">
        <v>927</v>
      </c>
      <c r="AE436" s="131" t="s">
        <v>945</v>
      </c>
      <c r="AF436" s="131">
        <v>52</v>
      </c>
      <c r="AG436" s="131" t="s">
        <v>940</v>
      </c>
      <c r="AH436" s="131">
        <v>0</v>
      </c>
      <c r="AI436" s="131">
        <v>6</v>
      </c>
      <c r="AJ436" s="131"/>
    </row>
    <row r="437" spans="27:36">
      <c r="AA437" s="131">
        <v>3210</v>
      </c>
      <c r="AB437" s="131" t="s">
        <v>1513</v>
      </c>
      <c r="AC437" s="131" t="s">
        <v>1514</v>
      </c>
      <c r="AD437" s="131" t="s">
        <v>1515</v>
      </c>
      <c r="AE437" s="131" t="s">
        <v>945</v>
      </c>
      <c r="AF437" s="131">
        <v>75</v>
      </c>
      <c r="AG437" s="131"/>
      <c r="AH437" s="131">
        <v>10</v>
      </c>
      <c r="AI437" s="131">
        <v>20</v>
      </c>
      <c r="AJ437" s="131"/>
    </row>
    <row r="438" spans="27:36">
      <c r="AA438" s="131">
        <v>3211</v>
      </c>
      <c r="AB438" s="131" t="s">
        <v>1516</v>
      </c>
      <c r="AC438" s="131" t="s">
        <v>927</v>
      </c>
      <c r="AD438" s="131" t="s">
        <v>927</v>
      </c>
      <c r="AE438" s="131" t="s">
        <v>945</v>
      </c>
      <c r="AF438" s="131">
        <v>75</v>
      </c>
      <c r="AG438" s="131"/>
      <c r="AH438" s="131">
        <v>10</v>
      </c>
      <c r="AI438" s="131">
        <v>20</v>
      </c>
      <c r="AJ438" s="131"/>
    </row>
    <row r="439" spans="27:36">
      <c r="AA439" s="131">
        <v>3220</v>
      </c>
      <c r="AB439" s="131" t="s">
        <v>1517</v>
      </c>
      <c r="AC439" s="131" t="s">
        <v>1518</v>
      </c>
      <c r="AD439" s="131" t="s">
        <v>1519</v>
      </c>
      <c r="AE439" s="131" t="s">
        <v>957</v>
      </c>
      <c r="AF439" s="131">
        <v>0</v>
      </c>
      <c r="AG439" s="131"/>
      <c r="AH439" s="131">
        <v>20</v>
      </c>
      <c r="AI439" s="131">
        <v>27</v>
      </c>
      <c r="AJ439" s="131"/>
    </row>
    <row r="440" spans="27:36">
      <c r="AA440" s="131">
        <v>3222</v>
      </c>
      <c r="AB440" s="131" t="s">
        <v>1520</v>
      </c>
      <c r="AC440" s="131" t="s">
        <v>927</v>
      </c>
      <c r="AD440" s="131" t="s">
        <v>927</v>
      </c>
      <c r="AE440" s="131" t="s">
        <v>945</v>
      </c>
      <c r="AF440" s="131">
        <v>52</v>
      </c>
      <c r="AG440" s="131" t="s">
        <v>940</v>
      </c>
      <c r="AH440" s="131">
        <v>20</v>
      </c>
      <c r="AI440" s="131">
        <v>20</v>
      </c>
      <c r="AJ440" s="131"/>
    </row>
    <row r="441" spans="27:36">
      <c r="AA441" s="131">
        <v>3225</v>
      </c>
      <c r="AB441" s="131" t="s">
        <v>1521</v>
      </c>
      <c r="AC441" s="131" t="s">
        <v>927</v>
      </c>
      <c r="AD441" s="131" t="s">
        <v>927</v>
      </c>
      <c r="AE441" s="131" t="s">
        <v>957</v>
      </c>
      <c r="AF441" s="131">
        <v>0</v>
      </c>
      <c r="AG441" s="131"/>
      <c r="AH441" s="131">
        <v>20</v>
      </c>
      <c r="AI441" s="131">
        <v>27</v>
      </c>
      <c r="AJ441" s="131"/>
    </row>
    <row r="442" spans="27:36">
      <c r="AA442" s="131">
        <v>3227</v>
      </c>
      <c r="AB442" s="131" t="s">
        <v>1522</v>
      </c>
      <c r="AC442" s="131" t="s">
        <v>927</v>
      </c>
      <c r="AD442" s="131" t="s">
        <v>927</v>
      </c>
      <c r="AE442" s="131" t="s">
        <v>957</v>
      </c>
      <c r="AF442" s="131">
        <v>0</v>
      </c>
      <c r="AG442" s="131" t="s">
        <v>940</v>
      </c>
      <c r="AH442" s="131">
        <v>0</v>
      </c>
      <c r="AI442" s="131">
        <v>27</v>
      </c>
      <c r="AJ442" s="131"/>
    </row>
    <row r="443" spans="27:36">
      <c r="AA443" s="131">
        <v>3250</v>
      </c>
      <c r="AB443" s="131" t="s">
        <v>1523</v>
      </c>
      <c r="AC443" s="131" t="s">
        <v>1524</v>
      </c>
      <c r="AD443" s="131" t="s">
        <v>1523</v>
      </c>
      <c r="AE443" s="131" t="s">
        <v>945</v>
      </c>
      <c r="AF443" s="131">
        <v>52</v>
      </c>
      <c r="AG443" s="131"/>
      <c r="AH443" s="131">
        <v>20</v>
      </c>
      <c r="AI443" s="131">
        <v>20</v>
      </c>
      <c r="AJ443" s="131"/>
    </row>
    <row r="444" spans="27:36">
      <c r="AA444" s="131">
        <v>3255</v>
      </c>
      <c r="AB444" s="131" t="s">
        <v>1525</v>
      </c>
      <c r="AC444" s="131" t="s">
        <v>927</v>
      </c>
      <c r="AD444" s="131" t="s">
        <v>927</v>
      </c>
      <c r="AE444" s="131" t="s">
        <v>957</v>
      </c>
      <c r="AF444" s="131">
        <v>0</v>
      </c>
      <c r="AG444" s="131"/>
      <c r="AH444" s="131">
        <v>20</v>
      </c>
      <c r="AI444" s="131">
        <v>27</v>
      </c>
      <c r="AJ444" s="131"/>
    </row>
    <row r="445" spans="27:36">
      <c r="AA445" s="131">
        <v>3260</v>
      </c>
      <c r="AB445" s="131" t="s">
        <v>1526</v>
      </c>
      <c r="AC445" s="131" t="s">
        <v>927</v>
      </c>
      <c r="AD445" s="131" t="s">
        <v>927</v>
      </c>
      <c r="AE445" s="131" t="s">
        <v>957</v>
      </c>
      <c r="AF445" s="131">
        <v>0</v>
      </c>
      <c r="AG445" s="131"/>
      <c r="AH445" s="131">
        <v>20</v>
      </c>
      <c r="AI445" s="131">
        <v>27</v>
      </c>
      <c r="AJ445" s="131"/>
    </row>
    <row r="446" spans="27:36">
      <c r="AA446" s="131">
        <v>3265</v>
      </c>
      <c r="AB446" s="131" t="s">
        <v>1527</v>
      </c>
      <c r="AC446" s="131" t="s">
        <v>1528</v>
      </c>
      <c r="AD446" s="131" t="s">
        <v>1529</v>
      </c>
      <c r="AE446" s="131" t="s">
        <v>957</v>
      </c>
      <c r="AF446" s="131">
        <v>0</v>
      </c>
      <c r="AG446" s="131"/>
      <c r="AH446" s="131">
        <v>20</v>
      </c>
      <c r="AI446" s="131">
        <v>27</v>
      </c>
      <c r="AJ446" s="131"/>
    </row>
    <row r="447" spans="27:36">
      <c r="AA447" s="131">
        <v>3267</v>
      </c>
      <c r="AB447" s="131" t="s">
        <v>1530</v>
      </c>
      <c r="AC447" s="131" t="s">
        <v>927</v>
      </c>
      <c r="AD447" s="131" t="s">
        <v>927</v>
      </c>
      <c r="AE447" s="131" t="s">
        <v>945</v>
      </c>
      <c r="AF447" s="131">
        <v>52</v>
      </c>
      <c r="AG447" s="131" t="s">
        <v>940</v>
      </c>
      <c r="AH447" s="131">
        <v>0</v>
      </c>
      <c r="AI447" s="131">
        <v>16</v>
      </c>
      <c r="AJ447" s="131"/>
    </row>
    <row r="448" spans="27:36">
      <c r="AA448" s="131">
        <v>3270</v>
      </c>
      <c r="AB448" s="131" t="s">
        <v>1531</v>
      </c>
      <c r="AC448" s="131" t="s">
        <v>927</v>
      </c>
      <c r="AD448" s="131" t="s">
        <v>927</v>
      </c>
      <c r="AE448" s="131" t="s">
        <v>916</v>
      </c>
      <c r="AF448" s="131">
        <v>0</v>
      </c>
      <c r="AG448" s="131"/>
      <c r="AH448" s="131">
        <v>20</v>
      </c>
      <c r="AI448" s="131">
        <v>27</v>
      </c>
      <c r="AJ448" s="131"/>
    </row>
    <row r="449" spans="27:36">
      <c r="AA449" s="131">
        <v>3271</v>
      </c>
      <c r="AB449" s="131" t="s">
        <v>1532</v>
      </c>
      <c r="AC449" s="131" t="s">
        <v>927</v>
      </c>
      <c r="AD449" s="131" t="s">
        <v>927</v>
      </c>
      <c r="AE449" s="131" t="s">
        <v>945</v>
      </c>
      <c r="AF449" s="131">
        <v>75</v>
      </c>
      <c r="AG449" s="131"/>
      <c r="AH449" s="131">
        <v>20</v>
      </c>
      <c r="AI449" s="131">
        <v>15</v>
      </c>
      <c r="AJ449" s="131"/>
    </row>
    <row r="450" spans="27:36">
      <c r="AA450" s="131">
        <v>3280</v>
      </c>
      <c r="AB450" s="131" t="s">
        <v>1533</v>
      </c>
      <c r="AC450" s="131" t="s">
        <v>927</v>
      </c>
      <c r="AD450" s="131" t="s">
        <v>927</v>
      </c>
      <c r="AE450" s="131" t="s">
        <v>916</v>
      </c>
      <c r="AF450" s="131">
        <v>0</v>
      </c>
      <c r="AG450" s="131"/>
      <c r="AH450" s="131">
        <v>20</v>
      </c>
      <c r="AI450" s="131">
        <v>28</v>
      </c>
      <c r="AJ450" s="131"/>
    </row>
    <row r="451" spans="27:36">
      <c r="AA451" s="131">
        <v>3281</v>
      </c>
      <c r="AB451" s="131" t="s">
        <v>1534</v>
      </c>
      <c r="AC451" s="131" t="s">
        <v>927</v>
      </c>
      <c r="AD451" s="131" t="s">
        <v>927</v>
      </c>
      <c r="AE451" s="131" t="s">
        <v>916</v>
      </c>
      <c r="AF451" s="131">
        <v>60</v>
      </c>
      <c r="AG451" s="131"/>
      <c r="AH451" s="131">
        <v>0</v>
      </c>
      <c r="AI451" s="131">
        <v>9</v>
      </c>
      <c r="AJ451" s="131"/>
    </row>
    <row r="452" spans="27:36">
      <c r="AA452" s="131">
        <v>3350</v>
      </c>
      <c r="AB452" s="131" t="s">
        <v>1535</v>
      </c>
      <c r="AC452" s="131" t="s">
        <v>927</v>
      </c>
      <c r="AD452" s="131" t="s">
        <v>927</v>
      </c>
      <c r="AE452" s="131" t="s">
        <v>957</v>
      </c>
      <c r="AF452" s="131">
        <v>0</v>
      </c>
      <c r="AG452" s="131"/>
      <c r="AH452" s="131">
        <v>20</v>
      </c>
      <c r="AI452" s="131">
        <v>27</v>
      </c>
      <c r="AJ452" s="131"/>
    </row>
    <row r="453" spans="27:36">
      <c r="AA453" s="131">
        <v>3351</v>
      </c>
      <c r="AB453" s="131" t="s">
        <v>1536</v>
      </c>
      <c r="AC453" s="131" t="s">
        <v>927</v>
      </c>
      <c r="AD453" s="131" t="s">
        <v>927</v>
      </c>
      <c r="AE453" s="131" t="s">
        <v>957</v>
      </c>
      <c r="AF453" s="131">
        <v>52</v>
      </c>
      <c r="AG453" s="131" t="s">
        <v>940</v>
      </c>
      <c r="AH453" s="131">
        <v>0</v>
      </c>
      <c r="AI453" s="131">
        <v>23</v>
      </c>
      <c r="AJ453" s="131"/>
    </row>
    <row r="454" spans="27:36">
      <c r="AA454" s="131">
        <v>3355</v>
      </c>
      <c r="AB454" s="131" t="s">
        <v>1537</v>
      </c>
      <c r="AC454" s="131" t="s">
        <v>927</v>
      </c>
      <c r="AD454" s="131" t="s">
        <v>927</v>
      </c>
      <c r="AE454" s="131" t="s">
        <v>957</v>
      </c>
      <c r="AF454" s="131">
        <v>0</v>
      </c>
      <c r="AG454" s="131"/>
      <c r="AH454" s="131">
        <v>20</v>
      </c>
      <c r="AI454" s="131">
        <v>27</v>
      </c>
      <c r="AJ454" s="131"/>
    </row>
    <row r="455" spans="27:36">
      <c r="AA455" s="131">
        <v>3356</v>
      </c>
      <c r="AB455" s="131" t="s">
        <v>1538</v>
      </c>
      <c r="AC455" s="131" t="s">
        <v>927</v>
      </c>
      <c r="AD455" s="131" t="s">
        <v>927</v>
      </c>
      <c r="AE455" s="131" t="s">
        <v>957</v>
      </c>
      <c r="AF455" s="131">
        <v>0</v>
      </c>
      <c r="AG455" s="131"/>
      <c r="AH455" s="131">
        <v>20</v>
      </c>
      <c r="AI455" s="131">
        <v>27</v>
      </c>
      <c r="AJ455" s="131"/>
    </row>
    <row r="456" spans="27:36">
      <c r="AA456" s="131">
        <v>3357</v>
      </c>
      <c r="AB456" s="131" t="s">
        <v>1539</v>
      </c>
      <c r="AC456" s="131" t="s">
        <v>927</v>
      </c>
      <c r="AD456" s="131" t="s">
        <v>927</v>
      </c>
      <c r="AE456" s="131" t="s">
        <v>945</v>
      </c>
      <c r="AF456" s="131">
        <v>52</v>
      </c>
      <c r="AG456" s="131" t="s">
        <v>940</v>
      </c>
      <c r="AH456" s="131">
        <v>0</v>
      </c>
      <c r="AI456" s="131">
        <v>23</v>
      </c>
      <c r="AJ456" s="131"/>
    </row>
    <row r="457" spans="27:36">
      <c r="AA457" s="131">
        <v>3358</v>
      </c>
      <c r="AB457" s="131" t="s">
        <v>1540</v>
      </c>
      <c r="AC457" s="131" t="s">
        <v>927</v>
      </c>
      <c r="AD457" s="131" t="s">
        <v>927</v>
      </c>
      <c r="AE457" s="131" t="s">
        <v>957</v>
      </c>
      <c r="AF457" s="131">
        <v>0</v>
      </c>
      <c r="AG457" s="131"/>
      <c r="AH457" s="131">
        <v>20</v>
      </c>
      <c r="AI457" s="131">
        <v>27</v>
      </c>
      <c r="AJ457" s="131"/>
    </row>
    <row r="458" spans="27:36">
      <c r="AA458" s="131">
        <v>3359</v>
      </c>
      <c r="AB458" s="131" t="s">
        <v>1541</v>
      </c>
      <c r="AC458" s="131" t="s">
        <v>927</v>
      </c>
      <c r="AD458" s="131" t="s">
        <v>927</v>
      </c>
      <c r="AE458" s="131" t="s">
        <v>945</v>
      </c>
      <c r="AF458" s="131">
        <v>52</v>
      </c>
      <c r="AG458" s="131" t="s">
        <v>940</v>
      </c>
      <c r="AH458" s="131">
        <v>0</v>
      </c>
      <c r="AI458" s="131">
        <v>23</v>
      </c>
      <c r="AJ458" s="131"/>
    </row>
    <row r="459" spans="27:36">
      <c r="AA459" s="131">
        <v>3360</v>
      </c>
      <c r="AB459" s="131" t="s">
        <v>1542</v>
      </c>
      <c r="AC459" s="131" t="s">
        <v>927</v>
      </c>
      <c r="AD459" s="131" t="s">
        <v>927</v>
      </c>
      <c r="AE459" s="131" t="s">
        <v>957</v>
      </c>
      <c r="AF459" s="131">
        <v>0</v>
      </c>
      <c r="AG459" s="131" t="s">
        <v>940</v>
      </c>
      <c r="AH459" s="131">
        <v>20</v>
      </c>
      <c r="AI459" s="131">
        <v>27</v>
      </c>
      <c r="AJ459" s="131"/>
    </row>
    <row r="460" spans="27:36">
      <c r="AA460" s="131">
        <v>3365</v>
      </c>
      <c r="AB460" s="131" t="s">
        <v>1543</v>
      </c>
      <c r="AC460" s="131" t="s">
        <v>927</v>
      </c>
      <c r="AD460" s="131" t="s">
        <v>927</v>
      </c>
      <c r="AE460" s="131" t="s">
        <v>957</v>
      </c>
      <c r="AF460" s="131">
        <v>0</v>
      </c>
      <c r="AG460" s="131"/>
      <c r="AH460" s="131">
        <v>20</v>
      </c>
      <c r="AI460" s="131">
        <v>27</v>
      </c>
      <c r="AJ460" s="131"/>
    </row>
    <row r="461" spans="27:36">
      <c r="AA461" s="131">
        <v>3366</v>
      </c>
      <c r="AB461" s="131" t="s">
        <v>1544</v>
      </c>
      <c r="AC461" s="131" t="s">
        <v>927</v>
      </c>
      <c r="AD461" s="131" t="s">
        <v>927</v>
      </c>
      <c r="AE461" s="131" t="s">
        <v>957</v>
      </c>
      <c r="AF461" s="131">
        <v>0</v>
      </c>
      <c r="AG461" s="131"/>
      <c r="AH461" s="131">
        <v>20</v>
      </c>
      <c r="AI461" s="131">
        <v>27</v>
      </c>
      <c r="AJ461" s="131"/>
    </row>
    <row r="462" spans="27:36">
      <c r="AA462" s="131">
        <v>3367</v>
      </c>
      <c r="AB462" s="131" t="s">
        <v>1545</v>
      </c>
      <c r="AC462" s="131" t="s">
        <v>927</v>
      </c>
      <c r="AD462" s="131" t="s">
        <v>927</v>
      </c>
      <c r="AE462" s="131" t="s">
        <v>957</v>
      </c>
      <c r="AF462" s="131">
        <v>0</v>
      </c>
      <c r="AG462" s="131"/>
      <c r="AH462" s="131">
        <v>20</v>
      </c>
      <c r="AI462" s="131">
        <v>27</v>
      </c>
      <c r="AJ462" s="131"/>
    </row>
    <row r="463" spans="27:36">
      <c r="AA463" s="131">
        <v>3368</v>
      </c>
      <c r="AB463" s="131" t="s">
        <v>1546</v>
      </c>
      <c r="AC463" s="131" t="s">
        <v>927</v>
      </c>
      <c r="AD463" s="131" t="s">
        <v>927</v>
      </c>
      <c r="AE463" s="131" t="s">
        <v>957</v>
      </c>
      <c r="AF463" s="131">
        <v>0</v>
      </c>
      <c r="AG463" s="131"/>
      <c r="AH463" s="131">
        <v>20</v>
      </c>
      <c r="AI463" s="131">
        <v>27</v>
      </c>
      <c r="AJ463" s="131"/>
    </row>
    <row r="464" spans="27:36">
      <c r="AA464" s="131">
        <v>3370</v>
      </c>
      <c r="AB464" s="131" t="s">
        <v>1547</v>
      </c>
      <c r="AC464" s="131" t="s">
        <v>927</v>
      </c>
      <c r="AD464" s="131" t="s">
        <v>927</v>
      </c>
      <c r="AE464" s="131" t="s">
        <v>957</v>
      </c>
      <c r="AF464" s="131">
        <v>0</v>
      </c>
      <c r="AG464" s="131"/>
      <c r="AH464" s="131">
        <v>20</v>
      </c>
      <c r="AI464" s="131">
        <v>27</v>
      </c>
      <c r="AJ464" s="131"/>
    </row>
    <row r="465" spans="27:36">
      <c r="AA465" s="131">
        <v>3371</v>
      </c>
      <c r="AB465" s="131" t="s">
        <v>1548</v>
      </c>
      <c r="AC465" s="131" t="s">
        <v>927</v>
      </c>
      <c r="AD465" s="131" t="s">
        <v>927</v>
      </c>
      <c r="AE465" s="131" t="s">
        <v>957</v>
      </c>
      <c r="AF465" s="131">
        <v>0</v>
      </c>
      <c r="AG465" s="131" t="s">
        <v>940</v>
      </c>
      <c r="AH465" s="131">
        <v>0</v>
      </c>
      <c r="AI465" s="131">
        <v>27</v>
      </c>
      <c r="AJ465" s="131"/>
    </row>
    <row r="466" spans="27:36">
      <c r="AA466" s="131">
        <v>3372</v>
      </c>
      <c r="AB466" s="131" t="s">
        <v>1549</v>
      </c>
      <c r="AC466" s="131" t="s">
        <v>927</v>
      </c>
      <c r="AD466" s="131" t="s">
        <v>927</v>
      </c>
      <c r="AE466" s="131" t="s">
        <v>957</v>
      </c>
      <c r="AF466" s="131">
        <v>0</v>
      </c>
      <c r="AG466" s="131" t="s">
        <v>940</v>
      </c>
      <c r="AH466" s="131">
        <v>0</v>
      </c>
      <c r="AI466" s="131">
        <v>27</v>
      </c>
      <c r="AJ466" s="131"/>
    </row>
    <row r="467" spans="27:36">
      <c r="AA467" s="131">
        <v>3373</v>
      </c>
      <c r="AB467" s="131" t="s">
        <v>1550</v>
      </c>
      <c r="AC467" s="131" t="s">
        <v>927</v>
      </c>
      <c r="AD467" s="131" t="s">
        <v>927</v>
      </c>
      <c r="AE467" s="131" t="s">
        <v>957</v>
      </c>
      <c r="AF467" s="131">
        <v>0</v>
      </c>
      <c r="AG467" s="131"/>
      <c r="AH467" s="131">
        <v>20</v>
      </c>
      <c r="AI467" s="131">
        <v>27</v>
      </c>
      <c r="AJ467" s="131"/>
    </row>
    <row r="468" spans="27:36">
      <c r="AA468" s="131">
        <v>3374</v>
      </c>
      <c r="AB468" s="131" t="s">
        <v>1551</v>
      </c>
      <c r="AC468" s="131" t="s">
        <v>927</v>
      </c>
      <c r="AD468" s="131" t="s">
        <v>927</v>
      </c>
      <c r="AE468" s="131" t="s">
        <v>957</v>
      </c>
      <c r="AF468" s="131">
        <v>0</v>
      </c>
      <c r="AG468" s="131" t="s">
        <v>940</v>
      </c>
      <c r="AH468" s="131">
        <v>0</v>
      </c>
      <c r="AI468" s="131">
        <v>27</v>
      </c>
      <c r="AJ468" s="131"/>
    </row>
    <row r="469" spans="27:36">
      <c r="AA469" s="131">
        <v>3375</v>
      </c>
      <c r="AB469" s="131" t="s">
        <v>1552</v>
      </c>
      <c r="AC469" s="131" t="s">
        <v>927</v>
      </c>
      <c r="AD469" s="131" t="s">
        <v>927</v>
      </c>
      <c r="AE469" s="131" t="s">
        <v>957</v>
      </c>
      <c r="AF469" s="131">
        <v>0</v>
      </c>
      <c r="AG469" s="131"/>
      <c r="AH469" s="131">
        <v>20</v>
      </c>
      <c r="AI469" s="131">
        <v>27</v>
      </c>
      <c r="AJ469" s="131"/>
    </row>
    <row r="470" spans="27:36">
      <c r="AA470" s="131">
        <v>3376</v>
      </c>
      <c r="AB470" s="131" t="s">
        <v>1551</v>
      </c>
      <c r="AC470" s="131" t="s">
        <v>927</v>
      </c>
      <c r="AD470" s="131" t="s">
        <v>927</v>
      </c>
      <c r="AE470" s="131" t="s">
        <v>957</v>
      </c>
      <c r="AF470" s="131">
        <v>0</v>
      </c>
      <c r="AG470" s="131" t="s">
        <v>940</v>
      </c>
      <c r="AH470" s="131">
        <v>0</v>
      </c>
      <c r="AI470" s="131">
        <v>27</v>
      </c>
      <c r="AJ470" s="131"/>
    </row>
    <row r="471" spans="27:36">
      <c r="AA471" s="131">
        <v>3377</v>
      </c>
      <c r="AB471" s="131" t="s">
        <v>1553</v>
      </c>
      <c r="AC471" s="131" t="s">
        <v>927</v>
      </c>
      <c r="AD471" s="131" t="s">
        <v>927</v>
      </c>
      <c r="AE471" s="131" t="s">
        <v>957</v>
      </c>
      <c r="AF471" s="131">
        <v>0</v>
      </c>
      <c r="AG471" s="131" t="s">
        <v>940</v>
      </c>
      <c r="AH471" s="131">
        <v>20</v>
      </c>
      <c r="AI471" s="131">
        <v>27</v>
      </c>
      <c r="AJ471" s="131"/>
    </row>
    <row r="472" spans="27:36">
      <c r="AA472" s="131">
        <v>3378</v>
      </c>
      <c r="AB472" s="131" t="s">
        <v>1554</v>
      </c>
      <c r="AC472" s="131" t="s">
        <v>927</v>
      </c>
      <c r="AD472" s="131" t="s">
        <v>927</v>
      </c>
      <c r="AE472" s="131" t="s">
        <v>957</v>
      </c>
      <c r="AF472" s="131">
        <v>0</v>
      </c>
      <c r="AG472" s="131" t="s">
        <v>940</v>
      </c>
      <c r="AH472" s="131">
        <v>20</v>
      </c>
      <c r="AI472" s="131">
        <v>27</v>
      </c>
      <c r="AJ472" s="131"/>
    </row>
    <row r="473" spans="27:36">
      <c r="AA473" s="131">
        <v>3380</v>
      </c>
      <c r="AB473" s="131" t="s">
        <v>1555</v>
      </c>
      <c r="AC473" s="131" t="s">
        <v>927</v>
      </c>
      <c r="AD473" s="131" t="s">
        <v>927</v>
      </c>
      <c r="AE473" s="131" t="s">
        <v>957</v>
      </c>
      <c r="AF473" s="131">
        <v>0</v>
      </c>
      <c r="AG473" s="131"/>
      <c r="AH473" s="131">
        <v>20</v>
      </c>
      <c r="AI473" s="131">
        <v>27</v>
      </c>
      <c r="AJ473" s="131"/>
    </row>
    <row r="474" spans="27:36">
      <c r="AA474" s="131">
        <v>3381</v>
      </c>
      <c r="AB474" s="131" t="s">
        <v>1556</v>
      </c>
      <c r="AC474" s="131" t="s">
        <v>927</v>
      </c>
      <c r="AD474" s="131" t="s">
        <v>927</v>
      </c>
      <c r="AE474" s="131" t="s">
        <v>957</v>
      </c>
      <c r="AF474" s="131">
        <v>0</v>
      </c>
      <c r="AG474" s="131" t="s">
        <v>940</v>
      </c>
      <c r="AH474" s="131">
        <v>20</v>
      </c>
      <c r="AI474" s="131">
        <v>27</v>
      </c>
      <c r="AJ474" s="131"/>
    </row>
    <row r="475" spans="27:36">
      <c r="AA475" s="131">
        <v>3385</v>
      </c>
      <c r="AB475" s="131" t="s">
        <v>1557</v>
      </c>
      <c r="AC475" s="131" t="s">
        <v>927</v>
      </c>
      <c r="AD475" s="131" t="s">
        <v>927</v>
      </c>
      <c r="AE475" s="131" t="s">
        <v>957</v>
      </c>
      <c r="AF475" s="131">
        <v>0</v>
      </c>
      <c r="AG475" s="131"/>
      <c r="AH475" s="131">
        <v>0</v>
      </c>
      <c r="AI475" s="131">
        <v>27</v>
      </c>
      <c r="AJ475" s="131"/>
    </row>
    <row r="476" spans="27:36">
      <c r="AA476" s="131">
        <v>3386</v>
      </c>
      <c r="AB476" s="131" t="s">
        <v>1558</v>
      </c>
      <c r="AC476" s="131" t="s">
        <v>927</v>
      </c>
      <c r="AD476" s="131" t="s">
        <v>927</v>
      </c>
      <c r="AE476" s="131" t="s">
        <v>945</v>
      </c>
      <c r="AF476" s="131">
        <v>52</v>
      </c>
      <c r="AG476" s="131" t="s">
        <v>940</v>
      </c>
      <c r="AH476" s="131">
        <v>20</v>
      </c>
      <c r="AI476" s="131">
        <v>22</v>
      </c>
      <c r="AJ476" s="131"/>
    </row>
    <row r="477" spans="27:36">
      <c r="AA477" s="131">
        <v>3387</v>
      </c>
      <c r="AB477" s="131" t="s">
        <v>1559</v>
      </c>
      <c r="AC477" s="131" t="s">
        <v>927</v>
      </c>
      <c r="AD477" s="131" t="s">
        <v>927</v>
      </c>
      <c r="AE477" s="131" t="s">
        <v>957</v>
      </c>
      <c r="AF477" s="131">
        <v>0</v>
      </c>
      <c r="AG477" s="131" t="s">
        <v>940</v>
      </c>
      <c r="AH477" s="131">
        <v>20</v>
      </c>
      <c r="AI477" s="131">
        <v>27</v>
      </c>
      <c r="AJ477" s="131"/>
    </row>
    <row r="478" spans="27:36">
      <c r="AA478" s="131">
        <v>3390</v>
      </c>
      <c r="AB478" s="131" t="s">
        <v>1560</v>
      </c>
      <c r="AC478" s="131" t="s">
        <v>927</v>
      </c>
      <c r="AD478" s="131" t="s">
        <v>927</v>
      </c>
      <c r="AE478" s="131" t="s">
        <v>916</v>
      </c>
      <c r="AF478" s="131">
        <v>0</v>
      </c>
      <c r="AG478" s="131"/>
      <c r="AH478" s="131">
        <v>20</v>
      </c>
      <c r="AI478" s="131">
        <v>28</v>
      </c>
      <c r="AJ478" s="131"/>
    </row>
    <row r="479" spans="27:36">
      <c r="AA479" s="131">
        <v>3391</v>
      </c>
      <c r="AB479" s="131" t="s">
        <v>1561</v>
      </c>
      <c r="AC479" s="131" t="s">
        <v>927</v>
      </c>
      <c r="AD479" s="131" t="s">
        <v>927</v>
      </c>
      <c r="AE479" s="131" t="s">
        <v>916</v>
      </c>
      <c r="AF479" s="131">
        <v>0</v>
      </c>
      <c r="AG479" s="131"/>
      <c r="AH479" s="131">
        <v>20</v>
      </c>
      <c r="AI479" s="131">
        <v>28</v>
      </c>
      <c r="AJ479" s="131"/>
    </row>
    <row r="480" spans="27:36">
      <c r="AA480" s="131">
        <v>3392</v>
      </c>
      <c r="AB480" s="131" t="s">
        <v>1562</v>
      </c>
      <c r="AC480" s="131" t="s">
        <v>927</v>
      </c>
      <c r="AD480" s="131" t="s">
        <v>927</v>
      </c>
      <c r="AE480" s="131" t="s">
        <v>916</v>
      </c>
      <c r="AF480" s="131">
        <v>0</v>
      </c>
      <c r="AG480" s="131"/>
      <c r="AH480" s="131">
        <v>20</v>
      </c>
      <c r="AI480" s="131">
        <v>28</v>
      </c>
      <c r="AJ480" s="131"/>
    </row>
    <row r="481" spans="27:36">
      <c r="AA481" s="131">
        <v>3393</v>
      </c>
      <c r="AB481" s="131" t="s">
        <v>1563</v>
      </c>
      <c r="AC481" s="131" t="s">
        <v>927</v>
      </c>
      <c r="AD481" s="131" t="s">
        <v>927</v>
      </c>
      <c r="AE481" s="131" t="s">
        <v>916</v>
      </c>
      <c r="AF481" s="131">
        <v>0</v>
      </c>
      <c r="AG481" s="131"/>
      <c r="AH481" s="131">
        <v>20</v>
      </c>
      <c r="AI481" s="131">
        <v>28</v>
      </c>
      <c r="AJ481" s="131"/>
    </row>
    <row r="482" spans="27:36">
      <c r="AA482" s="131">
        <v>3395</v>
      </c>
      <c r="AB482" s="131" t="s">
        <v>1564</v>
      </c>
      <c r="AC482" s="131" t="s">
        <v>927</v>
      </c>
      <c r="AD482" s="131" t="s">
        <v>927</v>
      </c>
      <c r="AE482" s="131" t="s">
        <v>945</v>
      </c>
      <c r="AF482" s="131">
        <v>52</v>
      </c>
      <c r="AG482" s="131" t="s">
        <v>940</v>
      </c>
      <c r="AH482" s="131">
        <v>20</v>
      </c>
      <c r="AI482" s="131">
        <v>24</v>
      </c>
      <c r="AJ482" s="131"/>
    </row>
    <row r="483" spans="27:36">
      <c r="AA483" s="131">
        <v>3396</v>
      </c>
      <c r="AB483" s="131" t="s">
        <v>1565</v>
      </c>
      <c r="AC483" s="131" t="s">
        <v>927</v>
      </c>
      <c r="AD483" s="131" t="s">
        <v>927</v>
      </c>
      <c r="AE483" s="131" t="s">
        <v>957</v>
      </c>
      <c r="AF483" s="131">
        <v>0</v>
      </c>
      <c r="AG483" s="131" t="s">
        <v>940</v>
      </c>
      <c r="AH483" s="131">
        <v>20</v>
      </c>
      <c r="AI483" s="131">
        <v>27</v>
      </c>
      <c r="AJ483" s="131"/>
    </row>
    <row r="484" spans="27:36">
      <c r="AA484" s="131">
        <v>3397</v>
      </c>
      <c r="AB484" s="131" t="s">
        <v>1566</v>
      </c>
      <c r="AC484" s="131" t="s">
        <v>927</v>
      </c>
      <c r="AD484" s="131" t="s">
        <v>927</v>
      </c>
      <c r="AE484" s="131" t="s">
        <v>957</v>
      </c>
      <c r="AF484" s="131">
        <v>0</v>
      </c>
      <c r="AG484" s="131" t="s">
        <v>940</v>
      </c>
      <c r="AH484" s="131">
        <v>20</v>
      </c>
      <c r="AI484" s="131">
        <v>27</v>
      </c>
      <c r="AJ484" s="131"/>
    </row>
    <row r="485" spans="27:36">
      <c r="AA485" s="131">
        <v>3400</v>
      </c>
      <c r="AB485" s="131" t="s">
        <v>1567</v>
      </c>
      <c r="AC485" s="131" t="s">
        <v>1568</v>
      </c>
      <c r="AD485" s="131" t="s">
        <v>1569</v>
      </c>
      <c r="AE485" s="131" t="s">
        <v>957</v>
      </c>
      <c r="AF485" s="131">
        <v>0</v>
      </c>
      <c r="AG485" s="131"/>
      <c r="AH485" s="131">
        <v>0</v>
      </c>
      <c r="AI485" s="131">
        <v>27</v>
      </c>
      <c r="AJ485" s="131"/>
    </row>
    <row r="486" spans="27:36">
      <c r="AA486" s="131">
        <v>3410</v>
      </c>
      <c r="AB486" s="131" t="s">
        <v>1570</v>
      </c>
      <c r="AC486" s="131" t="s">
        <v>927</v>
      </c>
      <c r="AD486" s="131" t="s">
        <v>927</v>
      </c>
      <c r="AE486" s="131" t="s">
        <v>945</v>
      </c>
      <c r="AF486" s="131">
        <v>52</v>
      </c>
      <c r="AG486" s="131" t="s">
        <v>940</v>
      </c>
      <c r="AH486" s="131">
        <v>0</v>
      </c>
      <c r="AI486" s="131">
        <v>24</v>
      </c>
      <c r="AJ486" s="131"/>
    </row>
    <row r="487" spans="27:36">
      <c r="AA487" s="131">
        <v>3420</v>
      </c>
      <c r="AB487" s="131" t="s">
        <v>1571</v>
      </c>
      <c r="AC487" s="131" t="s">
        <v>927</v>
      </c>
      <c r="AD487" s="131" t="s">
        <v>927</v>
      </c>
      <c r="AE487" s="131" t="s">
        <v>945</v>
      </c>
      <c r="AF487" s="131">
        <v>52</v>
      </c>
      <c r="AG487" s="131" t="s">
        <v>940</v>
      </c>
      <c r="AH487" s="131">
        <v>0</v>
      </c>
      <c r="AI487" s="131">
        <v>24</v>
      </c>
      <c r="AJ487" s="131"/>
    </row>
    <row r="488" spans="27:36">
      <c r="AA488" s="131">
        <v>3430</v>
      </c>
      <c r="AB488" s="131" t="s">
        <v>1570</v>
      </c>
      <c r="AC488" s="131" t="s">
        <v>927</v>
      </c>
      <c r="AD488" s="131" t="s">
        <v>927</v>
      </c>
      <c r="AE488" s="131" t="s">
        <v>957</v>
      </c>
      <c r="AF488" s="131">
        <v>0</v>
      </c>
      <c r="AG488" s="131"/>
      <c r="AH488" s="131">
        <v>20</v>
      </c>
      <c r="AI488" s="131">
        <v>27</v>
      </c>
      <c r="AJ488" s="131"/>
    </row>
    <row r="489" spans="27:36">
      <c r="AA489" s="131">
        <v>3440</v>
      </c>
      <c r="AB489" s="131" t="s">
        <v>1572</v>
      </c>
      <c r="AC489" s="131" t="s">
        <v>927</v>
      </c>
      <c r="AD489" s="131" t="s">
        <v>927</v>
      </c>
      <c r="AE489" s="131" t="s">
        <v>957</v>
      </c>
      <c r="AF489" s="131">
        <v>0</v>
      </c>
      <c r="AG489" s="131" t="s">
        <v>940</v>
      </c>
      <c r="AH489" s="131">
        <v>20</v>
      </c>
      <c r="AI489" s="131">
        <v>27</v>
      </c>
      <c r="AJ489" s="131"/>
    </row>
    <row r="490" spans="27:36">
      <c r="AA490" s="131">
        <v>3455</v>
      </c>
      <c r="AB490" s="131" t="s">
        <v>1573</v>
      </c>
      <c r="AC490" s="131" t="s">
        <v>927</v>
      </c>
      <c r="AD490" s="131" t="s">
        <v>927</v>
      </c>
      <c r="AE490" s="131" t="s">
        <v>916</v>
      </c>
      <c r="AF490" s="131">
        <v>75</v>
      </c>
      <c r="AG490" s="131" t="s">
        <v>940</v>
      </c>
      <c r="AH490" s="131">
        <v>20</v>
      </c>
      <c r="AI490" s="131">
        <v>4</v>
      </c>
      <c r="AJ490" s="131"/>
    </row>
    <row r="491" spans="27:36">
      <c r="AA491" s="131">
        <v>3460</v>
      </c>
      <c r="AB491" s="131" t="s">
        <v>1574</v>
      </c>
      <c r="AC491" s="131" t="s">
        <v>927</v>
      </c>
      <c r="AD491" s="131" t="s">
        <v>927</v>
      </c>
      <c r="AE491" s="131" t="s">
        <v>945</v>
      </c>
      <c r="AF491" s="131">
        <v>52</v>
      </c>
      <c r="AG491" s="131" t="s">
        <v>940</v>
      </c>
      <c r="AH491" s="131">
        <v>20</v>
      </c>
      <c r="AI491" s="131">
        <v>24</v>
      </c>
      <c r="AJ491" s="131"/>
    </row>
    <row r="492" spans="27:36">
      <c r="AA492" s="131">
        <v>3461</v>
      </c>
      <c r="AB492" s="131" t="s">
        <v>1575</v>
      </c>
      <c r="AC492" s="131" t="s">
        <v>927</v>
      </c>
      <c r="AD492" s="131" t="s">
        <v>927</v>
      </c>
      <c r="AE492" s="131" t="s">
        <v>957</v>
      </c>
      <c r="AF492" s="131">
        <v>0</v>
      </c>
      <c r="AG492" s="131" t="s">
        <v>940</v>
      </c>
      <c r="AH492" s="131">
        <v>20</v>
      </c>
      <c r="AI492" s="131">
        <v>27</v>
      </c>
      <c r="AJ492" s="131"/>
    </row>
    <row r="493" spans="27:36">
      <c r="AA493" s="131">
        <v>3500</v>
      </c>
      <c r="AB493" s="131" t="s">
        <v>1576</v>
      </c>
      <c r="AC493" s="131" t="s">
        <v>1577</v>
      </c>
      <c r="AD493" s="131" t="s">
        <v>1578</v>
      </c>
      <c r="AE493" s="131" t="s">
        <v>916</v>
      </c>
      <c r="AF493" s="131">
        <v>75</v>
      </c>
      <c r="AG493" s="131"/>
      <c r="AH493" s="131">
        <v>20</v>
      </c>
      <c r="AI493" s="131">
        <v>4</v>
      </c>
      <c r="AJ493" s="131"/>
    </row>
    <row r="494" spans="27:36">
      <c r="AA494" s="131">
        <v>3501</v>
      </c>
      <c r="AB494" s="131" t="s">
        <v>1579</v>
      </c>
      <c r="AC494" s="131" t="s">
        <v>927</v>
      </c>
      <c r="AD494" s="131" t="s">
        <v>927</v>
      </c>
      <c r="AE494" s="131" t="s">
        <v>916</v>
      </c>
      <c r="AF494" s="131">
        <v>75</v>
      </c>
      <c r="AG494" s="131"/>
      <c r="AH494" s="131">
        <v>20</v>
      </c>
      <c r="AI494" s="131">
        <v>4</v>
      </c>
      <c r="AJ494" s="131"/>
    </row>
    <row r="495" spans="27:36">
      <c r="AA495" s="131">
        <v>3502</v>
      </c>
      <c r="AB495" s="131" t="s">
        <v>1580</v>
      </c>
      <c r="AC495" s="131" t="s">
        <v>927</v>
      </c>
      <c r="AD495" s="131" t="s">
        <v>927</v>
      </c>
      <c r="AE495" s="131" t="s">
        <v>945</v>
      </c>
      <c r="AF495" s="131">
        <v>75</v>
      </c>
      <c r="AG495" s="131" t="s">
        <v>940</v>
      </c>
      <c r="AH495" s="131">
        <v>0</v>
      </c>
      <c r="AI495" s="131">
        <v>4</v>
      </c>
      <c r="AJ495" s="131"/>
    </row>
    <row r="496" spans="27:36">
      <c r="AA496" s="131">
        <v>3503</v>
      </c>
      <c r="AB496" s="131" t="s">
        <v>1581</v>
      </c>
      <c r="AC496" s="131" t="s">
        <v>927</v>
      </c>
      <c r="AD496" s="131" t="s">
        <v>927</v>
      </c>
      <c r="AE496" s="131" t="s">
        <v>916</v>
      </c>
      <c r="AF496" s="131">
        <v>52</v>
      </c>
      <c r="AG496" s="131"/>
      <c r="AH496" s="131">
        <v>20</v>
      </c>
      <c r="AI496" s="131">
        <v>4</v>
      </c>
      <c r="AJ496" s="131"/>
    </row>
    <row r="497" spans="27:36">
      <c r="AA497" s="131">
        <v>3530</v>
      </c>
      <c r="AB497" s="131" t="s">
        <v>1582</v>
      </c>
      <c r="AC497" s="131" t="s">
        <v>1583</v>
      </c>
      <c r="AD497" s="131" t="s">
        <v>1584</v>
      </c>
      <c r="AE497" s="131" t="s">
        <v>916</v>
      </c>
      <c r="AF497" s="131">
        <v>75</v>
      </c>
      <c r="AG497" s="131"/>
      <c r="AH497" s="131">
        <v>20</v>
      </c>
      <c r="AI497" s="131">
        <v>4</v>
      </c>
      <c r="AJ497" s="131"/>
    </row>
    <row r="498" spans="27:36">
      <c r="AA498" s="131">
        <v>3531</v>
      </c>
      <c r="AB498" s="131" t="s">
        <v>1585</v>
      </c>
      <c r="AC498" s="131" t="s">
        <v>927</v>
      </c>
      <c r="AD498" s="131" t="s">
        <v>927</v>
      </c>
      <c r="AE498" s="131" t="s">
        <v>916</v>
      </c>
      <c r="AF498" s="131">
        <v>75</v>
      </c>
      <c r="AG498" s="131"/>
      <c r="AH498" s="131">
        <v>20</v>
      </c>
      <c r="AI498" s="131">
        <v>4</v>
      </c>
      <c r="AJ498" s="131"/>
    </row>
    <row r="499" spans="27:36">
      <c r="AA499" s="131">
        <v>3532</v>
      </c>
      <c r="AB499" s="131" t="s">
        <v>1586</v>
      </c>
      <c r="AC499" s="131" t="s">
        <v>927</v>
      </c>
      <c r="AD499" s="131" t="s">
        <v>927</v>
      </c>
      <c r="AE499" s="131" t="s">
        <v>916</v>
      </c>
      <c r="AF499" s="131">
        <v>52</v>
      </c>
      <c r="AG499" s="131"/>
      <c r="AH499" s="131">
        <v>20</v>
      </c>
      <c r="AI499" s="131">
        <v>4</v>
      </c>
      <c r="AJ499" s="131"/>
    </row>
    <row r="500" spans="27:36">
      <c r="AA500" s="131">
        <v>3533</v>
      </c>
      <c r="AB500" s="131" t="s">
        <v>1587</v>
      </c>
      <c r="AC500" s="131" t="s">
        <v>927</v>
      </c>
      <c r="AD500" s="131" t="s">
        <v>927</v>
      </c>
      <c r="AE500" s="131" t="s">
        <v>916</v>
      </c>
      <c r="AF500" s="131">
        <v>52</v>
      </c>
      <c r="AG500" s="131"/>
      <c r="AH500" s="131">
        <v>20</v>
      </c>
      <c r="AI500" s="131">
        <v>4</v>
      </c>
      <c r="AJ500" s="131"/>
    </row>
    <row r="501" spans="27:36">
      <c r="AA501" s="131">
        <v>3534</v>
      </c>
      <c r="AB501" s="131" t="s">
        <v>1588</v>
      </c>
      <c r="AC501" s="131" t="s">
        <v>927</v>
      </c>
      <c r="AD501" s="131" t="s">
        <v>927</v>
      </c>
      <c r="AE501" s="131" t="s">
        <v>916</v>
      </c>
      <c r="AF501" s="131">
        <v>52</v>
      </c>
      <c r="AG501" s="131"/>
      <c r="AH501" s="131">
        <v>20</v>
      </c>
      <c r="AI501" s="131">
        <v>4</v>
      </c>
      <c r="AJ501" s="131"/>
    </row>
    <row r="502" spans="27:36">
      <c r="AA502" s="131">
        <v>3535</v>
      </c>
      <c r="AB502" s="131" t="s">
        <v>1589</v>
      </c>
      <c r="AC502" s="131" t="s">
        <v>1590</v>
      </c>
      <c r="AD502" s="131" t="s">
        <v>1591</v>
      </c>
      <c r="AE502" s="131" t="s">
        <v>916</v>
      </c>
      <c r="AF502" s="131">
        <v>75</v>
      </c>
      <c r="AG502" s="131"/>
      <c r="AH502" s="131">
        <v>20</v>
      </c>
      <c r="AI502" s="131">
        <v>4</v>
      </c>
      <c r="AJ502" s="131"/>
    </row>
    <row r="503" spans="27:36">
      <c r="AA503" s="131">
        <v>3536</v>
      </c>
      <c r="AB503" s="131" t="s">
        <v>1592</v>
      </c>
      <c r="AC503" s="131" t="s">
        <v>927</v>
      </c>
      <c r="AD503" s="131" t="s">
        <v>927</v>
      </c>
      <c r="AE503" s="131" t="s">
        <v>916</v>
      </c>
      <c r="AF503" s="131">
        <v>75</v>
      </c>
      <c r="AG503" s="131"/>
      <c r="AH503" s="131">
        <v>20</v>
      </c>
      <c r="AI503" s="131">
        <v>4</v>
      </c>
      <c r="AJ503" s="131"/>
    </row>
    <row r="504" spans="27:36">
      <c r="AA504" s="131">
        <v>3537</v>
      </c>
      <c r="AB504" s="131" t="s">
        <v>1593</v>
      </c>
      <c r="AC504" s="131" t="s">
        <v>1594</v>
      </c>
      <c r="AD504" s="131" t="s">
        <v>1595</v>
      </c>
      <c r="AE504" s="131" t="s">
        <v>916</v>
      </c>
      <c r="AF504" s="131">
        <v>0</v>
      </c>
      <c r="AG504" s="131"/>
      <c r="AH504" s="131">
        <v>20</v>
      </c>
      <c r="AI504" s="131">
        <v>27</v>
      </c>
      <c r="AJ504" s="131"/>
    </row>
    <row r="505" spans="27:36">
      <c r="AA505" s="131">
        <v>3540</v>
      </c>
      <c r="AB505" s="131" t="s">
        <v>1596</v>
      </c>
      <c r="AC505" s="131" t="s">
        <v>1597</v>
      </c>
      <c r="AD505" s="131" t="s">
        <v>1598</v>
      </c>
      <c r="AE505" s="131" t="s">
        <v>916</v>
      </c>
      <c r="AF505" s="131">
        <v>75</v>
      </c>
      <c r="AG505" s="131"/>
      <c r="AH505" s="131">
        <v>20</v>
      </c>
      <c r="AI505" s="131">
        <v>4</v>
      </c>
      <c r="AJ505" s="131"/>
    </row>
    <row r="506" spans="27:36">
      <c r="AA506" s="131">
        <v>3541</v>
      </c>
      <c r="AB506" s="131" t="s">
        <v>1599</v>
      </c>
      <c r="AC506" s="131" t="s">
        <v>927</v>
      </c>
      <c r="AD506" s="131" t="s">
        <v>927</v>
      </c>
      <c r="AE506" s="131" t="s">
        <v>916</v>
      </c>
      <c r="AF506" s="131">
        <v>75</v>
      </c>
      <c r="AG506" s="131"/>
      <c r="AH506" s="131">
        <v>20</v>
      </c>
      <c r="AI506" s="131">
        <v>4</v>
      </c>
      <c r="AJ506" s="131"/>
    </row>
    <row r="507" spans="27:36">
      <c r="AA507" s="131">
        <v>3542</v>
      </c>
      <c r="AB507" s="131" t="s">
        <v>1600</v>
      </c>
      <c r="AC507" s="131" t="s">
        <v>927</v>
      </c>
      <c r="AD507" s="131" t="s">
        <v>927</v>
      </c>
      <c r="AE507" s="131" t="s">
        <v>916</v>
      </c>
      <c r="AF507" s="131">
        <v>52</v>
      </c>
      <c r="AG507" s="131"/>
      <c r="AH507" s="131">
        <v>20</v>
      </c>
      <c r="AI507" s="131">
        <v>4</v>
      </c>
      <c r="AJ507" s="131"/>
    </row>
    <row r="508" spans="27:36">
      <c r="AA508" s="131">
        <v>3543</v>
      </c>
      <c r="AB508" s="131" t="s">
        <v>1601</v>
      </c>
      <c r="AC508" s="131" t="s">
        <v>927</v>
      </c>
      <c r="AD508" s="131" t="s">
        <v>927</v>
      </c>
      <c r="AE508" s="131" t="s">
        <v>916</v>
      </c>
      <c r="AF508" s="131">
        <v>0</v>
      </c>
      <c r="AG508" s="131"/>
      <c r="AH508" s="131">
        <v>20</v>
      </c>
      <c r="AI508" s="131">
        <v>27</v>
      </c>
      <c r="AJ508" s="131"/>
    </row>
    <row r="509" spans="27:36">
      <c r="AA509" s="131">
        <v>3544</v>
      </c>
      <c r="AB509" s="131" t="s">
        <v>1602</v>
      </c>
      <c r="AC509" s="131" t="s">
        <v>927</v>
      </c>
      <c r="AD509" s="131" t="s">
        <v>927</v>
      </c>
      <c r="AE509" s="131" t="s">
        <v>916</v>
      </c>
      <c r="AF509" s="131">
        <v>0</v>
      </c>
      <c r="AG509" s="131" t="s">
        <v>940</v>
      </c>
      <c r="AH509" s="131">
        <v>0</v>
      </c>
      <c r="AI509" s="131">
        <v>27</v>
      </c>
      <c r="AJ509" s="131"/>
    </row>
    <row r="510" spans="27:36">
      <c r="AA510" s="131">
        <v>3545</v>
      </c>
      <c r="AB510" s="131" t="s">
        <v>1603</v>
      </c>
      <c r="AC510" s="131" t="s">
        <v>1604</v>
      </c>
      <c r="AD510" s="131" t="s">
        <v>1605</v>
      </c>
      <c r="AE510" s="131" t="s">
        <v>916</v>
      </c>
      <c r="AF510" s="131">
        <v>75</v>
      </c>
      <c r="AG510" s="131"/>
      <c r="AH510" s="131">
        <v>20</v>
      </c>
      <c r="AI510" s="131">
        <v>4</v>
      </c>
      <c r="AJ510" s="131"/>
    </row>
    <row r="511" spans="27:36">
      <c r="AA511" s="131">
        <v>3546</v>
      </c>
      <c r="AB511" s="131" t="s">
        <v>1606</v>
      </c>
      <c r="AC511" s="131" t="s">
        <v>927</v>
      </c>
      <c r="AD511" s="131" t="s">
        <v>927</v>
      </c>
      <c r="AE511" s="131" t="s">
        <v>916</v>
      </c>
      <c r="AF511" s="131">
        <v>75</v>
      </c>
      <c r="AG511" s="131"/>
      <c r="AH511" s="131">
        <v>20</v>
      </c>
      <c r="AI511" s="131">
        <v>4</v>
      </c>
      <c r="AJ511" s="131"/>
    </row>
    <row r="512" spans="27:36">
      <c r="AA512" s="131">
        <v>3547</v>
      </c>
      <c r="AB512" s="131" t="s">
        <v>1607</v>
      </c>
      <c r="AC512" s="131" t="s">
        <v>1608</v>
      </c>
      <c r="AD512" s="131" t="s">
        <v>1609</v>
      </c>
      <c r="AE512" s="131" t="s">
        <v>916</v>
      </c>
      <c r="AF512" s="131">
        <v>0</v>
      </c>
      <c r="AG512" s="131"/>
      <c r="AH512" s="131">
        <v>20</v>
      </c>
      <c r="AI512" s="131">
        <v>27</v>
      </c>
      <c r="AJ512" s="131"/>
    </row>
    <row r="513" spans="27:36">
      <c r="AA513" s="131">
        <v>3550</v>
      </c>
      <c r="AB513" s="131" t="s">
        <v>1610</v>
      </c>
      <c r="AC513" s="131" t="s">
        <v>1611</v>
      </c>
      <c r="AD513" s="131" t="s">
        <v>1612</v>
      </c>
      <c r="AE513" s="131" t="s">
        <v>916</v>
      </c>
      <c r="AF513" s="131">
        <v>75</v>
      </c>
      <c r="AG513" s="131"/>
      <c r="AH513" s="131">
        <v>20</v>
      </c>
      <c r="AI513" s="131">
        <v>4</v>
      </c>
      <c r="AJ513" s="131"/>
    </row>
    <row r="514" spans="27:36">
      <c r="AA514" s="131">
        <v>3551</v>
      </c>
      <c r="AB514" s="131" t="s">
        <v>1610</v>
      </c>
      <c r="AC514" s="131" t="s">
        <v>927</v>
      </c>
      <c r="AD514" s="131" t="s">
        <v>927</v>
      </c>
      <c r="AE514" s="131" t="s">
        <v>916</v>
      </c>
      <c r="AF514" s="131">
        <v>75</v>
      </c>
      <c r="AG514" s="131"/>
      <c r="AH514" s="131">
        <v>20</v>
      </c>
      <c r="AI514" s="131">
        <v>4</v>
      </c>
      <c r="AJ514" s="131"/>
    </row>
    <row r="515" spans="27:36">
      <c r="AA515" s="131">
        <v>3555</v>
      </c>
      <c r="AB515" s="131" t="s">
        <v>1613</v>
      </c>
      <c r="AC515" s="131" t="s">
        <v>1614</v>
      </c>
      <c r="AD515" s="131" t="s">
        <v>1613</v>
      </c>
      <c r="AE515" s="131" t="s">
        <v>945</v>
      </c>
      <c r="AF515" s="131">
        <v>52</v>
      </c>
      <c r="AG515" s="131" t="s">
        <v>940</v>
      </c>
      <c r="AH515" s="131">
        <v>10</v>
      </c>
      <c r="AI515" s="131">
        <v>20</v>
      </c>
      <c r="AJ515" s="131"/>
    </row>
    <row r="516" spans="27:36">
      <c r="AA516" s="131">
        <v>3560</v>
      </c>
      <c r="AB516" s="131" t="s">
        <v>1615</v>
      </c>
      <c r="AC516" s="131" t="s">
        <v>927</v>
      </c>
      <c r="AD516" s="131" t="s">
        <v>927</v>
      </c>
      <c r="AE516" s="131" t="s">
        <v>945</v>
      </c>
      <c r="AF516" s="131">
        <v>52</v>
      </c>
      <c r="AG516" s="131" t="s">
        <v>940</v>
      </c>
      <c r="AH516" s="131">
        <v>10</v>
      </c>
      <c r="AI516" s="131">
        <v>4</v>
      </c>
      <c r="AJ516" s="131"/>
    </row>
    <row r="517" spans="27:36">
      <c r="AA517" s="131">
        <v>3562</v>
      </c>
      <c r="AB517" s="131" t="s">
        <v>1616</v>
      </c>
      <c r="AC517" s="131" t="s">
        <v>927</v>
      </c>
      <c r="AD517" s="131" t="s">
        <v>927</v>
      </c>
      <c r="AE517" s="131" t="s">
        <v>916</v>
      </c>
      <c r="AF517" s="131">
        <v>52</v>
      </c>
      <c r="AG517" s="131"/>
      <c r="AH517" s="131">
        <v>20</v>
      </c>
      <c r="AI517" s="131">
        <v>4</v>
      </c>
      <c r="AJ517" s="131"/>
    </row>
    <row r="518" spans="27:36">
      <c r="AA518" s="131">
        <v>3570</v>
      </c>
      <c r="AB518" s="131" t="s">
        <v>1617</v>
      </c>
      <c r="AC518" s="131" t="s">
        <v>1618</v>
      </c>
      <c r="AD518" s="131" t="s">
        <v>1617</v>
      </c>
      <c r="AE518" s="131" t="s">
        <v>916</v>
      </c>
      <c r="AF518" s="131">
        <v>75</v>
      </c>
      <c r="AG518" s="131"/>
      <c r="AH518" s="131">
        <v>20</v>
      </c>
      <c r="AI518" s="131">
        <v>4</v>
      </c>
      <c r="AJ518" s="131"/>
    </row>
    <row r="519" spans="27:36">
      <c r="AA519" s="131">
        <v>3571</v>
      </c>
      <c r="AB519" s="131" t="s">
        <v>1619</v>
      </c>
      <c r="AC519" s="131" t="s">
        <v>927</v>
      </c>
      <c r="AD519" s="131" t="s">
        <v>927</v>
      </c>
      <c r="AE519" s="131" t="s">
        <v>916</v>
      </c>
      <c r="AF519" s="131">
        <v>75</v>
      </c>
      <c r="AG519" s="131"/>
      <c r="AH519" s="131">
        <v>20</v>
      </c>
      <c r="AI519" s="131">
        <v>4</v>
      </c>
      <c r="AJ519" s="131"/>
    </row>
    <row r="520" spans="27:36">
      <c r="AA520" s="131">
        <v>3572</v>
      </c>
      <c r="AB520" s="131" t="s">
        <v>1620</v>
      </c>
      <c r="AC520" s="131" t="s">
        <v>927</v>
      </c>
      <c r="AD520" s="131" t="s">
        <v>927</v>
      </c>
      <c r="AE520" s="131" t="s">
        <v>916</v>
      </c>
      <c r="AF520" s="131">
        <v>75</v>
      </c>
      <c r="AG520" s="131"/>
      <c r="AH520" s="131">
        <v>20</v>
      </c>
      <c r="AI520" s="131">
        <v>4</v>
      </c>
      <c r="AJ520" s="131"/>
    </row>
    <row r="521" spans="27:36">
      <c r="AA521" s="131">
        <v>3573</v>
      </c>
      <c r="AB521" s="131" t="s">
        <v>1621</v>
      </c>
      <c r="AC521" s="131" t="s">
        <v>927</v>
      </c>
      <c r="AD521" s="131" t="s">
        <v>927</v>
      </c>
      <c r="AE521" s="131" t="s">
        <v>916</v>
      </c>
      <c r="AF521" s="131">
        <v>75</v>
      </c>
      <c r="AG521" s="131"/>
      <c r="AH521" s="131">
        <v>20</v>
      </c>
      <c r="AI521" s="131">
        <v>4</v>
      </c>
      <c r="AJ521" s="131"/>
    </row>
    <row r="522" spans="27:36">
      <c r="AA522" s="131">
        <v>3574</v>
      </c>
      <c r="AB522" s="131" t="s">
        <v>1622</v>
      </c>
      <c r="AC522" s="131" t="s">
        <v>927</v>
      </c>
      <c r="AD522" s="131" t="s">
        <v>927</v>
      </c>
      <c r="AE522" s="131" t="s">
        <v>916</v>
      </c>
      <c r="AF522" s="131">
        <v>75</v>
      </c>
      <c r="AG522" s="131"/>
      <c r="AH522" s="131">
        <v>20</v>
      </c>
      <c r="AI522" s="131">
        <v>4</v>
      </c>
      <c r="AJ522" s="131"/>
    </row>
    <row r="523" spans="27:36">
      <c r="AA523" s="131">
        <v>3575</v>
      </c>
      <c r="AB523" s="131" t="s">
        <v>1623</v>
      </c>
      <c r="AC523" s="131" t="s">
        <v>927</v>
      </c>
      <c r="AD523" s="131" t="s">
        <v>927</v>
      </c>
      <c r="AE523" s="131" t="s">
        <v>916</v>
      </c>
      <c r="AF523" s="131">
        <v>75</v>
      </c>
      <c r="AG523" s="131"/>
      <c r="AH523" s="131">
        <v>20</v>
      </c>
      <c r="AI523" s="131">
        <v>4</v>
      </c>
      <c r="AJ523" s="131"/>
    </row>
    <row r="524" spans="27:36">
      <c r="AA524" s="131">
        <v>3576</v>
      </c>
      <c r="AB524" s="131" t="s">
        <v>1624</v>
      </c>
      <c r="AC524" s="131" t="s">
        <v>927</v>
      </c>
      <c r="AD524" s="131" t="s">
        <v>927</v>
      </c>
      <c r="AE524" s="131" t="s">
        <v>916</v>
      </c>
      <c r="AF524" s="131">
        <v>52</v>
      </c>
      <c r="AG524" s="131"/>
      <c r="AH524" s="131">
        <v>20</v>
      </c>
      <c r="AI524" s="131">
        <v>4</v>
      </c>
      <c r="AJ524" s="131"/>
    </row>
    <row r="525" spans="27:36">
      <c r="AA525" s="131">
        <v>3577</v>
      </c>
      <c r="AB525" s="131" t="s">
        <v>1625</v>
      </c>
      <c r="AC525" s="131" t="s">
        <v>927</v>
      </c>
      <c r="AD525" s="131" t="s">
        <v>927</v>
      </c>
      <c r="AE525" s="131" t="s">
        <v>916</v>
      </c>
      <c r="AF525" s="131">
        <v>0</v>
      </c>
      <c r="AG525" s="131"/>
      <c r="AH525" s="131">
        <v>20</v>
      </c>
      <c r="AI525" s="131">
        <v>27</v>
      </c>
      <c r="AJ525" s="131"/>
    </row>
    <row r="526" spans="27:36">
      <c r="AA526" s="131">
        <v>3581</v>
      </c>
      <c r="AB526" s="131" t="s">
        <v>1626</v>
      </c>
      <c r="AC526" s="131" t="s">
        <v>927</v>
      </c>
      <c r="AD526" s="131" t="s">
        <v>927</v>
      </c>
      <c r="AE526" s="131" t="s">
        <v>916</v>
      </c>
      <c r="AF526" s="131">
        <v>75</v>
      </c>
      <c r="AG526" s="131"/>
      <c r="AH526" s="131">
        <v>20</v>
      </c>
      <c r="AI526" s="131">
        <v>4</v>
      </c>
      <c r="AJ526" s="131"/>
    </row>
    <row r="527" spans="27:36">
      <c r="AA527" s="131">
        <v>3582</v>
      </c>
      <c r="AB527" s="131" t="s">
        <v>1627</v>
      </c>
      <c r="AC527" s="131" t="s">
        <v>927</v>
      </c>
      <c r="AD527" s="131" t="s">
        <v>927</v>
      </c>
      <c r="AE527" s="131" t="s">
        <v>916</v>
      </c>
      <c r="AF527" s="131">
        <v>75</v>
      </c>
      <c r="AG527" s="131"/>
      <c r="AH527" s="131">
        <v>20</v>
      </c>
      <c r="AI527" s="131">
        <v>4</v>
      </c>
      <c r="AJ527" s="131"/>
    </row>
    <row r="528" spans="27:36">
      <c r="AA528" s="131">
        <v>3583</v>
      </c>
      <c r="AB528" s="131" t="s">
        <v>1628</v>
      </c>
      <c r="AC528" s="131" t="s">
        <v>927</v>
      </c>
      <c r="AD528" s="131" t="s">
        <v>927</v>
      </c>
      <c r="AE528" s="131" t="s">
        <v>916</v>
      </c>
      <c r="AF528" s="131">
        <v>75</v>
      </c>
      <c r="AG528" s="131"/>
      <c r="AH528" s="131">
        <v>20</v>
      </c>
      <c r="AI528" s="131">
        <v>4</v>
      </c>
      <c r="AJ528" s="131"/>
    </row>
    <row r="529" spans="27:36">
      <c r="AA529" s="131">
        <v>3584</v>
      </c>
      <c r="AB529" s="131" t="s">
        <v>1629</v>
      </c>
      <c r="AC529" s="131" t="s">
        <v>927</v>
      </c>
      <c r="AD529" s="131" t="s">
        <v>927</v>
      </c>
      <c r="AE529" s="131" t="s">
        <v>916</v>
      </c>
      <c r="AF529" s="131">
        <v>75</v>
      </c>
      <c r="AG529" s="131"/>
      <c r="AH529" s="131">
        <v>20</v>
      </c>
      <c r="AI529" s="131">
        <v>4</v>
      </c>
      <c r="AJ529" s="131"/>
    </row>
    <row r="530" spans="27:36">
      <c r="AA530" s="131">
        <v>3585</v>
      </c>
      <c r="AB530" s="131" t="s">
        <v>1630</v>
      </c>
      <c r="AC530" s="131" t="s">
        <v>927</v>
      </c>
      <c r="AD530" s="131" t="s">
        <v>927</v>
      </c>
      <c r="AE530" s="131" t="s">
        <v>916</v>
      </c>
      <c r="AF530" s="131">
        <v>75</v>
      </c>
      <c r="AG530" s="131"/>
      <c r="AH530" s="131">
        <v>20</v>
      </c>
      <c r="AI530" s="131">
        <v>4</v>
      </c>
      <c r="AJ530" s="131"/>
    </row>
    <row r="531" spans="27:36">
      <c r="AA531" s="131">
        <v>3586</v>
      </c>
      <c r="AB531" s="131" t="s">
        <v>1631</v>
      </c>
      <c r="AC531" s="131" t="s">
        <v>927</v>
      </c>
      <c r="AD531" s="131" t="s">
        <v>927</v>
      </c>
      <c r="AE531" s="131" t="s">
        <v>916</v>
      </c>
      <c r="AF531" s="131">
        <v>0</v>
      </c>
      <c r="AG531" s="131"/>
      <c r="AH531" s="131">
        <v>20</v>
      </c>
      <c r="AI531" s="131">
        <v>27</v>
      </c>
      <c r="AJ531" s="131"/>
    </row>
    <row r="532" spans="27:36">
      <c r="AA532" s="131">
        <v>3590</v>
      </c>
      <c r="AB532" s="131" t="s">
        <v>1632</v>
      </c>
      <c r="AC532" s="131" t="s">
        <v>927</v>
      </c>
      <c r="AD532" s="131" t="s">
        <v>927</v>
      </c>
      <c r="AE532" s="131" t="s">
        <v>916</v>
      </c>
      <c r="AF532" s="131">
        <v>75</v>
      </c>
      <c r="AG532" s="131"/>
      <c r="AH532" s="131">
        <v>10</v>
      </c>
      <c r="AI532" s="131">
        <v>4</v>
      </c>
      <c r="AJ532" s="131"/>
    </row>
    <row r="533" spans="27:36">
      <c r="AA533" s="131">
        <v>3591</v>
      </c>
      <c r="AB533" s="131" t="s">
        <v>1633</v>
      </c>
      <c r="AC533" s="131" t="s">
        <v>927</v>
      </c>
      <c r="AD533" s="131" t="s">
        <v>927</v>
      </c>
      <c r="AE533" s="131" t="s">
        <v>916</v>
      </c>
      <c r="AF533" s="131">
        <v>0</v>
      </c>
      <c r="AG533" s="131"/>
      <c r="AH533" s="131">
        <v>20</v>
      </c>
      <c r="AI533" s="131">
        <v>27</v>
      </c>
      <c r="AJ533" s="131"/>
    </row>
    <row r="534" spans="27:36">
      <c r="AA534" s="131">
        <v>3592</v>
      </c>
      <c r="AB534" s="131" t="s">
        <v>1634</v>
      </c>
      <c r="AC534" s="131" t="s">
        <v>927</v>
      </c>
      <c r="AD534" s="131" t="s">
        <v>927</v>
      </c>
      <c r="AE534" s="131" t="s">
        <v>916</v>
      </c>
      <c r="AF534" s="131">
        <v>52</v>
      </c>
      <c r="AG534" s="131"/>
      <c r="AH534" s="131">
        <v>20</v>
      </c>
      <c r="AI534" s="131">
        <v>4</v>
      </c>
      <c r="AJ534" s="131"/>
    </row>
    <row r="535" spans="27:36">
      <c r="AA535" s="131">
        <v>3593</v>
      </c>
      <c r="AB535" s="131" t="s">
        <v>1635</v>
      </c>
      <c r="AC535" s="131" t="s">
        <v>927</v>
      </c>
      <c r="AD535" s="131" t="s">
        <v>927</v>
      </c>
      <c r="AE535" s="131" t="s">
        <v>916</v>
      </c>
      <c r="AF535" s="131">
        <v>52</v>
      </c>
      <c r="AG535" s="131"/>
      <c r="AH535" s="131">
        <v>20</v>
      </c>
      <c r="AI535" s="131">
        <v>4</v>
      </c>
      <c r="AJ535" s="131"/>
    </row>
    <row r="536" spans="27:36">
      <c r="AA536" s="131">
        <v>3594</v>
      </c>
      <c r="AB536" s="131" t="s">
        <v>1636</v>
      </c>
      <c r="AC536" s="131" t="s">
        <v>927</v>
      </c>
      <c r="AD536" s="131" t="s">
        <v>927</v>
      </c>
      <c r="AE536" s="131" t="s">
        <v>916</v>
      </c>
      <c r="AF536" s="131">
        <v>52</v>
      </c>
      <c r="AG536" s="131"/>
      <c r="AH536" s="131">
        <v>20</v>
      </c>
      <c r="AI536" s="131">
        <v>4</v>
      </c>
      <c r="AJ536" s="131"/>
    </row>
    <row r="537" spans="27:36">
      <c r="AA537" s="131">
        <v>3595</v>
      </c>
      <c r="AB537" s="131" t="s">
        <v>1637</v>
      </c>
      <c r="AC537" s="131" t="s">
        <v>927</v>
      </c>
      <c r="AD537" s="131" t="s">
        <v>927</v>
      </c>
      <c r="AE537" s="131" t="s">
        <v>945</v>
      </c>
      <c r="AF537" s="131">
        <v>52</v>
      </c>
      <c r="AG537" s="131"/>
      <c r="AH537" s="131">
        <v>20</v>
      </c>
      <c r="AI537" s="131">
        <v>16</v>
      </c>
      <c r="AJ537" s="131"/>
    </row>
    <row r="538" spans="27:36">
      <c r="AA538" s="131">
        <v>3630</v>
      </c>
      <c r="AB538" s="131" t="s">
        <v>1638</v>
      </c>
      <c r="AC538" s="131" t="s">
        <v>927</v>
      </c>
      <c r="AD538" s="131" t="s">
        <v>927</v>
      </c>
      <c r="AE538" s="131" t="s">
        <v>957</v>
      </c>
      <c r="AF538" s="131">
        <v>0</v>
      </c>
      <c r="AG538" s="131"/>
      <c r="AH538" s="131">
        <v>20</v>
      </c>
      <c r="AI538" s="131">
        <v>27</v>
      </c>
      <c r="AJ538" s="131"/>
    </row>
    <row r="539" spans="27:36">
      <c r="AA539" s="131">
        <v>3632</v>
      </c>
      <c r="AB539" s="131" t="s">
        <v>1639</v>
      </c>
      <c r="AC539" s="131" t="s">
        <v>927</v>
      </c>
      <c r="AD539" s="131" t="s">
        <v>927</v>
      </c>
      <c r="AE539" s="131" t="s">
        <v>945</v>
      </c>
      <c r="AF539" s="131">
        <v>52</v>
      </c>
      <c r="AG539" s="131"/>
      <c r="AH539" s="131">
        <v>20</v>
      </c>
      <c r="AI539" s="131">
        <v>4</v>
      </c>
      <c r="AJ539" s="131"/>
    </row>
    <row r="540" spans="27:36">
      <c r="AA540" s="131">
        <v>3640</v>
      </c>
      <c r="AB540" s="131" t="s">
        <v>1640</v>
      </c>
      <c r="AC540" s="131" t="s">
        <v>927</v>
      </c>
      <c r="AD540" s="131" t="s">
        <v>927</v>
      </c>
      <c r="AE540" s="131" t="s">
        <v>916</v>
      </c>
      <c r="AF540" s="131">
        <v>0</v>
      </c>
      <c r="AG540" s="131"/>
      <c r="AH540" s="131">
        <v>30</v>
      </c>
      <c r="AI540" s="131">
        <v>28</v>
      </c>
      <c r="AJ540" s="131"/>
    </row>
    <row r="541" spans="27:36">
      <c r="AA541" s="131">
        <v>3642</v>
      </c>
      <c r="AB541" s="131" t="s">
        <v>1641</v>
      </c>
      <c r="AC541" s="131" t="s">
        <v>927</v>
      </c>
      <c r="AD541" s="131" t="s">
        <v>927</v>
      </c>
      <c r="AE541" s="131" t="s">
        <v>916</v>
      </c>
      <c r="AF541" s="131">
        <v>0</v>
      </c>
      <c r="AG541" s="131"/>
      <c r="AH541" s="131">
        <v>20</v>
      </c>
      <c r="AI541" s="131">
        <v>28</v>
      </c>
      <c r="AJ541" s="131"/>
    </row>
    <row r="542" spans="27:36">
      <c r="AA542" s="131">
        <v>3750</v>
      </c>
      <c r="AB542" s="131" t="s">
        <v>1642</v>
      </c>
      <c r="AC542" s="131" t="s">
        <v>927</v>
      </c>
      <c r="AD542" s="131" t="s">
        <v>927</v>
      </c>
      <c r="AE542" s="131" t="s">
        <v>945</v>
      </c>
      <c r="AF542" s="131">
        <v>52</v>
      </c>
      <c r="AG542" s="131"/>
      <c r="AH542" s="131">
        <v>30</v>
      </c>
      <c r="AI542" s="131">
        <v>24</v>
      </c>
      <c r="AJ542" s="131"/>
    </row>
    <row r="543" spans="27:36">
      <c r="AA543" s="131">
        <v>3751</v>
      </c>
      <c r="AB543" s="131" t="s">
        <v>1643</v>
      </c>
      <c r="AC543" s="131" t="s">
        <v>927</v>
      </c>
      <c r="AD543" s="131" t="s">
        <v>927</v>
      </c>
      <c r="AE543" s="131" t="s">
        <v>916</v>
      </c>
      <c r="AF543" s="131">
        <v>52</v>
      </c>
      <c r="AG543" s="131"/>
      <c r="AH543" s="131">
        <v>20</v>
      </c>
      <c r="AI543" s="131">
        <v>28</v>
      </c>
      <c r="AJ543" s="131"/>
    </row>
    <row r="544" spans="27:36">
      <c r="AA544" s="131">
        <v>3800</v>
      </c>
      <c r="AB544" s="131" t="s">
        <v>1644</v>
      </c>
      <c r="AC544" s="131" t="s">
        <v>1645</v>
      </c>
      <c r="AD544" s="131" t="s">
        <v>1646</v>
      </c>
      <c r="AE544" s="131" t="s">
        <v>945</v>
      </c>
      <c r="AF544" s="131">
        <v>75</v>
      </c>
      <c r="AG544" s="131" t="s">
        <v>940</v>
      </c>
      <c r="AH544" s="131">
        <v>30</v>
      </c>
      <c r="AI544" s="131">
        <v>20</v>
      </c>
      <c r="AJ544" s="131"/>
    </row>
    <row r="545" spans="27:36">
      <c r="AA545" s="131">
        <v>3802</v>
      </c>
      <c r="AB545" s="131" t="s">
        <v>1647</v>
      </c>
      <c r="AC545" s="131" t="s">
        <v>927</v>
      </c>
      <c r="AD545" s="131" t="s">
        <v>927</v>
      </c>
      <c r="AE545" s="131" t="s">
        <v>916</v>
      </c>
      <c r="AF545" s="131">
        <v>75</v>
      </c>
      <c r="AG545" s="131" t="s">
        <v>940</v>
      </c>
      <c r="AH545" s="131">
        <v>20</v>
      </c>
      <c r="AI545" s="131">
        <v>9</v>
      </c>
      <c r="AJ545" s="131"/>
    </row>
    <row r="546" spans="27:36">
      <c r="AA546" s="131">
        <v>3803</v>
      </c>
      <c r="AB546" s="131" t="s">
        <v>1648</v>
      </c>
      <c r="AC546" s="131" t="s">
        <v>927</v>
      </c>
      <c r="AD546" s="131" t="s">
        <v>927</v>
      </c>
      <c r="AE546" s="131" t="s">
        <v>916</v>
      </c>
      <c r="AF546" s="131">
        <v>0</v>
      </c>
      <c r="AG546" s="131"/>
      <c r="AH546" s="131">
        <v>20</v>
      </c>
      <c r="AI546" s="131">
        <v>28</v>
      </c>
      <c r="AJ546" s="131"/>
    </row>
    <row r="547" spans="27:36">
      <c r="AA547" s="131">
        <v>3804</v>
      </c>
      <c r="AB547" s="131" t="s">
        <v>1649</v>
      </c>
      <c r="AC547" s="131" t="s">
        <v>927</v>
      </c>
      <c r="AD547" s="131" t="s">
        <v>927</v>
      </c>
      <c r="AE547" s="131" t="s">
        <v>945</v>
      </c>
      <c r="AF547" s="131">
        <v>75</v>
      </c>
      <c r="AG547" s="131" t="s">
        <v>940</v>
      </c>
      <c r="AH547" s="131">
        <v>0</v>
      </c>
      <c r="AI547" s="131">
        <v>24</v>
      </c>
      <c r="AJ547" s="131"/>
    </row>
    <row r="548" spans="27:36">
      <c r="AA548" s="131">
        <v>3805</v>
      </c>
      <c r="AB548" s="131" t="s">
        <v>1650</v>
      </c>
      <c r="AC548" s="131" t="s">
        <v>1651</v>
      </c>
      <c r="AD548" s="131" t="s">
        <v>1652</v>
      </c>
      <c r="AE548" s="131" t="s">
        <v>945</v>
      </c>
      <c r="AF548" s="131">
        <v>52</v>
      </c>
      <c r="AG548" s="131" t="s">
        <v>940</v>
      </c>
      <c r="AH548" s="131">
        <v>20</v>
      </c>
      <c r="AI548" s="131">
        <v>22</v>
      </c>
      <c r="AJ548" s="131"/>
    </row>
    <row r="549" spans="27:36">
      <c r="AA549" s="131">
        <v>3807</v>
      </c>
      <c r="AB549" s="131" t="s">
        <v>1653</v>
      </c>
      <c r="AC549" s="131" t="s">
        <v>927</v>
      </c>
      <c r="AD549" s="131" t="s">
        <v>927</v>
      </c>
      <c r="AE549" s="131" t="s">
        <v>916</v>
      </c>
      <c r="AF549" s="131">
        <v>75</v>
      </c>
      <c r="AG549" s="131" t="s">
        <v>940</v>
      </c>
      <c r="AH549" s="131">
        <v>0</v>
      </c>
      <c r="AI549" s="131">
        <v>9</v>
      </c>
      <c r="AJ549" s="131"/>
    </row>
    <row r="550" spans="27:36">
      <c r="AA550" s="131">
        <v>3809</v>
      </c>
      <c r="AB550" s="131" t="s">
        <v>1654</v>
      </c>
      <c r="AC550" s="131" t="s">
        <v>927</v>
      </c>
      <c r="AD550" s="131" t="s">
        <v>927</v>
      </c>
      <c r="AE550" s="131" t="s">
        <v>916</v>
      </c>
      <c r="AF550" s="131">
        <v>0</v>
      </c>
      <c r="AG550" s="131"/>
      <c r="AH550" s="131">
        <v>20</v>
      </c>
      <c r="AI550" s="131">
        <v>28</v>
      </c>
      <c r="AJ550" s="131"/>
    </row>
    <row r="551" spans="27:36">
      <c r="AA551" s="131">
        <v>3810</v>
      </c>
      <c r="AB551" s="131" t="s">
        <v>1655</v>
      </c>
      <c r="AC551" s="131" t="s">
        <v>1656</v>
      </c>
      <c r="AD551" s="131" t="s">
        <v>1657</v>
      </c>
      <c r="AE551" s="131" t="s">
        <v>945</v>
      </c>
      <c r="AF551" s="131">
        <v>75</v>
      </c>
      <c r="AG551" s="131" t="s">
        <v>940</v>
      </c>
      <c r="AH551" s="131">
        <v>0</v>
      </c>
      <c r="AI551" s="131">
        <v>15</v>
      </c>
      <c r="AJ551" s="131"/>
    </row>
    <row r="552" spans="27:36">
      <c r="AA552" s="131">
        <v>3812</v>
      </c>
      <c r="AB552" s="131" t="s">
        <v>1658</v>
      </c>
      <c r="AC552" s="131" t="s">
        <v>927</v>
      </c>
      <c r="AD552" s="131" t="s">
        <v>927</v>
      </c>
      <c r="AE552" s="131" t="s">
        <v>916</v>
      </c>
      <c r="AF552" s="131">
        <v>75</v>
      </c>
      <c r="AG552" s="131" t="s">
        <v>940</v>
      </c>
      <c r="AH552" s="131">
        <v>0</v>
      </c>
      <c r="AI552" s="131">
        <v>9</v>
      </c>
      <c r="AJ552" s="131"/>
    </row>
    <row r="553" spans="27:36">
      <c r="AA553" s="131">
        <v>3814</v>
      </c>
      <c r="AB553" s="131" t="s">
        <v>1659</v>
      </c>
      <c r="AC553" s="131" t="s">
        <v>927</v>
      </c>
      <c r="AD553" s="131" t="s">
        <v>927</v>
      </c>
      <c r="AE553" s="131" t="s">
        <v>916</v>
      </c>
      <c r="AF553" s="131">
        <v>75</v>
      </c>
      <c r="AG553" s="131" t="s">
        <v>940</v>
      </c>
      <c r="AH553" s="131">
        <v>0</v>
      </c>
      <c r="AI553" s="131">
        <v>9</v>
      </c>
      <c r="AJ553" s="131"/>
    </row>
    <row r="554" spans="27:36">
      <c r="AA554" s="131">
        <v>3836</v>
      </c>
      <c r="AB554" s="131" t="s">
        <v>1660</v>
      </c>
      <c r="AC554" s="131" t="s">
        <v>927</v>
      </c>
      <c r="AD554" s="131" t="s">
        <v>927</v>
      </c>
      <c r="AE554" s="131" t="s">
        <v>945</v>
      </c>
      <c r="AF554" s="131">
        <v>52</v>
      </c>
      <c r="AG554" s="131" t="s">
        <v>940</v>
      </c>
      <c r="AH554" s="131">
        <v>0</v>
      </c>
      <c r="AI554" s="131">
        <v>24</v>
      </c>
      <c r="AJ554" s="131"/>
    </row>
    <row r="555" spans="27:36">
      <c r="AA555" s="131">
        <v>3840</v>
      </c>
      <c r="AB555" s="131" t="s">
        <v>1661</v>
      </c>
      <c r="AC555" s="131" t="s">
        <v>1662</v>
      </c>
      <c r="AD555" s="131" t="s">
        <v>1663</v>
      </c>
      <c r="AE555" s="131" t="s">
        <v>945</v>
      </c>
      <c r="AF555" s="131">
        <v>52</v>
      </c>
      <c r="AG555" s="131" t="s">
        <v>940</v>
      </c>
      <c r="AH555" s="131">
        <v>0</v>
      </c>
      <c r="AI555" s="131">
        <v>24</v>
      </c>
      <c r="AJ555" s="131"/>
    </row>
    <row r="556" spans="27:36">
      <c r="AA556" s="131">
        <v>3849</v>
      </c>
      <c r="AB556" s="131" t="s">
        <v>1664</v>
      </c>
      <c r="AC556" s="131" t="s">
        <v>927</v>
      </c>
      <c r="AD556" s="131" t="s">
        <v>927</v>
      </c>
      <c r="AE556" s="131" t="s">
        <v>945</v>
      </c>
      <c r="AF556" s="131">
        <v>52</v>
      </c>
      <c r="AG556" s="131" t="s">
        <v>940</v>
      </c>
      <c r="AH556" s="131">
        <v>0</v>
      </c>
      <c r="AI556" s="131">
        <v>24</v>
      </c>
      <c r="AJ556" s="131"/>
    </row>
    <row r="557" spans="27:36">
      <c r="AA557" s="131">
        <v>3866</v>
      </c>
      <c r="AB557" s="131" t="s">
        <v>1665</v>
      </c>
      <c r="AC557" s="131" t="s">
        <v>927</v>
      </c>
      <c r="AD557" s="131" t="s">
        <v>927</v>
      </c>
      <c r="AE557" s="131" t="s">
        <v>945</v>
      </c>
      <c r="AF557" s="131">
        <v>52</v>
      </c>
      <c r="AG557" s="131" t="s">
        <v>940</v>
      </c>
      <c r="AH557" s="131">
        <v>0</v>
      </c>
      <c r="AI557" s="131">
        <v>24</v>
      </c>
      <c r="AJ557" s="131"/>
    </row>
    <row r="558" spans="27:36">
      <c r="AA558" s="131">
        <v>3869</v>
      </c>
      <c r="AB558" s="131" t="s">
        <v>1666</v>
      </c>
      <c r="AC558" s="131" t="s">
        <v>927</v>
      </c>
      <c r="AD558" s="131" t="s">
        <v>927</v>
      </c>
      <c r="AE558" s="131" t="s">
        <v>957</v>
      </c>
      <c r="AF558" s="131">
        <v>0</v>
      </c>
      <c r="AG558" s="131" t="s">
        <v>940</v>
      </c>
      <c r="AH558" s="131">
        <v>0</v>
      </c>
      <c r="AI558" s="131">
        <v>27</v>
      </c>
      <c r="AJ558" s="131"/>
    </row>
    <row r="559" spans="27:36">
      <c r="AA559" s="131">
        <v>3892</v>
      </c>
      <c r="AB559" s="131" t="s">
        <v>1667</v>
      </c>
      <c r="AC559" s="131" t="s">
        <v>927</v>
      </c>
      <c r="AD559" s="131" t="s">
        <v>927</v>
      </c>
      <c r="AE559" s="131" t="s">
        <v>945</v>
      </c>
      <c r="AF559" s="131">
        <v>52</v>
      </c>
      <c r="AG559" s="131" t="s">
        <v>940</v>
      </c>
      <c r="AH559" s="131">
        <v>20</v>
      </c>
      <c r="AI559" s="131">
        <v>21</v>
      </c>
      <c r="AJ559" s="131"/>
    </row>
    <row r="560" spans="27:36">
      <c r="AA560" s="131">
        <v>3894</v>
      </c>
      <c r="AB560" s="131" t="s">
        <v>1668</v>
      </c>
      <c r="AC560" s="131" t="s">
        <v>927</v>
      </c>
      <c r="AD560" s="131" t="s">
        <v>927</v>
      </c>
      <c r="AE560" s="131" t="s">
        <v>945</v>
      </c>
      <c r="AF560" s="131">
        <v>52</v>
      </c>
      <c r="AG560" s="131" t="s">
        <v>940</v>
      </c>
      <c r="AH560" s="131">
        <v>20</v>
      </c>
      <c r="AI560" s="131">
        <v>21</v>
      </c>
      <c r="AJ560" s="131"/>
    </row>
    <row r="561" spans="27:36">
      <c r="AA561" s="131">
        <v>3898</v>
      </c>
      <c r="AB561" s="131" t="s">
        <v>1669</v>
      </c>
      <c r="AC561" s="131" t="s">
        <v>927</v>
      </c>
      <c r="AD561" s="131" t="s">
        <v>927</v>
      </c>
      <c r="AE561" s="131" t="s">
        <v>945</v>
      </c>
      <c r="AF561" s="131">
        <v>52</v>
      </c>
      <c r="AG561" s="131"/>
      <c r="AH561" s="131">
        <v>20</v>
      </c>
      <c r="AI561" s="131">
        <v>22</v>
      </c>
      <c r="AJ561" s="131"/>
    </row>
    <row r="562" spans="27:36">
      <c r="AA562" s="131">
        <v>3901</v>
      </c>
      <c r="AB562" s="131" t="s">
        <v>1670</v>
      </c>
      <c r="AC562" s="131" t="s">
        <v>927</v>
      </c>
      <c r="AD562" s="131" t="s">
        <v>927</v>
      </c>
      <c r="AE562" s="131" t="s">
        <v>945</v>
      </c>
      <c r="AF562" s="131">
        <v>75</v>
      </c>
      <c r="AG562" s="131" t="s">
        <v>940</v>
      </c>
      <c r="AH562" s="131">
        <v>0</v>
      </c>
      <c r="AI562" s="131">
        <v>22</v>
      </c>
      <c r="AJ562" s="131"/>
    </row>
    <row r="563" spans="27:36">
      <c r="AA563" s="131">
        <v>3904</v>
      </c>
      <c r="AB563" s="131" t="s">
        <v>1671</v>
      </c>
      <c r="AC563" s="131" t="s">
        <v>927</v>
      </c>
      <c r="AD563" s="131" t="s">
        <v>927</v>
      </c>
      <c r="AE563" s="131" t="s">
        <v>945</v>
      </c>
      <c r="AF563" s="131">
        <v>52</v>
      </c>
      <c r="AG563" s="131"/>
      <c r="AH563" s="131">
        <v>20</v>
      </c>
      <c r="AI563" s="131">
        <v>22</v>
      </c>
      <c r="AJ563" s="131"/>
    </row>
    <row r="564" spans="27:36">
      <c r="AA564" s="131">
        <v>3907</v>
      </c>
      <c r="AB564" s="131" t="s">
        <v>1672</v>
      </c>
      <c r="AC564" s="131" t="s">
        <v>927</v>
      </c>
      <c r="AD564" s="131" t="s">
        <v>927</v>
      </c>
      <c r="AE564" s="131" t="s">
        <v>945</v>
      </c>
      <c r="AF564" s="131">
        <v>52</v>
      </c>
      <c r="AG564" s="131" t="s">
        <v>940</v>
      </c>
      <c r="AH564" s="131">
        <v>0</v>
      </c>
      <c r="AI564" s="131">
        <v>22</v>
      </c>
      <c r="AJ564" s="131"/>
    </row>
    <row r="565" spans="27:36">
      <c r="AA565" s="131">
        <v>3912</v>
      </c>
      <c r="AB565" s="131" t="s">
        <v>1673</v>
      </c>
      <c r="AC565" s="131" t="s">
        <v>927</v>
      </c>
      <c r="AD565" s="131" t="s">
        <v>927</v>
      </c>
      <c r="AE565" s="131" t="s">
        <v>945</v>
      </c>
      <c r="AF565" s="131">
        <v>75</v>
      </c>
      <c r="AG565" s="131" t="s">
        <v>940</v>
      </c>
      <c r="AH565" s="131">
        <v>0</v>
      </c>
      <c r="AI565" s="131">
        <v>24</v>
      </c>
      <c r="AJ565" s="131"/>
    </row>
    <row r="566" spans="27:36">
      <c r="AA566" s="131">
        <v>3914</v>
      </c>
      <c r="AB566" s="131" t="s">
        <v>1674</v>
      </c>
      <c r="AC566" s="131" t="s">
        <v>927</v>
      </c>
      <c r="AD566" s="131" t="s">
        <v>927</v>
      </c>
      <c r="AE566" s="131" t="s">
        <v>945</v>
      </c>
      <c r="AF566" s="131">
        <v>52</v>
      </c>
      <c r="AG566" s="131" t="s">
        <v>940</v>
      </c>
      <c r="AH566" s="131">
        <v>20</v>
      </c>
      <c r="AI566" s="131">
        <v>24</v>
      </c>
      <c r="AJ566" s="131"/>
    </row>
    <row r="567" spans="27:36">
      <c r="AA567" s="131">
        <v>3942</v>
      </c>
      <c r="AB567" s="131" t="s">
        <v>1675</v>
      </c>
      <c r="AC567" s="131" t="s">
        <v>927</v>
      </c>
      <c r="AD567" s="131" t="s">
        <v>927</v>
      </c>
      <c r="AE567" s="131" t="s">
        <v>945</v>
      </c>
      <c r="AF567" s="131">
        <v>52</v>
      </c>
      <c r="AG567" s="131" t="s">
        <v>940</v>
      </c>
      <c r="AH567" s="131">
        <v>20</v>
      </c>
      <c r="AI567" s="131">
        <v>21</v>
      </c>
      <c r="AJ567" s="131"/>
    </row>
    <row r="568" spans="27:36">
      <c r="AA568" s="131">
        <v>3943</v>
      </c>
      <c r="AB568" s="131" t="s">
        <v>1676</v>
      </c>
      <c r="AC568" s="131" t="s">
        <v>927</v>
      </c>
      <c r="AD568" s="131" t="s">
        <v>927</v>
      </c>
      <c r="AE568" s="131" t="s">
        <v>945</v>
      </c>
      <c r="AF568" s="131">
        <v>52</v>
      </c>
      <c r="AG568" s="131" t="s">
        <v>940</v>
      </c>
      <c r="AH568" s="131">
        <v>20</v>
      </c>
      <c r="AI568" s="131">
        <v>21</v>
      </c>
      <c r="AJ568" s="131"/>
    </row>
    <row r="569" spans="27:36">
      <c r="AA569" s="131">
        <v>3950</v>
      </c>
      <c r="AB569" s="131" t="s">
        <v>1677</v>
      </c>
      <c r="AC569" s="131" t="s">
        <v>927</v>
      </c>
      <c r="AD569" s="131" t="s">
        <v>927</v>
      </c>
      <c r="AE569" s="131" t="s">
        <v>945</v>
      </c>
      <c r="AF569" s="131">
        <v>52</v>
      </c>
      <c r="AG569" s="131" t="s">
        <v>940</v>
      </c>
      <c r="AH569" s="131">
        <v>20</v>
      </c>
      <c r="AI569" s="131">
        <v>24</v>
      </c>
      <c r="AJ569" s="131"/>
    </row>
    <row r="570" spans="27:36">
      <c r="AA570" s="131">
        <v>3954</v>
      </c>
      <c r="AB570" s="131" t="s">
        <v>1678</v>
      </c>
      <c r="AC570" s="131" t="s">
        <v>927</v>
      </c>
      <c r="AD570" s="131" t="s">
        <v>927</v>
      </c>
      <c r="AE570" s="131" t="s">
        <v>945</v>
      </c>
      <c r="AF570" s="131">
        <v>52</v>
      </c>
      <c r="AG570" s="131" t="s">
        <v>940</v>
      </c>
      <c r="AH570" s="131">
        <v>0</v>
      </c>
      <c r="AI570" s="131">
        <v>24</v>
      </c>
      <c r="AJ570" s="131"/>
    </row>
    <row r="571" spans="27:36">
      <c r="AA571" s="131">
        <v>3960</v>
      </c>
      <c r="AB571" s="131" t="s">
        <v>1679</v>
      </c>
      <c r="AC571" s="131" t="s">
        <v>927</v>
      </c>
      <c r="AD571" s="131" t="s">
        <v>927</v>
      </c>
      <c r="AE571" s="131" t="s">
        <v>945</v>
      </c>
      <c r="AF571" s="131">
        <v>52</v>
      </c>
      <c r="AG571" s="131"/>
      <c r="AH571" s="131">
        <v>20</v>
      </c>
      <c r="AI571" s="131">
        <v>22</v>
      </c>
      <c r="AJ571" s="131"/>
    </row>
    <row r="572" spans="27:36">
      <c r="AA572" s="131">
        <v>3962</v>
      </c>
      <c r="AB572" s="131" t="s">
        <v>1680</v>
      </c>
      <c r="AC572" s="131" t="s">
        <v>927</v>
      </c>
      <c r="AD572" s="131" t="s">
        <v>927</v>
      </c>
      <c r="AE572" s="131" t="s">
        <v>945</v>
      </c>
      <c r="AF572" s="131">
        <v>52</v>
      </c>
      <c r="AG572" s="131" t="s">
        <v>940</v>
      </c>
      <c r="AH572" s="131">
        <v>20</v>
      </c>
      <c r="AI572" s="131">
        <v>21</v>
      </c>
      <c r="AJ572" s="131"/>
    </row>
    <row r="573" spans="27:36">
      <c r="AA573" s="131">
        <v>3963</v>
      </c>
      <c r="AB573" s="131" t="s">
        <v>1681</v>
      </c>
      <c r="AC573" s="131" t="s">
        <v>927</v>
      </c>
      <c r="AD573" s="131" t="s">
        <v>927</v>
      </c>
      <c r="AE573" s="131" t="s">
        <v>945</v>
      </c>
      <c r="AF573" s="131">
        <v>52</v>
      </c>
      <c r="AG573" s="131" t="s">
        <v>940</v>
      </c>
      <c r="AH573" s="131">
        <v>20</v>
      </c>
      <c r="AI573" s="131">
        <v>21</v>
      </c>
      <c r="AJ573" s="131"/>
    </row>
    <row r="574" spans="27:36">
      <c r="AA574" s="131">
        <v>3970</v>
      </c>
      <c r="AB574" s="131" t="s">
        <v>1682</v>
      </c>
      <c r="AC574" s="131" t="s">
        <v>927</v>
      </c>
      <c r="AD574" s="131" t="s">
        <v>927</v>
      </c>
      <c r="AE574" s="131" t="s">
        <v>957</v>
      </c>
      <c r="AF574" s="131">
        <v>0</v>
      </c>
      <c r="AG574" s="131" t="s">
        <v>940</v>
      </c>
      <c r="AH574" s="131">
        <v>0</v>
      </c>
      <c r="AI574" s="131">
        <v>27</v>
      </c>
      <c r="AJ574" s="131"/>
    </row>
    <row r="575" spans="27:36">
      <c r="AA575" s="131">
        <v>3972</v>
      </c>
      <c r="AB575" s="131" t="s">
        <v>1683</v>
      </c>
      <c r="AC575" s="131" t="s">
        <v>927</v>
      </c>
      <c r="AD575" s="131" t="s">
        <v>927</v>
      </c>
      <c r="AE575" s="131" t="s">
        <v>957</v>
      </c>
      <c r="AF575" s="131">
        <v>0</v>
      </c>
      <c r="AG575" s="131" t="s">
        <v>940</v>
      </c>
      <c r="AH575" s="131">
        <v>0</v>
      </c>
      <c r="AI575" s="131">
        <v>27</v>
      </c>
      <c r="AJ575" s="131"/>
    </row>
    <row r="576" spans="27:36">
      <c r="AA576" s="131">
        <v>3974</v>
      </c>
      <c r="AB576" s="131" t="s">
        <v>1684</v>
      </c>
      <c r="AC576" s="131" t="s">
        <v>927</v>
      </c>
      <c r="AD576" s="131" t="s">
        <v>927</v>
      </c>
      <c r="AE576" s="131" t="s">
        <v>916</v>
      </c>
      <c r="AF576" s="131">
        <v>0</v>
      </c>
      <c r="AG576" s="131"/>
      <c r="AH576" s="131">
        <v>20</v>
      </c>
      <c r="AI576" s="131">
        <v>27</v>
      </c>
      <c r="AJ576" s="131"/>
    </row>
    <row r="577" spans="27:36">
      <c r="AA577" s="131">
        <v>4000</v>
      </c>
      <c r="AB577" s="131" t="s">
        <v>1685</v>
      </c>
      <c r="AC577" s="131" t="s">
        <v>1686</v>
      </c>
      <c r="AD577" s="131" t="s">
        <v>1687</v>
      </c>
      <c r="AE577" s="131" t="s">
        <v>957</v>
      </c>
      <c r="AF577" s="131">
        <v>0</v>
      </c>
      <c r="AG577" s="131"/>
      <c r="AH577" s="131">
        <v>20</v>
      </c>
      <c r="AI577" s="131">
        <v>27</v>
      </c>
      <c r="AJ577" s="131"/>
    </row>
    <row r="578" spans="27:36">
      <c r="AA578" s="131">
        <v>4020</v>
      </c>
      <c r="AB578" s="131" t="s">
        <v>1688</v>
      </c>
      <c r="AC578" s="131" t="s">
        <v>1689</v>
      </c>
      <c r="AD578" s="131" t="s">
        <v>1690</v>
      </c>
      <c r="AE578" s="131" t="s">
        <v>945</v>
      </c>
      <c r="AF578" s="131">
        <v>52</v>
      </c>
      <c r="AG578" s="131"/>
      <c r="AH578" s="131">
        <v>20</v>
      </c>
      <c r="AI578" s="131">
        <v>6</v>
      </c>
      <c r="AJ578" s="131"/>
    </row>
    <row r="579" spans="27:36">
      <c r="AA579" s="131">
        <v>4024</v>
      </c>
      <c r="AB579" s="131" t="s">
        <v>1691</v>
      </c>
      <c r="AC579" s="131" t="s">
        <v>927</v>
      </c>
      <c r="AD579" s="131" t="s">
        <v>927</v>
      </c>
      <c r="AE579" s="131" t="s">
        <v>957</v>
      </c>
      <c r="AF579" s="131">
        <v>0</v>
      </c>
      <c r="AG579" s="131" t="s">
        <v>940</v>
      </c>
      <c r="AH579" s="131">
        <v>20</v>
      </c>
      <c r="AI579" s="131">
        <v>27</v>
      </c>
      <c r="AJ579" s="131"/>
    </row>
    <row r="580" spans="27:36">
      <c r="AA580" s="131">
        <v>4061</v>
      </c>
      <c r="AB580" s="131" t="s">
        <v>1692</v>
      </c>
      <c r="AC580" s="131" t="s">
        <v>927</v>
      </c>
      <c r="AD580" s="131" t="s">
        <v>927</v>
      </c>
      <c r="AE580" s="131" t="s">
        <v>957</v>
      </c>
      <c r="AF580" s="131">
        <v>0</v>
      </c>
      <c r="AG580" s="131"/>
      <c r="AH580" s="131">
        <v>20</v>
      </c>
      <c r="AI580" s="131">
        <v>27</v>
      </c>
      <c r="AJ580" s="131"/>
    </row>
    <row r="581" spans="27:36">
      <c r="AA581" s="131">
        <v>4062</v>
      </c>
      <c r="AB581" s="131" t="s">
        <v>1693</v>
      </c>
      <c r="AC581" s="131" t="s">
        <v>927</v>
      </c>
      <c r="AD581" s="131" t="s">
        <v>927</v>
      </c>
      <c r="AE581" s="131" t="s">
        <v>945</v>
      </c>
      <c r="AF581" s="131">
        <v>52</v>
      </c>
      <c r="AG581" s="131" t="s">
        <v>940</v>
      </c>
      <c r="AH581" s="131">
        <v>20</v>
      </c>
      <c r="AI581" s="131">
        <v>6</v>
      </c>
      <c r="AJ581" s="131"/>
    </row>
    <row r="582" spans="27:36">
      <c r="AA582" s="131">
        <v>4072</v>
      </c>
      <c r="AB582" s="131" t="s">
        <v>1694</v>
      </c>
      <c r="AC582" s="131" t="s">
        <v>927</v>
      </c>
      <c r="AD582" s="131" t="s">
        <v>927</v>
      </c>
      <c r="AE582" s="131" t="s">
        <v>916</v>
      </c>
      <c r="AF582" s="131">
        <v>52</v>
      </c>
      <c r="AG582" s="131"/>
      <c r="AH582" s="131">
        <v>20</v>
      </c>
      <c r="AI582" s="131">
        <v>6</v>
      </c>
      <c r="AJ582" s="131"/>
    </row>
    <row r="583" spans="27:36">
      <c r="AA583" s="131">
        <v>4075</v>
      </c>
      <c r="AB583" s="131" t="s">
        <v>1695</v>
      </c>
      <c r="AC583" s="131" t="s">
        <v>927</v>
      </c>
      <c r="AD583" s="131" t="s">
        <v>927</v>
      </c>
      <c r="AE583" s="131" t="s">
        <v>957</v>
      </c>
      <c r="AF583" s="131">
        <v>0</v>
      </c>
      <c r="AG583" s="131" t="s">
        <v>940</v>
      </c>
      <c r="AH583" s="131">
        <v>20</v>
      </c>
      <c r="AI583" s="131">
        <v>27</v>
      </c>
      <c r="AJ583" s="131"/>
    </row>
    <row r="584" spans="27:36">
      <c r="AA584" s="131">
        <v>4086</v>
      </c>
      <c r="AB584" s="131" t="s">
        <v>1696</v>
      </c>
      <c r="AC584" s="131" t="s">
        <v>927</v>
      </c>
      <c r="AD584" s="131" t="s">
        <v>927</v>
      </c>
      <c r="AE584" s="131" t="s">
        <v>957</v>
      </c>
      <c r="AF584" s="131">
        <v>0</v>
      </c>
      <c r="AG584" s="131" t="s">
        <v>940</v>
      </c>
      <c r="AH584" s="131">
        <v>20</v>
      </c>
      <c r="AI584" s="131">
        <v>27</v>
      </c>
      <c r="AJ584" s="131"/>
    </row>
    <row r="585" spans="27:36">
      <c r="AA585" s="131">
        <v>4091</v>
      </c>
      <c r="AB585" s="131" t="s">
        <v>1697</v>
      </c>
      <c r="AC585" s="131" t="s">
        <v>927</v>
      </c>
      <c r="AD585" s="131" t="s">
        <v>927</v>
      </c>
      <c r="AE585" s="131" t="s">
        <v>957</v>
      </c>
      <c r="AF585" s="131">
        <v>0</v>
      </c>
      <c r="AG585" s="131"/>
      <c r="AH585" s="131">
        <v>20</v>
      </c>
      <c r="AI585" s="131">
        <v>27</v>
      </c>
      <c r="AJ585" s="131"/>
    </row>
    <row r="586" spans="27:36">
      <c r="AA586" s="131">
        <v>4092</v>
      </c>
      <c r="AB586" s="131" t="s">
        <v>1698</v>
      </c>
      <c r="AC586" s="131" t="s">
        <v>927</v>
      </c>
      <c r="AD586" s="131" t="s">
        <v>927</v>
      </c>
      <c r="AE586" s="131" t="s">
        <v>916</v>
      </c>
      <c r="AF586" s="131">
        <v>52</v>
      </c>
      <c r="AG586" s="131"/>
      <c r="AH586" s="131">
        <v>20</v>
      </c>
      <c r="AI586" s="131">
        <v>6</v>
      </c>
      <c r="AJ586" s="131"/>
    </row>
    <row r="587" spans="27:36">
      <c r="AA587" s="131">
        <v>4093</v>
      </c>
      <c r="AB587" s="131" t="s">
        <v>1699</v>
      </c>
      <c r="AC587" s="131" t="s">
        <v>927</v>
      </c>
      <c r="AD587" s="131" t="s">
        <v>927</v>
      </c>
      <c r="AE587" s="131" t="s">
        <v>945</v>
      </c>
      <c r="AF587" s="131">
        <v>52</v>
      </c>
      <c r="AG587" s="131" t="s">
        <v>940</v>
      </c>
      <c r="AH587" s="131">
        <v>20</v>
      </c>
      <c r="AI587" s="131">
        <v>6</v>
      </c>
      <c r="AJ587" s="131"/>
    </row>
    <row r="588" spans="27:36">
      <c r="AA588" s="131">
        <v>4100</v>
      </c>
      <c r="AB588" s="131" t="s">
        <v>1700</v>
      </c>
      <c r="AC588" s="131" t="s">
        <v>1701</v>
      </c>
      <c r="AD588" s="131" t="s">
        <v>1700</v>
      </c>
      <c r="AE588" s="131" t="s">
        <v>945</v>
      </c>
      <c r="AF588" s="131">
        <v>180</v>
      </c>
      <c r="AG588" s="131" t="s">
        <v>940</v>
      </c>
      <c r="AH588" s="131">
        <v>0</v>
      </c>
      <c r="AI588" s="131">
        <v>23</v>
      </c>
      <c r="AJ588" s="131"/>
    </row>
    <row r="589" spans="27:36">
      <c r="AA589" s="131">
        <v>4150</v>
      </c>
      <c r="AB589" s="131" t="s">
        <v>1702</v>
      </c>
      <c r="AC589" s="131" t="s">
        <v>927</v>
      </c>
      <c r="AD589" s="131" t="s">
        <v>927</v>
      </c>
      <c r="AE589" s="131" t="s">
        <v>916</v>
      </c>
      <c r="AF589" s="131">
        <v>52</v>
      </c>
      <c r="AG589" s="131"/>
      <c r="AH589" s="131">
        <v>0</v>
      </c>
      <c r="AI589" s="131">
        <v>13</v>
      </c>
      <c r="AJ589" s="131"/>
    </row>
    <row r="590" spans="27:36">
      <c r="AA590" s="131">
        <v>4200</v>
      </c>
      <c r="AB590" s="131" t="s">
        <v>1703</v>
      </c>
      <c r="AC590" s="131" t="s">
        <v>927</v>
      </c>
      <c r="AD590" s="131" t="s">
        <v>927</v>
      </c>
      <c r="AE590" s="131" t="s">
        <v>945</v>
      </c>
      <c r="AF590" s="131">
        <v>52</v>
      </c>
      <c r="AG590" s="131" t="s">
        <v>940</v>
      </c>
      <c r="AH590" s="131">
        <v>20</v>
      </c>
      <c r="AI590" s="131">
        <v>15</v>
      </c>
      <c r="AJ590" s="131"/>
    </row>
    <row r="591" spans="27:36">
      <c r="AA591" s="131">
        <v>4201</v>
      </c>
      <c r="AB591" s="131" t="s">
        <v>1704</v>
      </c>
      <c r="AC591" s="131" t="s">
        <v>1705</v>
      </c>
      <c r="AD591" s="131" t="s">
        <v>1706</v>
      </c>
      <c r="AE591" s="131" t="s">
        <v>945</v>
      </c>
      <c r="AF591" s="131">
        <v>52</v>
      </c>
      <c r="AG591" s="131" t="s">
        <v>940</v>
      </c>
      <c r="AH591" s="131">
        <v>0</v>
      </c>
      <c r="AI591" s="131">
        <v>15</v>
      </c>
      <c r="AJ591" s="131"/>
    </row>
    <row r="592" spans="27:36">
      <c r="AA592" s="131">
        <v>4202</v>
      </c>
      <c r="AB592" s="131" t="s">
        <v>1707</v>
      </c>
      <c r="AC592" s="131" t="s">
        <v>927</v>
      </c>
      <c r="AD592" s="131" t="s">
        <v>927</v>
      </c>
      <c r="AE592" s="131" t="s">
        <v>945</v>
      </c>
      <c r="AF592" s="131">
        <v>52</v>
      </c>
      <c r="AG592" s="131" t="s">
        <v>940</v>
      </c>
      <c r="AH592" s="131">
        <v>0</v>
      </c>
      <c r="AI592" s="131">
        <v>15</v>
      </c>
      <c r="AJ592" s="131"/>
    </row>
    <row r="593" spans="27:36">
      <c r="AA593" s="131">
        <v>4203</v>
      </c>
      <c r="AB593" s="131" t="s">
        <v>1708</v>
      </c>
      <c r="AC593" s="131" t="s">
        <v>1709</v>
      </c>
      <c r="AD593" s="131" t="s">
        <v>1710</v>
      </c>
      <c r="AE593" s="131" t="s">
        <v>945</v>
      </c>
      <c r="AF593" s="131">
        <v>52</v>
      </c>
      <c r="AG593" s="131" t="s">
        <v>940</v>
      </c>
      <c r="AH593" s="131">
        <v>0</v>
      </c>
      <c r="AI593" s="131">
        <v>15</v>
      </c>
      <c r="AJ593" s="131"/>
    </row>
    <row r="594" spans="27:36">
      <c r="AA594" s="131">
        <v>4204</v>
      </c>
      <c r="AB594" s="131" t="s">
        <v>1711</v>
      </c>
      <c r="AC594" s="131" t="s">
        <v>927</v>
      </c>
      <c r="AD594" s="131" t="s">
        <v>927</v>
      </c>
      <c r="AE594" s="131" t="s">
        <v>916</v>
      </c>
      <c r="AF594" s="131">
        <v>0</v>
      </c>
      <c r="AG594" s="131" t="s">
        <v>940</v>
      </c>
      <c r="AH594" s="131">
        <v>20</v>
      </c>
      <c r="AI594" s="131">
        <v>28</v>
      </c>
      <c r="AJ594" s="131"/>
    </row>
    <row r="595" spans="27:36">
      <c r="AA595" s="131">
        <v>4205</v>
      </c>
      <c r="AB595" s="131" t="s">
        <v>1712</v>
      </c>
      <c r="AC595" s="131" t="s">
        <v>927</v>
      </c>
      <c r="AD595" s="131" t="s">
        <v>927</v>
      </c>
      <c r="AE595" s="131" t="s">
        <v>945</v>
      </c>
      <c r="AF595" s="131">
        <v>52</v>
      </c>
      <c r="AG595" s="131" t="s">
        <v>940</v>
      </c>
      <c r="AH595" s="131">
        <v>0</v>
      </c>
      <c r="AI595" s="131">
        <v>9</v>
      </c>
      <c r="AJ595" s="131"/>
    </row>
    <row r="596" spans="27:36">
      <c r="AA596" s="131">
        <v>4210</v>
      </c>
      <c r="AB596" s="131" t="s">
        <v>1713</v>
      </c>
      <c r="AC596" s="131" t="s">
        <v>927</v>
      </c>
      <c r="AD596" s="131" t="s">
        <v>927</v>
      </c>
      <c r="AE596" s="131" t="s">
        <v>957</v>
      </c>
      <c r="AF596" s="131">
        <v>0</v>
      </c>
      <c r="AG596" s="131" t="s">
        <v>940</v>
      </c>
      <c r="AH596" s="131">
        <v>0</v>
      </c>
      <c r="AI596" s="131">
        <v>27</v>
      </c>
      <c r="AJ596" s="131"/>
    </row>
    <row r="597" spans="27:36">
      <c r="AA597" s="131">
        <v>4215</v>
      </c>
      <c r="AB597" s="131" t="s">
        <v>1714</v>
      </c>
      <c r="AC597" s="131" t="s">
        <v>927</v>
      </c>
      <c r="AD597" s="131" t="s">
        <v>927</v>
      </c>
      <c r="AE597" s="131" t="s">
        <v>945</v>
      </c>
      <c r="AF597" s="131">
        <v>52</v>
      </c>
      <c r="AG597" s="131" t="s">
        <v>940</v>
      </c>
      <c r="AH597" s="131">
        <v>0</v>
      </c>
      <c r="AI597" s="131">
        <v>15</v>
      </c>
      <c r="AJ597" s="131"/>
    </row>
    <row r="598" spans="27:36">
      <c r="AA598" s="131">
        <v>4220</v>
      </c>
      <c r="AB598" s="131" t="s">
        <v>1715</v>
      </c>
      <c r="AC598" s="131" t="s">
        <v>927</v>
      </c>
      <c r="AD598" s="131" t="s">
        <v>927</v>
      </c>
      <c r="AE598" s="131" t="s">
        <v>957</v>
      </c>
      <c r="AF598" s="131">
        <v>0</v>
      </c>
      <c r="AG598" s="131" t="s">
        <v>940</v>
      </c>
      <c r="AH598" s="131">
        <v>0</v>
      </c>
      <c r="AI598" s="131">
        <v>27</v>
      </c>
      <c r="AJ598" s="131"/>
    </row>
    <row r="599" spans="27:36">
      <c r="AA599" s="131">
        <v>4225</v>
      </c>
      <c r="AB599" s="131" t="s">
        <v>1716</v>
      </c>
      <c r="AC599" s="131" t="s">
        <v>927</v>
      </c>
      <c r="AD599" s="131" t="s">
        <v>927</v>
      </c>
      <c r="AE599" s="131" t="s">
        <v>945</v>
      </c>
      <c r="AF599" s="131">
        <v>52</v>
      </c>
      <c r="AG599" s="131" t="s">
        <v>940</v>
      </c>
      <c r="AH599" s="131">
        <v>0</v>
      </c>
      <c r="AI599" s="131">
        <v>15</v>
      </c>
      <c r="AJ599" s="131"/>
    </row>
    <row r="600" spans="27:36">
      <c r="AA600" s="131">
        <v>4230</v>
      </c>
      <c r="AB600" s="131" t="s">
        <v>1717</v>
      </c>
      <c r="AC600" s="131" t="s">
        <v>927</v>
      </c>
      <c r="AD600" s="131" t="s">
        <v>927</v>
      </c>
      <c r="AE600" s="131" t="s">
        <v>945</v>
      </c>
      <c r="AF600" s="131">
        <v>75</v>
      </c>
      <c r="AG600" s="131" t="s">
        <v>940</v>
      </c>
      <c r="AH600" s="131">
        <v>0</v>
      </c>
      <c r="AI600" s="131">
        <v>15</v>
      </c>
      <c r="AJ600" s="131"/>
    </row>
    <row r="601" spans="27:36">
      <c r="AA601" s="131">
        <v>4250</v>
      </c>
      <c r="AB601" s="131" t="s">
        <v>1718</v>
      </c>
      <c r="AC601" s="131" t="s">
        <v>927</v>
      </c>
      <c r="AD601" s="131" t="s">
        <v>927</v>
      </c>
      <c r="AE601" s="131" t="s">
        <v>916</v>
      </c>
      <c r="AF601" s="131">
        <v>0</v>
      </c>
      <c r="AG601" s="131"/>
      <c r="AH601" s="131">
        <v>20</v>
      </c>
      <c r="AI601" s="131">
        <v>27</v>
      </c>
      <c r="AJ601" s="131"/>
    </row>
    <row r="602" spans="27:36">
      <c r="AA602" s="131">
        <v>4252</v>
      </c>
      <c r="AB602" s="131" t="s">
        <v>1719</v>
      </c>
      <c r="AC602" s="131" t="s">
        <v>927</v>
      </c>
      <c r="AD602" s="131" t="s">
        <v>927</v>
      </c>
      <c r="AE602" s="131" t="s">
        <v>957</v>
      </c>
      <c r="AF602" s="131">
        <v>0</v>
      </c>
      <c r="AG602" s="131"/>
      <c r="AH602" s="131">
        <v>20</v>
      </c>
      <c r="AI602" s="131">
        <v>27</v>
      </c>
      <c r="AJ602" s="131"/>
    </row>
    <row r="603" spans="27:36">
      <c r="AA603" s="131">
        <v>4253</v>
      </c>
      <c r="AB603" s="131" t="s">
        <v>1720</v>
      </c>
      <c r="AC603" s="131" t="s">
        <v>927</v>
      </c>
      <c r="AD603" s="131" t="s">
        <v>927</v>
      </c>
      <c r="AE603" s="131" t="s">
        <v>957</v>
      </c>
      <c r="AF603" s="131">
        <v>0</v>
      </c>
      <c r="AG603" s="131" t="s">
        <v>940</v>
      </c>
      <c r="AH603" s="131">
        <v>20</v>
      </c>
      <c r="AI603" s="131">
        <v>27</v>
      </c>
      <c r="AJ603" s="131"/>
    </row>
    <row r="604" spans="27:36">
      <c r="AA604" s="131">
        <v>4255</v>
      </c>
      <c r="AB604" s="131" t="s">
        <v>1721</v>
      </c>
      <c r="AC604" s="131" t="s">
        <v>927</v>
      </c>
      <c r="AD604" s="131" t="s">
        <v>927</v>
      </c>
      <c r="AE604" s="131" t="s">
        <v>916</v>
      </c>
      <c r="AF604" s="131">
        <v>0</v>
      </c>
      <c r="AG604" s="131"/>
      <c r="AH604" s="131">
        <v>20</v>
      </c>
      <c r="AI604" s="131">
        <v>28</v>
      </c>
      <c r="AJ604" s="131"/>
    </row>
    <row r="605" spans="27:36">
      <c r="AA605" s="131">
        <v>4260</v>
      </c>
      <c r="AB605" s="131" t="s">
        <v>1722</v>
      </c>
      <c r="AC605" s="131" t="s">
        <v>927</v>
      </c>
      <c r="AD605" s="131" t="s">
        <v>927</v>
      </c>
      <c r="AE605" s="131" t="s">
        <v>916</v>
      </c>
      <c r="AF605" s="131">
        <v>0</v>
      </c>
      <c r="AG605" s="131"/>
      <c r="AH605" s="131">
        <v>20</v>
      </c>
      <c r="AI605" s="131">
        <v>27</v>
      </c>
      <c r="AJ605" s="131"/>
    </row>
    <row r="606" spans="27:36">
      <c r="AA606" s="131">
        <v>4262</v>
      </c>
      <c r="AB606" s="131" t="s">
        <v>1723</v>
      </c>
      <c r="AC606" s="131" t="s">
        <v>927</v>
      </c>
      <c r="AD606" s="131" t="s">
        <v>927</v>
      </c>
      <c r="AE606" s="131" t="s">
        <v>957</v>
      </c>
      <c r="AF606" s="131">
        <v>0</v>
      </c>
      <c r="AG606" s="131"/>
      <c r="AH606" s="131">
        <v>20</v>
      </c>
      <c r="AI606" s="131">
        <v>27</v>
      </c>
      <c r="AJ606" s="131"/>
    </row>
    <row r="607" spans="27:36">
      <c r="AA607" s="131">
        <v>4263</v>
      </c>
      <c r="AB607" s="131" t="s">
        <v>1724</v>
      </c>
      <c r="AC607" s="131" t="s">
        <v>927</v>
      </c>
      <c r="AD607" s="131" t="s">
        <v>927</v>
      </c>
      <c r="AE607" s="131" t="s">
        <v>957</v>
      </c>
      <c r="AF607" s="131">
        <v>0</v>
      </c>
      <c r="AG607" s="131" t="s">
        <v>940</v>
      </c>
      <c r="AH607" s="131">
        <v>20</v>
      </c>
      <c r="AI607" s="131">
        <v>27</v>
      </c>
      <c r="AJ607" s="131"/>
    </row>
    <row r="608" spans="27:36">
      <c r="AA608" s="131">
        <v>4270</v>
      </c>
      <c r="AB608" s="131" t="s">
        <v>1725</v>
      </c>
      <c r="AC608" s="131" t="s">
        <v>927</v>
      </c>
      <c r="AD608" s="131" t="s">
        <v>927</v>
      </c>
      <c r="AE608" s="131" t="s">
        <v>916</v>
      </c>
      <c r="AF608" s="131">
        <v>0</v>
      </c>
      <c r="AG608" s="131"/>
      <c r="AH608" s="131">
        <v>20</v>
      </c>
      <c r="AI608" s="131">
        <v>27</v>
      </c>
      <c r="AJ608" s="131"/>
    </row>
    <row r="609" spans="27:36">
      <c r="AA609" s="131">
        <v>4272</v>
      </c>
      <c r="AB609" s="131" t="s">
        <v>1726</v>
      </c>
      <c r="AC609" s="131" t="s">
        <v>927</v>
      </c>
      <c r="AD609" s="131" t="s">
        <v>927</v>
      </c>
      <c r="AE609" s="131" t="s">
        <v>957</v>
      </c>
      <c r="AF609" s="131">
        <v>0</v>
      </c>
      <c r="AG609" s="131"/>
      <c r="AH609" s="131">
        <v>20</v>
      </c>
      <c r="AI609" s="131">
        <v>27</v>
      </c>
      <c r="AJ609" s="131"/>
    </row>
    <row r="610" spans="27:36">
      <c r="AA610" s="131">
        <v>4273</v>
      </c>
      <c r="AB610" s="131" t="s">
        <v>1727</v>
      </c>
      <c r="AC610" s="131" t="s">
        <v>927</v>
      </c>
      <c r="AD610" s="131" t="s">
        <v>927</v>
      </c>
      <c r="AE610" s="131" t="s">
        <v>957</v>
      </c>
      <c r="AF610" s="131">
        <v>0</v>
      </c>
      <c r="AG610" s="131" t="s">
        <v>940</v>
      </c>
      <c r="AH610" s="131">
        <v>20</v>
      </c>
      <c r="AI610" s="131">
        <v>27</v>
      </c>
      <c r="AJ610" s="131"/>
    </row>
    <row r="611" spans="27:36">
      <c r="AA611" s="131">
        <v>4275</v>
      </c>
      <c r="AB611" s="131" t="s">
        <v>1728</v>
      </c>
      <c r="AC611" s="131" t="s">
        <v>927</v>
      </c>
      <c r="AD611" s="131" t="s">
        <v>927</v>
      </c>
      <c r="AE611" s="131" t="s">
        <v>957</v>
      </c>
      <c r="AF611" s="131">
        <v>0</v>
      </c>
      <c r="AG611" s="131"/>
      <c r="AH611" s="131">
        <v>20</v>
      </c>
      <c r="AI611" s="131">
        <v>27</v>
      </c>
      <c r="AJ611" s="131"/>
    </row>
    <row r="612" spans="27:36">
      <c r="AA612" s="131">
        <v>4276</v>
      </c>
      <c r="AB612" s="131" t="s">
        <v>1729</v>
      </c>
      <c r="AC612" s="131" t="s">
        <v>927</v>
      </c>
      <c r="AD612" s="131" t="s">
        <v>927</v>
      </c>
      <c r="AE612" s="131" t="s">
        <v>957</v>
      </c>
      <c r="AF612" s="131">
        <v>0</v>
      </c>
      <c r="AG612" s="131"/>
      <c r="AH612" s="131">
        <v>20</v>
      </c>
      <c r="AI612" s="131">
        <v>27</v>
      </c>
      <c r="AJ612" s="131"/>
    </row>
    <row r="613" spans="27:36">
      <c r="AA613" s="131">
        <v>4277</v>
      </c>
      <c r="AB613" s="131" t="s">
        <v>1730</v>
      </c>
      <c r="AC613" s="131" t="s">
        <v>927</v>
      </c>
      <c r="AD613" s="131" t="s">
        <v>927</v>
      </c>
      <c r="AE613" s="131" t="s">
        <v>957</v>
      </c>
      <c r="AF613" s="131">
        <v>0</v>
      </c>
      <c r="AG613" s="131" t="s">
        <v>940</v>
      </c>
      <c r="AH613" s="131">
        <v>0</v>
      </c>
      <c r="AI613" s="131">
        <v>27</v>
      </c>
      <c r="AJ613" s="131"/>
    </row>
    <row r="614" spans="27:36">
      <c r="AA614" s="131">
        <v>4278</v>
      </c>
      <c r="AB614" s="131" t="s">
        <v>1731</v>
      </c>
      <c r="AC614" s="131" t="s">
        <v>927</v>
      </c>
      <c r="AD614" s="131" t="s">
        <v>927</v>
      </c>
      <c r="AE614" s="131" t="s">
        <v>957</v>
      </c>
      <c r="AF614" s="131">
        <v>0</v>
      </c>
      <c r="AG614" s="131"/>
      <c r="AH614" s="131">
        <v>20</v>
      </c>
      <c r="AI614" s="131">
        <v>27</v>
      </c>
      <c r="AJ614" s="131"/>
    </row>
    <row r="615" spans="27:36">
      <c r="AA615" s="131">
        <v>4279</v>
      </c>
      <c r="AB615" s="131" t="s">
        <v>1732</v>
      </c>
      <c r="AC615" s="131" t="s">
        <v>927</v>
      </c>
      <c r="AD615" s="131" t="s">
        <v>927</v>
      </c>
      <c r="AE615" s="131" t="s">
        <v>957</v>
      </c>
      <c r="AF615" s="131">
        <v>0</v>
      </c>
      <c r="AG615" s="131" t="s">
        <v>940</v>
      </c>
      <c r="AH615" s="131">
        <v>0</v>
      </c>
      <c r="AI615" s="131">
        <v>27</v>
      </c>
      <c r="AJ615" s="131"/>
    </row>
    <row r="616" spans="27:36">
      <c r="AA616" s="131">
        <v>4280</v>
      </c>
      <c r="AB616" s="131" t="s">
        <v>1733</v>
      </c>
      <c r="AC616" s="131" t="s">
        <v>927</v>
      </c>
      <c r="AD616" s="131" t="s">
        <v>927</v>
      </c>
      <c r="AE616" s="131" t="s">
        <v>957</v>
      </c>
      <c r="AF616" s="131">
        <v>0</v>
      </c>
      <c r="AG616" s="131"/>
      <c r="AH616" s="131">
        <v>20</v>
      </c>
      <c r="AI616" s="131">
        <v>27</v>
      </c>
      <c r="AJ616" s="131"/>
    </row>
    <row r="617" spans="27:36">
      <c r="AA617" s="131">
        <v>4281</v>
      </c>
      <c r="AB617" s="131" t="s">
        <v>1734</v>
      </c>
      <c r="AC617" s="131" t="s">
        <v>927</v>
      </c>
      <c r="AD617" s="131" t="s">
        <v>927</v>
      </c>
      <c r="AE617" s="131" t="s">
        <v>957</v>
      </c>
      <c r="AF617" s="131">
        <v>0</v>
      </c>
      <c r="AG617" s="131"/>
      <c r="AH617" s="131">
        <v>20</v>
      </c>
      <c r="AI617" s="131">
        <v>27</v>
      </c>
      <c r="AJ617" s="131"/>
    </row>
    <row r="618" spans="27:36">
      <c r="AA618" s="131">
        <v>4285</v>
      </c>
      <c r="AB618" s="131" t="s">
        <v>1735</v>
      </c>
      <c r="AC618" s="131" t="s">
        <v>927</v>
      </c>
      <c r="AD618" s="131" t="s">
        <v>927</v>
      </c>
      <c r="AE618" s="131" t="s">
        <v>957</v>
      </c>
      <c r="AF618" s="131">
        <v>0</v>
      </c>
      <c r="AG618" s="131"/>
      <c r="AH618" s="131">
        <v>20</v>
      </c>
      <c r="AI618" s="131">
        <v>27</v>
      </c>
      <c r="AJ618" s="131"/>
    </row>
    <row r="619" spans="27:36">
      <c r="AA619" s="131">
        <v>4286</v>
      </c>
      <c r="AB619" s="131" t="s">
        <v>1736</v>
      </c>
      <c r="AC619" s="131" t="s">
        <v>927</v>
      </c>
      <c r="AD619" s="131" t="s">
        <v>927</v>
      </c>
      <c r="AE619" s="131" t="s">
        <v>957</v>
      </c>
      <c r="AF619" s="131">
        <v>0</v>
      </c>
      <c r="AG619" s="131"/>
      <c r="AH619" s="131">
        <v>20</v>
      </c>
      <c r="AI619" s="131">
        <v>27</v>
      </c>
      <c r="AJ619" s="131"/>
    </row>
    <row r="620" spans="27:36">
      <c r="AA620" s="131">
        <v>4290</v>
      </c>
      <c r="AB620" s="131" t="s">
        <v>1737</v>
      </c>
      <c r="AC620" s="131" t="s">
        <v>927</v>
      </c>
      <c r="AD620" s="131" t="s">
        <v>927</v>
      </c>
      <c r="AE620" s="131" t="s">
        <v>957</v>
      </c>
      <c r="AF620" s="131">
        <v>0</v>
      </c>
      <c r="AG620" s="131"/>
      <c r="AH620" s="131">
        <v>20</v>
      </c>
      <c r="AI620" s="131">
        <v>27</v>
      </c>
      <c r="AJ620" s="131"/>
    </row>
    <row r="621" spans="27:36">
      <c r="AA621" s="131">
        <v>4291</v>
      </c>
      <c r="AB621" s="131" t="s">
        <v>1738</v>
      </c>
      <c r="AC621" s="131" t="s">
        <v>927</v>
      </c>
      <c r="AD621" s="131" t="s">
        <v>927</v>
      </c>
      <c r="AE621" s="131" t="s">
        <v>957</v>
      </c>
      <c r="AF621" s="131">
        <v>0</v>
      </c>
      <c r="AG621" s="131"/>
      <c r="AH621" s="131">
        <v>20</v>
      </c>
      <c r="AI621" s="131">
        <v>27</v>
      </c>
      <c r="AJ621" s="131"/>
    </row>
    <row r="622" spans="27:36">
      <c r="AA622" s="131">
        <v>4293</v>
      </c>
      <c r="AB622" s="131" t="s">
        <v>1739</v>
      </c>
      <c r="AC622" s="131" t="s">
        <v>927</v>
      </c>
      <c r="AD622" s="131" t="s">
        <v>927</v>
      </c>
      <c r="AE622" s="131" t="s">
        <v>957</v>
      </c>
      <c r="AF622" s="131">
        <v>0</v>
      </c>
      <c r="AG622" s="131"/>
      <c r="AH622" s="131">
        <v>20</v>
      </c>
      <c r="AI622" s="131">
        <v>27</v>
      </c>
      <c r="AJ622" s="131"/>
    </row>
    <row r="623" spans="27:36">
      <c r="AA623" s="131">
        <v>4294</v>
      </c>
      <c r="AB623" s="131" t="s">
        <v>1740</v>
      </c>
      <c r="AC623" s="131" t="s">
        <v>927</v>
      </c>
      <c r="AD623" s="131" t="s">
        <v>927</v>
      </c>
      <c r="AE623" s="131" t="s">
        <v>957</v>
      </c>
      <c r="AF623" s="131">
        <v>0</v>
      </c>
      <c r="AG623" s="131"/>
      <c r="AH623" s="131">
        <v>20</v>
      </c>
      <c r="AI623" s="131">
        <v>27</v>
      </c>
      <c r="AJ623" s="131"/>
    </row>
    <row r="624" spans="27:36">
      <c r="AA624" s="131">
        <v>4296</v>
      </c>
      <c r="AB624" s="131" t="s">
        <v>1741</v>
      </c>
      <c r="AC624" s="131" t="s">
        <v>927</v>
      </c>
      <c r="AD624" s="131" t="s">
        <v>927</v>
      </c>
      <c r="AE624" s="131" t="s">
        <v>957</v>
      </c>
      <c r="AF624" s="131">
        <v>0</v>
      </c>
      <c r="AG624" s="131"/>
      <c r="AH624" s="131">
        <v>20</v>
      </c>
      <c r="AI624" s="131">
        <v>27</v>
      </c>
      <c r="AJ624" s="131"/>
    </row>
    <row r="625" spans="27:36">
      <c r="AA625" s="131">
        <v>4297</v>
      </c>
      <c r="AB625" s="131" t="s">
        <v>1742</v>
      </c>
      <c r="AC625" s="131" t="s">
        <v>927</v>
      </c>
      <c r="AD625" s="131" t="s">
        <v>927</v>
      </c>
      <c r="AE625" s="131" t="s">
        <v>957</v>
      </c>
      <c r="AF625" s="131">
        <v>0</v>
      </c>
      <c r="AG625" s="131"/>
      <c r="AH625" s="131">
        <v>20</v>
      </c>
      <c r="AI625" s="131">
        <v>27</v>
      </c>
      <c r="AJ625" s="131"/>
    </row>
    <row r="626" spans="27:36">
      <c r="AA626" s="131">
        <v>4500</v>
      </c>
      <c r="AB626" s="131" t="s">
        <v>1743</v>
      </c>
      <c r="AC626" s="131" t="s">
        <v>1744</v>
      </c>
      <c r="AD626" s="131" t="s">
        <v>1745</v>
      </c>
      <c r="AE626" s="131" t="s">
        <v>916</v>
      </c>
      <c r="AF626" s="131">
        <v>50</v>
      </c>
      <c r="AG626" s="131"/>
      <c r="AH626" s="131">
        <v>20</v>
      </c>
      <c r="AI626" s="131">
        <v>28</v>
      </c>
      <c r="AJ626" s="131"/>
    </row>
    <row r="627" spans="27:36">
      <c r="AA627" s="131">
        <v>4502</v>
      </c>
      <c r="AB627" s="131" t="s">
        <v>1746</v>
      </c>
      <c r="AC627" s="131" t="s">
        <v>927</v>
      </c>
      <c r="AD627" s="131" t="s">
        <v>927</v>
      </c>
      <c r="AE627" s="131" t="s">
        <v>957</v>
      </c>
      <c r="AF627" s="131">
        <v>0</v>
      </c>
      <c r="AG627" s="131"/>
      <c r="AH627" s="131">
        <v>20</v>
      </c>
      <c r="AI627" s="131">
        <v>27</v>
      </c>
      <c r="AJ627" s="131"/>
    </row>
    <row r="628" spans="27:36">
      <c r="AA628" s="131">
        <v>4503</v>
      </c>
      <c r="AB628" s="131" t="s">
        <v>1747</v>
      </c>
      <c r="AC628" s="131" t="s">
        <v>927</v>
      </c>
      <c r="AD628" s="131" t="s">
        <v>927</v>
      </c>
      <c r="AE628" s="131" t="s">
        <v>916</v>
      </c>
      <c r="AF628" s="131">
        <v>0</v>
      </c>
      <c r="AG628" s="131"/>
      <c r="AH628" s="131">
        <v>20</v>
      </c>
      <c r="AI628" s="131">
        <v>27</v>
      </c>
      <c r="AJ628" s="131"/>
    </row>
    <row r="629" spans="27:36">
      <c r="AA629" s="131">
        <v>4510</v>
      </c>
      <c r="AB629" s="131" t="s">
        <v>1748</v>
      </c>
      <c r="AC629" s="131" t="s">
        <v>1749</v>
      </c>
      <c r="AD629" s="131" t="s">
        <v>1750</v>
      </c>
      <c r="AE629" s="131" t="s">
        <v>916</v>
      </c>
      <c r="AF629" s="131">
        <v>52</v>
      </c>
      <c r="AG629" s="131"/>
      <c r="AH629" s="131">
        <v>20</v>
      </c>
      <c r="AI629" s="131">
        <v>15</v>
      </c>
      <c r="AJ629" s="131"/>
    </row>
    <row r="630" spans="27:36">
      <c r="AA630" s="131">
        <v>4511</v>
      </c>
      <c r="AB630" s="131" t="s">
        <v>1751</v>
      </c>
      <c r="AC630" s="131" t="s">
        <v>927</v>
      </c>
      <c r="AD630" s="131" t="s">
        <v>927</v>
      </c>
      <c r="AE630" s="131" t="s">
        <v>916</v>
      </c>
      <c r="AF630" s="131">
        <v>52</v>
      </c>
      <c r="AG630" s="131" t="s">
        <v>940</v>
      </c>
      <c r="AH630" s="131">
        <v>0</v>
      </c>
      <c r="AI630" s="131">
        <v>15</v>
      </c>
      <c r="AJ630" s="131"/>
    </row>
    <row r="631" spans="27:36">
      <c r="AA631" s="131">
        <v>4520</v>
      </c>
      <c r="AB631" s="131" t="s">
        <v>1752</v>
      </c>
      <c r="AC631" s="131" t="s">
        <v>1753</v>
      </c>
      <c r="AD631" s="131" t="s">
        <v>1754</v>
      </c>
      <c r="AE631" s="131" t="s">
        <v>916</v>
      </c>
      <c r="AF631" s="131">
        <v>52</v>
      </c>
      <c r="AG631" s="131"/>
      <c r="AH631" s="131">
        <v>20</v>
      </c>
      <c r="AI631" s="131">
        <v>15</v>
      </c>
      <c r="AJ631" s="131"/>
    </row>
    <row r="632" spans="27:36">
      <c r="AA632" s="131">
        <v>4521</v>
      </c>
      <c r="AB632" s="131" t="s">
        <v>1755</v>
      </c>
      <c r="AC632" s="131" t="s">
        <v>927</v>
      </c>
      <c r="AD632" s="131" t="s">
        <v>927</v>
      </c>
      <c r="AE632" s="131" t="s">
        <v>916</v>
      </c>
      <c r="AF632" s="131">
        <v>52</v>
      </c>
      <c r="AG632" s="131" t="s">
        <v>940</v>
      </c>
      <c r="AH632" s="131">
        <v>0</v>
      </c>
      <c r="AI632" s="131">
        <v>15</v>
      </c>
      <c r="AJ632" s="131"/>
    </row>
    <row r="633" spans="27:36">
      <c r="AA633" s="131">
        <v>4530</v>
      </c>
      <c r="AB633" s="131" t="s">
        <v>1756</v>
      </c>
      <c r="AC633" s="131" t="s">
        <v>1757</v>
      </c>
      <c r="AD633" s="131" t="s">
        <v>1758</v>
      </c>
      <c r="AE633" s="131" t="s">
        <v>916</v>
      </c>
      <c r="AF633" s="131">
        <v>52</v>
      </c>
      <c r="AG633" s="131"/>
      <c r="AH633" s="131">
        <v>20</v>
      </c>
      <c r="AI633" s="131">
        <v>15</v>
      </c>
      <c r="AJ633" s="131"/>
    </row>
    <row r="634" spans="27:36">
      <c r="AA634" s="131">
        <v>4531</v>
      </c>
      <c r="AB634" s="131" t="s">
        <v>1759</v>
      </c>
      <c r="AC634" s="131" t="s">
        <v>927</v>
      </c>
      <c r="AD634" s="131" t="s">
        <v>927</v>
      </c>
      <c r="AE634" s="131" t="s">
        <v>916</v>
      </c>
      <c r="AF634" s="131">
        <v>52</v>
      </c>
      <c r="AG634" s="131" t="s">
        <v>940</v>
      </c>
      <c r="AH634" s="131">
        <v>0</v>
      </c>
      <c r="AI634" s="131">
        <v>15</v>
      </c>
      <c r="AJ634" s="131"/>
    </row>
    <row r="635" spans="27:36">
      <c r="AA635" s="131">
        <v>4535</v>
      </c>
      <c r="AB635" s="131" t="s">
        <v>1760</v>
      </c>
      <c r="AC635" s="131" t="s">
        <v>927</v>
      </c>
      <c r="AD635" s="131" t="s">
        <v>927</v>
      </c>
      <c r="AE635" s="131" t="s">
        <v>945</v>
      </c>
      <c r="AF635" s="131">
        <v>52</v>
      </c>
      <c r="AG635" s="131" t="s">
        <v>940</v>
      </c>
      <c r="AH635" s="131">
        <v>0</v>
      </c>
      <c r="AI635" s="131">
        <v>15</v>
      </c>
      <c r="AJ635" s="131"/>
    </row>
    <row r="636" spans="27:36">
      <c r="AA636" s="131">
        <v>4540</v>
      </c>
      <c r="AB636" s="131" t="s">
        <v>1761</v>
      </c>
      <c r="AC636" s="131" t="s">
        <v>1762</v>
      </c>
      <c r="AD636" s="131" t="s">
        <v>1763</v>
      </c>
      <c r="AE636" s="131" t="s">
        <v>916</v>
      </c>
      <c r="AF636" s="131">
        <v>52</v>
      </c>
      <c r="AG636" s="131"/>
      <c r="AH636" s="131">
        <v>20</v>
      </c>
      <c r="AI636" s="131">
        <v>15</v>
      </c>
      <c r="AJ636" s="131"/>
    </row>
    <row r="637" spans="27:36">
      <c r="AA637" s="131">
        <v>4541</v>
      </c>
      <c r="AB637" s="131" t="s">
        <v>1764</v>
      </c>
      <c r="AC637" s="131" t="s">
        <v>927</v>
      </c>
      <c r="AD637" s="131" t="s">
        <v>927</v>
      </c>
      <c r="AE637" s="131" t="s">
        <v>916</v>
      </c>
      <c r="AF637" s="131">
        <v>52</v>
      </c>
      <c r="AG637" s="131" t="s">
        <v>940</v>
      </c>
      <c r="AH637" s="131">
        <v>0</v>
      </c>
      <c r="AI637" s="131">
        <v>15</v>
      </c>
      <c r="AJ637" s="131"/>
    </row>
    <row r="638" spans="27:36">
      <c r="AA638" s="131">
        <v>4545</v>
      </c>
      <c r="AB638" s="131" t="s">
        <v>1765</v>
      </c>
      <c r="AC638" s="131" t="s">
        <v>927</v>
      </c>
      <c r="AD638" s="131" t="s">
        <v>927</v>
      </c>
      <c r="AE638" s="131" t="s">
        <v>945</v>
      </c>
      <c r="AF638" s="131">
        <v>52</v>
      </c>
      <c r="AG638" s="131" t="s">
        <v>940</v>
      </c>
      <c r="AH638" s="131">
        <v>0</v>
      </c>
      <c r="AI638" s="131">
        <v>15</v>
      </c>
      <c r="AJ638" s="131"/>
    </row>
    <row r="639" spans="27:36">
      <c r="AA639" s="131">
        <v>4555</v>
      </c>
      <c r="AB639" s="131" t="s">
        <v>1766</v>
      </c>
      <c r="AC639" s="131" t="s">
        <v>927</v>
      </c>
      <c r="AD639" s="131" t="s">
        <v>927</v>
      </c>
      <c r="AE639" s="131" t="s">
        <v>945</v>
      </c>
      <c r="AF639" s="131">
        <v>52</v>
      </c>
      <c r="AG639" s="131" t="s">
        <v>940</v>
      </c>
      <c r="AH639" s="131">
        <v>20</v>
      </c>
      <c r="AI639" s="131">
        <v>21</v>
      </c>
      <c r="AJ639" s="131"/>
    </row>
    <row r="640" spans="27:36">
      <c r="AA640" s="131">
        <v>4565</v>
      </c>
      <c r="AB640" s="131" t="s">
        <v>1767</v>
      </c>
      <c r="AC640" s="131" t="s">
        <v>927</v>
      </c>
      <c r="AD640" s="131" t="s">
        <v>927</v>
      </c>
      <c r="AE640" s="131" t="s">
        <v>945</v>
      </c>
      <c r="AF640" s="131">
        <v>52</v>
      </c>
      <c r="AG640" s="131" t="s">
        <v>940</v>
      </c>
      <c r="AH640" s="131">
        <v>0</v>
      </c>
      <c r="AI640" s="131">
        <v>21</v>
      </c>
      <c r="AJ640" s="131"/>
    </row>
    <row r="641" spans="27:36">
      <c r="AA641" s="131">
        <v>4582</v>
      </c>
      <c r="AB641" s="131" t="s">
        <v>1768</v>
      </c>
      <c r="AC641" s="131" t="s">
        <v>927</v>
      </c>
      <c r="AD641" s="131" t="s">
        <v>927</v>
      </c>
      <c r="AE641" s="131" t="s">
        <v>945</v>
      </c>
      <c r="AF641" s="131">
        <v>52</v>
      </c>
      <c r="AG641" s="131"/>
      <c r="AH641" s="131">
        <v>0</v>
      </c>
      <c r="AI641" s="131">
        <v>21</v>
      </c>
      <c r="AJ641" s="131"/>
    </row>
    <row r="642" spans="27:36">
      <c r="AA642" s="131">
        <v>4583</v>
      </c>
      <c r="AB642" s="131" t="s">
        <v>1769</v>
      </c>
      <c r="AC642" s="131" t="s">
        <v>927</v>
      </c>
      <c r="AD642" s="131" t="s">
        <v>927</v>
      </c>
      <c r="AE642" s="131" t="s">
        <v>945</v>
      </c>
      <c r="AF642" s="131">
        <v>52</v>
      </c>
      <c r="AG642" s="131"/>
      <c r="AH642" s="131">
        <v>0</v>
      </c>
      <c r="AI642" s="131">
        <v>21</v>
      </c>
      <c r="AJ642" s="131"/>
    </row>
    <row r="643" spans="27:36">
      <c r="AA643" s="131">
        <v>4584</v>
      </c>
      <c r="AB643" s="131" t="s">
        <v>1770</v>
      </c>
      <c r="AC643" s="131" t="s">
        <v>927</v>
      </c>
      <c r="AD643" s="131" t="s">
        <v>927</v>
      </c>
      <c r="AE643" s="131" t="s">
        <v>945</v>
      </c>
      <c r="AF643" s="131">
        <v>52</v>
      </c>
      <c r="AG643" s="131" t="s">
        <v>940</v>
      </c>
      <c r="AH643" s="131">
        <v>0</v>
      </c>
      <c r="AI643" s="131">
        <v>21</v>
      </c>
      <c r="AJ643" s="131"/>
    </row>
    <row r="644" spans="27:36">
      <c r="AA644" s="131">
        <v>4585</v>
      </c>
      <c r="AB644" s="131" t="s">
        <v>1771</v>
      </c>
      <c r="AC644" s="131" t="s">
        <v>927</v>
      </c>
      <c r="AD644" s="131" t="s">
        <v>927</v>
      </c>
      <c r="AE644" s="131" t="s">
        <v>945</v>
      </c>
      <c r="AF644" s="131">
        <v>52</v>
      </c>
      <c r="AG644" s="131" t="s">
        <v>940</v>
      </c>
      <c r="AH644" s="131">
        <v>20</v>
      </c>
      <c r="AI644" s="131">
        <v>21</v>
      </c>
      <c r="AJ644" s="131"/>
    </row>
    <row r="645" spans="27:36">
      <c r="AA645" s="131">
        <v>4587</v>
      </c>
      <c r="AB645" s="131" t="s">
        <v>1772</v>
      </c>
      <c r="AC645" s="131" t="s">
        <v>927</v>
      </c>
      <c r="AD645" s="131" t="s">
        <v>927</v>
      </c>
      <c r="AE645" s="131" t="s">
        <v>945</v>
      </c>
      <c r="AF645" s="131">
        <v>52</v>
      </c>
      <c r="AG645" s="131" t="s">
        <v>940</v>
      </c>
      <c r="AH645" s="131">
        <v>20</v>
      </c>
      <c r="AI645" s="131">
        <v>21</v>
      </c>
      <c r="AJ645" s="131"/>
    </row>
    <row r="646" spans="27:36">
      <c r="AA646" s="131">
        <v>4588</v>
      </c>
      <c r="AB646" s="131" t="s">
        <v>1773</v>
      </c>
      <c r="AC646" s="131" t="s">
        <v>927</v>
      </c>
      <c r="AD646" s="131" t="s">
        <v>927</v>
      </c>
      <c r="AE646" s="131" t="s">
        <v>945</v>
      </c>
      <c r="AF646" s="131">
        <v>52</v>
      </c>
      <c r="AG646" s="131"/>
      <c r="AH646" s="131">
        <v>20</v>
      </c>
      <c r="AI646" s="131">
        <v>21</v>
      </c>
      <c r="AJ646" s="131"/>
    </row>
    <row r="647" spans="27:36">
      <c r="AA647" s="131">
        <v>4589</v>
      </c>
      <c r="AB647" s="131" t="s">
        <v>1774</v>
      </c>
      <c r="AC647" s="131" t="s">
        <v>927</v>
      </c>
      <c r="AD647" s="131" t="s">
        <v>927</v>
      </c>
      <c r="AE647" s="131" t="s">
        <v>945</v>
      </c>
      <c r="AF647" s="131">
        <v>52</v>
      </c>
      <c r="AG647" s="131" t="s">
        <v>940</v>
      </c>
      <c r="AH647" s="131">
        <v>20</v>
      </c>
      <c r="AI647" s="131">
        <v>21</v>
      </c>
      <c r="AJ647" s="131"/>
    </row>
    <row r="648" spans="27:36">
      <c r="AA648" s="131">
        <v>4600</v>
      </c>
      <c r="AB648" s="131" t="s">
        <v>1775</v>
      </c>
      <c r="AC648" s="131" t="s">
        <v>927</v>
      </c>
      <c r="AD648" s="131" t="s">
        <v>927</v>
      </c>
      <c r="AE648" s="131" t="s">
        <v>957</v>
      </c>
      <c r="AF648" s="131">
        <v>0</v>
      </c>
      <c r="AG648" s="131" t="s">
        <v>940</v>
      </c>
      <c r="AH648" s="131">
        <v>20</v>
      </c>
      <c r="AI648" s="131">
        <v>27</v>
      </c>
      <c r="AJ648" s="131"/>
    </row>
    <row r="649" spans="27:36">
      <c r="AA649" s="131">
        <v>4603</v>
      </c>
      <c r="AB649" s="131" t="s">
        <v>1776</v>
      </c>
      <c r="AC649" s="131" t="s">
        <v>927</v>
      </c>
      <c r="AD649" s="131" t="s">
        <v>927</v>
      </c>
      <c r="AE649" s="131" t="s">
        <v>957</v>
      </c>
      <c r="AF649" s="131">
        <v>0</v>
      </c>
      <c r="AG649" s="131"/>
      <c r="AH649" s="131">
        <v>20</v>
      </c>
      <c r="AI649" s="131">
        <v>27</v>
      </c>
      <c r="AJ649" s="131"/>
    </row>
    <row r="650" spans="27:36">
      <c r="AA650" s="131">
        <v>4604</v>
      </c>
      <c r="AB650" s="131" t="s">
        <v>1777</v>
      </c>
      <c r="AC650" s="131" t="s">
        <v>927</v>
      </c>
      <c r="AD650" s="131" t="s">
        <v>927</v>
      </c>
      <c r="AE650" s="131" t="s">
        <v>957</v>
      </c>
      <c r="AF650" s="131">
        <v>0</v>
      </c>
      <c r="AG650" s="131"/>
      <c r="AH650" s="131">
        <v>30</v>
      </c>
      <c r="AI650" s="131">
        <v>27</v>
      </c>
      <c r="AJ650" s="131"/>
    </row>
    <row r="651" spans="27:36">
      <c r="AA651" s="131">
        <v>4605</v>
      </c>
      <c r="AB651" s="131" t="s">
        <v>1778</v>
      </c>
      <c r="AC651" s="131" t="s">
        <v>927</v>
      </c>
      <c r="AD651" s="131" t="s">
        <v>927</v>
      </c>
      <c r="AE651" s="131" t="s">
        <v>957</v>
      </c>
      <c r="AF651" s="131">
        <v>0</v>
      </c>
      <c r="AG651" s="131" t="s">
        <v>940</v>
      </c>
      <c r="AH651" s="131">
        <v>20</v>
      </c>
      <c r="AI651" s="131">
        <v>27</v>
      </c>
      <c r="AJ651" s="131"/>
    </row>
    <row r="652" spans="27:36">
      <c r="AA652" s="131">
        <v>4607</v>
      </c>
      <c r="AB652" s="131" t="s">
        <v>1779</v>
      </c>
      <c r="AC652" s="131" t="s">
        <v>927</v>
      </c>
      <c r="AD652" s="131" t="s">
        <v>927</v>
      </c>
      <c r="AE652" s="131" t="s">
        <v>957</v>
      </c>
      <c r="AF652" s="131">
        <v>0</v>
      </c>
      <c r="AG652" s="131"/>
      <c r="AH652" s="131">
        <v>0</v>
      </c>
      <c r="AI652" s="131">
        <v>27</v>
      </c>
      <c r="AJ652" s="131"/>
    </row>
    <row r="653" spans="27:36">
      <c r="AA653" s="131">
        <v>4608</v>
      </c>
      <c r="AB653" s="131" t="s">
        <v>1780</v>
      </c>
      <c r="AC653" s="131" t="s">
        <v>927</v>
      </c>
      <c r="AD653" s="131" t="s">
        <v>927</v>
      </c>
      <c r="AE653" s="131" t="s">
        <v>957</v>
      </c>
      <c r="AF653" s="131">
        <v>0</v>
      </c>
      <c r="AG653" s="131"/>
      <c r="AH653" s="131">
        <v>20</v>
      </c>
      <c r="AI653" s="131">
        <v>27</v>
      </c>
      <c r="AJ653" s="131"/>
    </row>
    <row r="654" spans="27:36">
      <c r="AA654" s="131">
        <v>4609</v>
      </c>
      <c r="AB654" s="131" t="s">
        <v>1781</v>
      </c>
      <c r="AC654" s="131" t="s">
        <v>927</v>
      </c>
      <c r="AD654" s="131" t="s">
        <v>927</v>
      </c>
      <c r="AE654" s="131" t="s">
        <v>945</v>
      </c>
      <c r="AF654" s="131">
        <v>52</v>
      </c>
      <c r="AG654" s="131" t="s">
        <v>940</v>
      </c>
      <c r="AH654" s="131">
        <v>20</v>
      </c>
      <c r="AI654" s="131">
        <v>22</v>
      </c>
      <c r="AJ654" s="131"/>
    </row>
    <row r="655" spans="27:36">
      <c r="AA655" s="131">
        <v>4611</v>
      </c>
      <c r="AB655" s="131" t="s">
        <v>1782</v>
      </c>
      <c r="AC655" s="131" t="s">
        <v>927</v>
      </c>
      <c r="AD655" s="131" t="s">
        <v>927</v>
      </c>
      <c r="AE655" s="131" t="s">
        <v>957</v>
      </c>
      <c r="AF655" s="131">
        <v>0</v>
      </c>
      <c r="AG655" s="131" t="s">
        <v>940</v>
      </c>
      <c r="AH655" s="131">
        <v>20</v>
      </c>
      <c r="AI655" s="131">
        <v>27</v>
      </c>
      <c r="AJ655" s="131"/>
    </row>
    <row r="656" spans="27:36">
      <c r="AA656" s="131">
        <v>4620</v>
      </c>
      <c r="AB656" s="131" t="s">
        <v>1783</v>
      </c>
      <c r="AC656" s="131" t="s">
        <v>927</v>
      </c>
      <c r="AD656" s="131" t="s">
        <v>927</v>
      </c>
      <c r="AE656" s="131" t="s">
        <v>916</v>
      </c>
      <c r="AF656" s="131">
        <v>0</v>
      </c>
      <c r="AG656" s="131"/>
      <c r="AH656" s="131">
        <v>20</v>
      </c>
      <c r="AI656" s="131">
        <v>27</v>
      </c>
      <c r="AJ656" s="131"/>
    </row>
    <row r="657" spans="27:36">
      <c r="AA657" s="131">
        <v>4645</v>
      </c>
      <c r="AB657" s="131" t="s">
        <v>1784</v>
      </c>
      <c r="AC657" s="131" t="s">
        <v>927</v>
      </c>
      <c r="AD657" s="131" t="s">
        <v>927</v>
      </c>
      <c r="AE657" s="131" t="s">
        <v>945</v>
      </c>
      <c r="AF657" s="131">
        <v>52</v>
      </c>
      <c r="AG657" s="131" t="s">
        <v>940</v>
      </c>
      <c r="AH657" s="131">
        <v>20</v>
      </c>
      <c r="AI657" s="131">
        <v>21</v>
      </c>
      <c r="AJ657" s="131"/>
    </row>
    <row r="658" spans="27:36">
      <c r="AA658" s="131">
        <v>4647</v>
      </c>
      <c r="AB658" s="131" t="s">
        <v>1785</v>
      </c>
      <c r="AC658" s="131" t="s">
        <v>927</v>
      </c>
      <c r="AD658" s="131" t="s">
        <v>927</v>
      </c>
      <c r="AE658" s="131" t="s">
        <v>945</v>
      </c>
      <c r="AF658" s="131">
        <v>52</v>
      </c>
      <c r="AG658" s="131" t="s">
        <v>940</v>
      </c>
      <c r="AH658" s="131">
        <v>20</v>
      </c>
      <c r="AI658" s="131">
        <v>21</v>
      </c>
      <c r="AJ658" s="131"/>
    </row>
    <row r="659" spans="27:36">
      <c r="AA659" s="131">
        <v>4700</v>
      </c>
      <c r="AB659" s="131" t="s">
        <v>1786</v>
      </c>
      <c r="AC659" s="131" t="s">
        <v>927</v>
      </c>
      <c r="AD659" s="131" t="s">
        <v>927</v>
      </c>
      <c r="AE659" s="131" t="s">
        <v>957</v>
      </c>
      <c r="AF659" s="131">
        <v>0</v>
      </c>
      <c r="AG659" s="131" t="s">
        <v>940</v>
      </c>
      <c r="AH659" s="131">
        <v>20</v>
      </c>
      <c r="AI659" s="131">
        <v>27</v>
      </c>
      <c r="AJ659" s="131"/>
    </row>
    <row r="660" spans="27:36">
      <c r="AA660" s="131">
        <v>4710</v>
      </c>
      <c r="AB660" s="131" t="s">
        <v>1787</v>
      </c>
      <c r="AC660" s="131" t="s">
        <v>927</v>
      </c>
      <c r="AD660" s="131" t="s">
        <v>927</v>
      </c>
      <c r="AE660" s="131" t="s">
        <v>916</v>
      </c>
      <c r="AF660" s="131">
        <v>0</v>
      </c>
      <c r="AG660" s="131"/>
      <c r="AH660" s="131">
        <v>20</v>
      </c>
      <c r="AI660" s="131">
        <v>27</v>
      </c>
      <c r="AJ660" s="131"/>
    </row>
    <row r="661" spans="27:36">
      <c r="AA661" s="131">
        <v>4720</v>
      </c>
      <c r="AB661" s="131" t="s">
        <v>1788</v>
      </c>
      <c r="AC661" s="131" t="s">
        <v>927</v>
      </c>
      <c r="AD661" s="131" t="s">
        <v>927</v>
      </c>
      <c r="AE661" s="131" t="s">
        <v>957</v>
      </c>
      <c r="AF661" s="131">
        <v>0</v>
      </c>
      <c r="AG661" s="131" t="s">
        <v>940</v>
      </c>
      <c r="AH661" s="131">
        <v>20</v>
      </c>
      <c r="AI661" s="131">
        <v>27</v>
      </c>
      <c r="AJ661" s="131"/>
    </row>
    <row r="662" spans="27:36">
      <c r="AA662" s="131">
        <v>4730</v>
      </c>
      <c r="AB662" s="131" t="s">
        <v>1789</v>
      </c>
      <c r="AC662" s="131" t="s">
        <v>927</v>
      </c>
      <c r="AD662" s="131" t="s">
        <v>927</v>
      </c>
      <c r="AE662" s="131" t="s">
        <v>916</v>
      </c>
      <c r="AF662" s="131">
        <v>0</v>
      </c>
      <c r="AG662" s="131"/>
      <c r="AH662" s="131">
        <v>20</v>
      </c>
      <c r="AI662" s="131">
        <v>28</v>
      </c>
      <c r="AJ662" s="131"/>
    </row>
    <row r="663" spans="27:36">
      <c r="AA663" s="131">
        <v>4800</v>
      </c>
      <c r="AB663" s="131" t="s">
        <v>1790</v>
      </c>
      <c r="AC663" s="131" t="s">
        <v>927</v>
      </c>
      <c r="AD663" s="131" t="s">
        <v>927</v>
      </c>
      <c r="AE663" s="131" t="s">
        <v>957</v>
      </c>
      <c r="AF663" s="131">
        <v>0</v>
      </c>
      <c r="AG663" s="131" t="s">
        <v>940</v>
      </c>
      <c r="AH663" s="131">
        <v>20</v>
      </c>
      <c r="AI663" s="131">
        <v>27</v>
      </c>
      <c r="AJ663" s="131"/>
    </row>
    <row r="664" spans="27:36">
      <c r="AA664" s="131">
        <v>4810</v>
      </c>
      <c r="AB664" s="131" t="s">
        <v>1791</v>
      </c>
      <c r="AC664" s="131" t="s">
        <v>927</v>
      </c>
      <c r="AD664" s="131" t="s">
        <v>927</v>
      </c>
      <c r="AE664" s="131" t="s">
        <v>957</v>
      </c>
      <c r="AF664" s="131">
        <v>0</v>
      </c>
      <c r="AG664" s="131" t="s">
        <v>940</v>
      </c>
      <c r="AH664" s="131">
        <v>20</v>
      </c>
      <c r="AI664" s="131">
        <v>27</v>
      </c>
      <c r="AJ664" s="131"/>
    </row>
    <row r="665" spans="27:36">
      <c r="AA665" s="131">
        <v>4951</v>
      </c>
      <c r="AB665" s="131" t="s">
        <v>1792</v>
      </c>
      <c r="AC665" s="131" t="s">
        <v>927</v>
      </c>
      <c r="AD665" s="131" t="s">
        <v>927</v>
      </c>
      <c r="AE665" s="131" t="s">
        <v>957</v>
      </c>
      <c r="AF665" s="131">
        <v>0</v>
      </c>
      <c r="AG665" s="131"/>
      <c r="AH665" s="131">
        <v>20</v>
      </c>
      <c r="AI665" s="131">
        <v>27</v>
      </c>
      <c r="AJ665" s="131"/>
    </row>
    <row r="666" spans="27:36">
      <c r="AA666" s="131">
        <v>4956</v>
      </c>
      <c r="AB666" s="131" t="s">
        <v>1793</v>
      </c>
      <c r="AC666" s="131" t="s">
        <v>927</v>
      </c>
      <c r="AD666" s="131" t="s">
        <v>927</v>
      </c>
      <c r="AE666" s="131" t="s">
        <v>957</v>
      </c>
      <c r="AF666" s="131">
        <v>0</v>
      </c>
      <c r="AG666" s="131"/>
      <c r="AH666" s="131">
        <v>20</v>
      </c>
      <c r="AI666" s="131">
        <v>27</v>
      </c>
      <c r="AJ666" s="131"/>
    </row>
    <row r="667" spans="27:36">
      <c r="AA667" s="131">
        <v>4960</v>
      </c>
      <c r="AB667" s="131" t="s">
        <v>1794</v>
      </c>
      <c r="AC667" s="131" t="s">
        <v>927</v>
      </c>
      <c r="AD667" s="131" t="s">
        <v>927</v>
      </c>
      <c r="AE667" s="131" t="s">
        <v>916</v>
      </c>
      <c r="AF667" s="131">
        <v>52</v>
      </c>
      <c r="AG667" s="131" t="s">
        <v>940</v>
      </c>
      <c r="AH667" s="131">
        <v>20</v>
      </c>
      <c r="AI667" s="131">
        <v>15</v>
      </c>
      <c r="AJ667" s="131"/>
    </row>
    <row r="668" spans="27:36">
      <c r="AA668" s="131">
        <v>4970</v>
      </c>
      <c r="AB668" s="131" t="s">
        <v>1795</v>
      </c>
      <c r="AC668" s="131" t="s">
        <v>927</v>
      </c>
      <c r="AD668" s="131" t="s">
        <v>927</v>
      </c>
      <c r="AE668" s="131" t="s">
        <v>916</v>
      </c>
      <c r="AF668" s="131">
        <v>52</v>
      </c>
      <c r="AG668" s="131" t="s">
        <v>940</v>
      </c>
      <c r="AH668" s="131">
        <v>20</v>
      </c>
      <c r="AI668" s="131">
        <v>15</v>
      </c>
      <c r="AJ668" s="131"/>
    </row>
    <row r="669" spans="27:36">
      <c r="AA669" s="131">
        <v>5000</v>
      </c>
      <c r="AB669" s="131" t="s">
        <v>1796</v>
      </c>
      <c r="AC669" s="131" t="s">
        <v>1797</v>
      </c>
      <c r="AD669" s="131" t="s">
        <v>1798</v>
      </c>
      <c r="AE669" s="131" t="s">
        <v>957</v>
      </c>
      <c r="AF669" s="131">
        <v>0</v>
      </c>
      <c r="AG669" s="131" t="s">
        <v>940</v>
      </c>
      <c r="AH669" s="131">
        <v>20</v>
      </c>
      <c r="AI669" s="131">
        <v>27</v>
      </c>
      <c r="AJ669" s="131"/>
    </row>
    <row r="670" spans="27:36">
      <c r="AA670" s="131">
        <v>5001</v>
      </c>
      <c r="AB670" s="131" t="s">
        <v>1799</v>
      </c>
      <c r="AC670" s="131" t="s">
        <v>927</v>
      </c>
      <c r="AD670" s="131" t="s">
        <v>927</v>
      </c>
      <c r="AE670" s="131" t="s">
        <v>957</v>
      </c>
      <c r="AF670" s="131">
        <v>0</v>
      </c>
      <c r="AG670" s="131" t="s">
        <v>940</v>
      </c>
      <c r="AH670" s="131">
        <v>20</v>
      </c>
      <c r="AI670" s="131">
        <v>27</v>
      </c>
      <c r="AJ670" s="131"/>
    </row>
    <row r="671" spans="27:36">
      <c r="AA671" s="131">
        <v>5020</v>
      </c>
      <c r="AB671" s="131" t="s">
        <v>1800</v>
      </c>
      <c r="AC671" s="131" t="s">
        <v>927</v>
      </c>
      <c r="AD671" s="131" t="s">
        <v>927</v>
      </c>
      <c r="AE671" s="131" t="s">
        <v>957</v>
      </c>
      <c r="AF671" s="131">
        <v>0</v>
      </c>
      <c r="AG671" s="131" t="s">
        <v>940</v>
      </c>
      <c r="AH671" s="131">
        <v>20</v>
      </c>
      <c r="AI671" s="131">
        <v>27</v>
      </c>
      <c r="AJ671" s="131"/>
    </row>
    <row r="672" spans="27:36">
      <c r="AA672" s="131">
        <v>5025</v>
      </c>
      <c r="AB672" s="131" t="s">
        <v>1801</v>
      </c>
      <c r="AC672" s="131" t="s">
        <v>927</v>
      </c>
      <c r="AD672" s="131" t="s">
        <v>927</v>
      </c>
      <c r="AE672" s="131" t="s">
        <v>957</v>
      </c>
      <c r="AF672" s="131">
        <v>0</v>
      </c>
      <c r="AG672" s="131" t="s">
        <v>940</v>
      </c>
      <c r="AH672" s="131">
        <v>20</v>
      </c>
      <c r="AI672" s="131">
        <v>27</v>
      </c>
      <c r="AJ672" s="131"/>
    </row>
    <row r="673" spans="27:36">
      <c r="AA673" s="131">
        <v>5100</v>
      </c>
      <c r="AB673" s="131" t="s">
        <v>1802</v>
      </c>
      <c r="AC673" s="131" t="s">
        <v>1803</v>
      </c>
      <c r="AD673" s="131" t="s">
        <v>1804</v>
      </c>
      <c r="AE673" s="131" t="s">
        <v>957</v>
      </c>
      <c r="AF673" s="131">
        <v>0</v>
      </c>
      <c r="AG673" s="131" t="s">
        <v>940</v>
      </c>
      <c r="AH673" s="131">
        <v>0</v>
      </c>
      <c r="AI673" s="131">
        <v>27</v>
      </c>
      <c r="AJ673" s="131"/>
    </row>
    <row r="674" spans="27:36">
      <c r="AA674" s="131">
        <v>5500</v>
      </c>
      <c r="AB674" s="131" t="s">
        <v>1805</v>
      </c>
      <c r="AC674" s="131" t="s">
        <v>1806</v>
      </c>
      <c r="AD674" s="131" t="s">
        <v>1807</v>
      </c>
      <c r="AE674" s="131" t="s">
        <v>945</v>
      </c>
      <c r="AF674" s="131">
        <v>52</v>
      </c>
      <c r="AG674" s="131" t="s">
        <v>940</v>
      </c>
      <c r="AH674" s="131">
        <v>10</v>
      </c>
      <c r="AI674" s="131">
        <v>23</v>
      </c>
      <c r="AJ674" s="131" t="s">
        <v>1808</v>
      </c>
    </row>
    <row r="675" spans="27:36">
      <c r="AA675" s="131">
        <v>5505</v>
      </c>
      <c r="AB675" s="131" t="s">
        <v>1809</v>
      </c>
      <c r="AC675" s="131" t="s">
        <v>927</v>
      </c>
      <c r="AD675" s="131" t="s">
        <v>927</v>
      </c>
      <c r="AE675" s="131" t="s">
        <v>957</v>
      </c>
      <c r="AF675" s="131">
        <v>0</v>
      </c>
      <c r="AG675" s="131"/>
      <c r="AH675" s="131">
        <v>0</v>
      </c>
      <c r="AI675" s="131">
        <v>27</v>
      </c>
      <c r="AJ675" s="131"/>
    </row>
    <row r="676" spans="27:36">
      <c r="AA676" s="131">
        <v>5506</v>
      </c>
      <c r="AB676" s="131" t="s">
        <v>1810</v>
      </c>
      <c r="AC676" s="131" t="s">
        <v>927</v>
      </c>
      <c r="AD676" s="131" t="s">
        <v>927</v>
      </c>
      <c r="AE676" s="131" t="s">
        <v>945</v>
      </c>
      <c r="AF676" s="131">
        <v>52</v>
      </c>
      <c r="AG676" s="131" t="s">
        <v>940</v>
      </c>
      <c r="AH676" s="131">
        <v>20</v>
      </c>
      <c r="AI676" s="131">
        <v>23</v>
      </c>
      <c r="AJ676" s="131" t="s">
        <v>1808</v>
      </c>
    </row>
    <row r="677" spans="27:36">
      <c r="AA677" s="131">
        <v>5507</v>
      </c>
      <c r="AB677" s="131" t="s">
        <v>1811</v>
      </c>
      <c r="AC677" s="131" t="s">
        <v>927</v>
      </c>
      <c r="AD677" s="131" t="s">
        <v>927</v>
      </c>
      <c r="AE677" s="131" t="s">
        <v>945</v>
      </c>
      <c r="AF677" s="131">
        <v>52</v>
      </c>
      <c r="AG677" s="131" t="s">
        <v>940</v>
      </c>
      <c r="AH677" s="131">
        <v>20</v>
      </c>
      <c r="AI677" s="131">
        <v>23</v>
      </c>
      <c r="AJ677" s="131" t="s">
        <v>1808</v>
      </c>
    </row>
    <row r="678" spans="27:36">
      <c r="AA678" s="131">
        <v>5510</v>
      </c>
      <c r="AB678" s="131" t="s">
        <v>1812</v>
      </c>
      <c r="AC678" s="131" t="s">
        <v>1813</v>
      </c>
      <c r="AD678" s="131" t="s">
        <v>1814</v>
      </c>
      <c r="AE678" s="131" t="s">
        <v>945</v>
      </c>
      <c r="AF678" s="131">
        <v>52</v>
      </c>
      <c r="AG678" s="131" t="s">
        <v>940</v>
      </c>
      <c r="AH678" s="131">
        <v>20</v>
      </c>
      <c r="AI678" s="131">
        <v>23</v>
      </c>
      <c r="AJ678" s="131" t="s">
        <v>1808</v>
      </c>
    </row>
    <row r="679" spans="27:36">
      <c r="AA679" s="131">
        <v>5516</v>
      </c>
      <c r="AB679" s="131" t="s">
        <v>1815</v>
      </c>
      <c r="AC679" s="131" t="s">
        <v>927</v>
      </c>
      <c r="AD679" s="131" t="s">
        <v>927</v>
      </c>
      <c r="AE679" s="131" t="s">
        <v>945</v>
      </c>
      <c r="AF679" s="131">
        <v>52</v>
      </c>
      <c r="AG679" s="131" t="s">
        <v>940</v>
      </c>
      <c r="AH679" s="131">
        <v>20</v>
      </c>
      <c r="AI679" s="131">
        <v>23</v>
      </c>
      <c r="AJ679" s="131" t="s">
        <v>1808</v>
      </c>
    </row>
    <row r="680" spans="27:36">
      <c r="AA680" s="131">
        <v>5517</v>
      </c>
      <c r="AB680" s="131" t="s">
        <v>1816</v>
      </c>
      <c r="AC680" s="131" t="s">
        <v>927</v>
      </c>
      <c r="AD680" s="131" t="s">
        <v>927</v>
      </c>
      <c r="AE680" s="131" t="s">
        <v>945</v>
      </c>
      <c r="AF680" s="131">
        <v>52</v>
      </c>
      <c r="AG680" s="131" t="s">
        <v>940</v>
      </c>
      <c r="AH680" s="131">
        <v>0</v>
      </c>
      <c r="AI680" s="131">
        <v>23</v>
      </c>
      <c r="AJ680" s="131" t="s">
        <v>1808</v>
      </c>
    </row>
    <row r="681" spans="27:36">
      <c r="AA681" s="131">
        <v>5520</v>
      </c>
      <c r="AB681" s="131" t="s">
        <v>1817</v>
      </c>
      <c r="AC681" s="131" t="s">
        <v>927</v>
      </c>
      <c r="AD681" s="131" t="s">
        <v>927</v>
      </c>
      <c r="AE681" s="131" t="s">
        <v>945</v>
      </c>
      <c r="AF681" s="131">
        <v>52</v>
      </c>
      <c r="AG681" s="131" t="s">
        <v>940</v>
      </c>
      <c r="AH681" s="131">
        <v>20</v>
      </c>
      <c r="AI681" s="131">
        <v>21</v>
      </c>
      <c r="AJ681" s="131" t="s">
        <v>1808</v>
      </c>
    </row>
    <row r="682" spans="27:36">
      <c r="AA682" s="131">
        <v>5525</v>
      </c>
      <c r="AB682" s="131" t="s">
        <v>1818</v>
      </c>
      <c r="AC682" s="131" t="s">
        <v>927</v>
      </c>
      <c r="AD682" s="131" t="s">
        <v>927</v>
      </c>
      <c r="AE682" s="131" t="s">
        <v>945</v>
      </c>
      <c r="AF682" s="131">
        <v>52</v>
      </c>
      <c r="AG682" s="131" t="s">
        <v>940</v>
      </c>
      <c r="AH682" s="131">
        <v>20</v>
      </c>
      <c r="AI682" s="131">
        <v>21</v>
      </c>
      <c r="AJ682" s="131" t="s">
        <v>1808</v>
      </c>
    </row>
    <row r="683" spans="27:36">
      <c r="AA683" s="131">
        <v>5550</v>
      </c>
      <c r="AB683" s="131" t="s">
        <v>1819</v>
      </c>
      <c r="AC683" s="131" t="s">
        <v>1820</v>
      </c>
      <c r="AD683" s="131" t="s">
        <v>1821</v>
      </c>
      <c r="AE683" s="131" t="s">
        <v>945</v>
      </c>
      <c r="AF683" s="131">
        <v>52</v>
      </c>
      <c r="AG683" s="131" t="s">
        <v>940</v>
      </c>
      <c r="AH683" s="131">
        <v>0</v>
      </c>
      <c r="AI683" s="131">
        <v>23</v>
      </c>
      <c r="AJ683" s="131" t="s">
        <v>1808</v>
      </c>
    </row>
    <row r="684" spans="27:36">
      <c r="AA684" s="131">
        <v>5600</v>
      </c>
      <c r="AB684" s="131" t="s">
        <v>1822</v>
      </c>
      <c r="AC684" s="131" t="s">
        <v>1823</v>
      </c>
      <c r="AD684" s="131" t="s">
        <v>1824</v>
      </c>
      <c r="AE684" s="131" t="s">
        <v>945</v>
      </c>
      <c r="AF684" s="131">
        <v>52</v>
      </c>
      <c r="AG684" s="131" t="s">
        <v>940</v>
      </c>
      <c r="AH684" s="131">
        <v>20</v>
      </c>
      <c r="AI684" s="131">
        <v>24</v>
      </c>
      <c r="AJ684" s="131" t="s">
        <v>1808</v>
      </c>
    </row>
    <row r="685" spans="27:36">
      <c r="AA685" s="131">
        <v>5700</v>
      </c>
      <c r="AB685" s="131" t="s">
        <v>1825</v>
      </c>
      <c r="AC685" s="131" t="s">
        <v>1826</v>
      </c>
      <c r="AD685" s="131" t="s">
        <v>1827</v>
      </c>
      <c r="AE685" s="131" t="s">
        <v>945</v>
      </c>
      <c r="AF685" s="131">
        <v>52</v>
      </c>
      <c r="AG685" s="131" t="s">
        <v>940</v>
      </c>
      <c r="AH685" s="131">
        <v>0</v>
      </c>
      <c r="AI685" s="131">
        <v>23</v>
      </c>
      <c r="AJ685" s="131" t="s">
        <v>1808</v>
      </c>
    </row>
    <row r="686" spans="27:36">
      <c r="AA686" s="131">
        <v>5710</v>
      </c>
      <c r="AB686" s="131" t="s">
        <v>1828</v>
      </c>
      <c r="AC686" s="131" t="s">
        <v>1829</v>
      </c>
      <c r="AD686" s="131" t="s">
        <v>1830</v>
      </c>
      <c r="AE686" s="131" t="s">
        <v>945</v>
      </c>
      <c r="AF686" s="131">
        <v>52</v>
      </c>
      <c r="AG686" s="131" t="s">
        <v>940</v>
      </c>
      <c r="AH686" s="131">
        <v>10</v>
      </c>
      <c r="AI686" s="131">
        <v>23</v>
      </c>
      <c r="AJ686" s="131" t="s">
        <v>1808</v>
      </c>
    </row>
    <row r="687" spans="27:36">
      <c r="AA687" s="131">
        <v>5730</v>
      </c>
      <c r="AB687" s="131" t="s">
        <v>1831</v>
      </c>
      <c r="AC687" s="131" t="s">
        <v>927</v>
      </c>
      <c r="AD687" s="131" t="s">
        <v>927</v>
      </c>
      <c r="AE687" s="131" t="s">
        <v>957</v>
      </c>
      <c r="AF687" s="131">
        <v>0</v>
      </c>
      <c r="AG687" s="131" t="s">
        <v>940</v>
      </c>
      <c r="AH687" s="131">
        <v>0</v>
      </c>
      <c r="AI687" s="131">
        <v>27</v>
      </c>
      <c r="AJ687" s="131"/>
    </row>
    <row r="688" spans="27:36">
      <c r="AA688" s="131">
        <v>5750</v>
      </c>
      <c r="AB688" s="131" t="s">
        <v>1832</v>
      </c>
      <c r="AC688" s="131" t="s">
        <v>927</v>
      </c>
      <c r="AD688" s="131" t="s">
        <v>927</v>
      </c>
      <c r="AE688" s="131" t="s">
        <v>916</v>
      </c>
      <c r="AF688" s="131">
        <v>0</v>
      </c>
      <c r="AG688" s="131"/>
      <c r="AH688" s="131">
        <v>20</v>
      </c>
      <c r="AI688" s="131">
        <v>27</v>
      </c>
      <c r="AJ688" s="131"/>
    </row>
    <row r="689" spans="27:36">
      <c r="AA689" s="131">
        <v>5760</v>
      </c>
      <c r="AB689" s="131" t="s">
        <v>1833</v>
      </c>
      <c r="AC689" s="131" t="s">
        <v>927</v>
      </c>
      <c r="AD689" s="131" t="s">
        <v>927</v>
      </c>
      <c r="AE689" s="131" t="s">
        <v>916</v>
      </c>
      <c r="AF689" s="131">
        <v>52</v>
      </c>
      <c r="AG689" s="131"/>
      <c r="AH689" s="131">
        <v>20</v>
      </c>
      <c r="AI689" s="131">
        <v>28</v>
      </c>
      <c r="AJ689" s="131"/>
    </row>
    <row r="690" spans="27:36">
      <c r="AA690" s="131">
        <v>5770</v>
      </c>
      <c r="AB690" s="131" t="s">
        <v>1834</v>
      </c>
      <c r="AC690" s="131" t="s">
        <v>927</v>
      </c>
      <c r="AD690" s="131" t="s">
        <v>927</v>
      </c>
      <c r="AE690" s="131" t="s">
        <v>916</v>
      </c>
      <c r="AF690" s="131">
        <v>52</v>
      </c>
      <c r="AG690" s="131"/>
      <c r="AH690" s="131">
        <v>20</v>
      </c>
      <c r="AI690" s="131">
        <v>28</v>
      </c>
      <c r="AJ690" s="131"/>
    </row>
    <row r="691" spans="27:36">
      <c r="AA691" s="131">
        <v>6000</v>
      </c>
      <c r="AB691" s="131" t="s">
        <v>1835</v>
      </c>
      <c r="AC691" s="131" t="s">
        <v>1836</v>
      </c>
      <c r="AD691" s="131" t="s">
        <v>1837</v>
      </c>
      <c r="AE691" s="131" t="s">
        <v>945</v>
      </c>
      <c r="AF691" s="131">
        <v>52</v>
      </c>
      <c r="AG691" s="131" t="s">
        <v>940</v>
      </c>
      <c r="AH691" s="131">
        <v>20</v>
      </c>
      <c r="AI691" s="131">
        <v>24</v>
      </c>
      <c r="AJ691" s="131" t="s">
        <v>1838</v>
      </c>
    </row>
    <row r="692" spans="27:36">
      <c r="AA692" s="131">
        <v>6007</v>
      </c>
      <c r="AB692" s="131" t="s">
        <v>1839</v>
      </c>
      <c r="AC692" s="131" t="s">
        <v>927</v>
      </c>
      <c r="AD692" s="131" t="s">
        <v>927</v>
      </c>
      <c r="AE692" s="131" t="s">
        <v>945</v>
      </c>
      <c r="AF692" s="131">
        <v>52</v>
      </c>
      <c r="AG692" s="131" t="s">
        <v>940</v>
      </c>
      <c r="AH692" s="131">
        <v>20</v>
      </c>
      <c r="AI692" s="131">
        <v>24</v>
      </c>
      <c r="AJ692" s="131" t="s">
        <v>1838</v>
      </c>
    </row>
    <row r="693" spans="27:36">
      <c r="AA693" s="131">
        <v>6012</v>
      </c>
      <c r="AB693" s="131" t="s">
        <v>1840</v>
      </c>
      <c r="AC693" s="131" t="s">
        <v>927</v>
      </c>
      <c r="AD693" s="131" t="s">
        <v>927</v>
      </c>
      <c r="AE693" s="131" t="s">
        <v>945</v>
      </c>
      <c r="AF693" s="131">
        <v>52</v>
      </c>
      <c r="AG693" s="131" t="s">
        <v>940</v>
      </c>
      <c r="AH693" s="131">
        <v>20</v>
      </c>
      <c r="AI693" s="131">
        <v>24</v>
      </c>
      <c r="AJ693" s="131" t="s">
        <v>1838</v>
      </c>
    </row>
    <row r="694" spans="27:36">
      <c r="AA694" s="131">
        <v>6039</v>
      </c>
      <c r="AB694" s="131" t="s">
        <v>1841</v>
      </c>
      <c r="AC694" s="131" t="s">
        <v>927</v>
      </c>
      <c r="AD694" s="131" t="s">
        <v>927</v>
      </c>
      <c r="AE694" s="131" t="s">
        <v>957</v>
      </c>
      <c r="AF694" s="131">
        <v>0</v>
      </c>
      <c r="AG694" s="131" t="s">
        <v>940</v>
      </c>
      <c r="AH694" s="131">
        <v>20</v>
      </c>
      <c r="AI694" s="131">
        <v>27</v>
      </c>
      <c r="AJ694" s="131"/>
    </row>
    <row r="695" spans="27:36">
      <c r="AA695" s="131">
        <v>6040</v>
      </c>
      <c r="AB695" s="131" t="s">
        <v>1842</v>
      </c>
      <c r="AC695" s="131" t="s">
        <v>927</v>
      </c>
      <c r="AD695" s="131" t="s">
        <v>927</v>
      </c>
      <c r="AE695" s="131" t="s">
        <v>957</v>
      </c>
      <c r="AF695" s="131">
        <v>0</v>
      </c>
      <c r="AG695" s="131" t="s">
        <v>940</v>
      </c>
      <c r="AH695" s="131">
        <v>20</v>
      </c>
      <c r="AI695" s="131">
        <v>27</v>
      </c>
      <c r="AJ695" s="131"/>
    </row>
    <row r="696" spans="27:36">
      <c r="AA696" s="131">
        <v>6041</v>
      </c>
      <c r="AB696" s="131" t="s">
        <v>1843</v>
      </c>
      <c r="AC696" s="131" t="s">
        <v>927</v>
      </c>
      <c r="AD696" s="131" t="s">
        <v>927</v>
      </c>
      <c r="AE696" s="131" t="s">
        <v>916</v>
      </c>
      <c r="AF696" s="131">
        <v>0</v>
      </c>
      <c r="AG696" s="131"/>
      <c r="AH696" s="131">
        <v>20</v>
      </c>
      <c r="AI696" s="131">
        <v>27</v>
      </c>
      <c r="AJ696" s="131"/>
    </row>
    <row r="697" spans="27:36">
      <c r="AA697" s="131">
        <v>6043</v>
      </c>
      <c r="AB697" s="131" t="s">
        <v>1844</v>
      </c>
      <c r="AC697" s="131" t="s">
        <v>927</v>
      </c>
      <c r="AD697" s="131" t="s">
        <v>927</v>
      </c>
      <c r="AE697" s="131" t="s">
        <v>945</v>
      </c>
      <c r="AF697" s="131">
        <v>52</v>
      </c>
      <c r="AG697" s="131" t="s">
        <v>940</v>
      </c>
      <c r="AH697" s="131">
        <v>20</v>
      </c>
      <c r="AI697" s="131">
        <v>23</v>
      </c>
      <c r="AJ697" s="131" t="s">
        <v>1838</v>
      </c>
    </row>
    <row r="698" spans="27:36">
      <c r="AA698" s="131">
        <v>6046</v>
      </c>
      <c r="AB698" s="131" t="s">
        <v>1845</v>
      </c>
      <c r="AC698" s="131" t="s">
        <v>927</v>
      </c>
      <c r="AD698" s="131" t="s">
        <v>927</v>
      </c>
      <c r="AE698" s="131" t="s">
        <v>957</v>
      </c>
      <c r="AF698" s="131">
        <v>0</v>
      </c>
      <c r="AG698" s="131" t="s">
        <v>940</v>
      </c>
      <c r="AH698" s="131">
        <v>20</v>
      </c>
      <c r="AI698" s="131">
        <v>27</v>
      </c>
      <c r="AJ698" s="131"/>
    </row>
    <row r="699" spans="27:36">
      <c r="AA699" s="131">
        <v>6047</v>
      </c>
      <c r="AB699" s="131" t="s">
        <v>1846</v>
      </c>
      <c r="AC699" s="131" t="s">
        <v>927</v>
      </c>
      <c r="AD699" s="131" t="s">
        <v>927</v>
      </c>
      <c r="AE699" s="131" t="s">
        <v>957</v>
      </c>
      <c r="AF699" s="131">
        <v>0</v>
      </c>
      <c r="AG699" s="131" t="s">
        <v>940</v>
      </c>
      <c r="AH699" s="131">
        <v>20</v>
      </c>
      <c r="AI699" s="131">
        <v>27</v>
      </c>
      <c r="AJ699" s="131"/>
    </row>
    <row r="700" spans="27:36">
      <c r="AA700" s="131">
        <v>6048</v>
      </c>
      <c r="AB700" s="131" t="s">
        <v>1847</v>
      </c>
      <c r="AC700" s="131" t="s">
        <v>927</v>
      </c>
      <c r="AD700" s="131" t="s">
        <v>927</v>
      </c>
      <c r="AE700" s="131" t="s">
        <v>957</v>
      </c>
      <c r="AF700" s="131">
        <v>0</v>
      </c>
      <c r="AG700" s="131" t="s">
        <v>940</v>
      </c>
      <c r="AH700" s="131">
        <v>20</v>
      </c>
      <c r="AI700" s="131">
        <v>27</v>
      </c>
      <c r="AJ700" s="131"/>
    </row>
    <row r="701" spans="27:36">
      <c r="AA701" s="131">
        <v>6052</v>
      </c>
      <c r="AB701" s="131" t="s">
        <v>1848</v>
      </c>
      <c r="AC701" s="131" t="s">
        <v>927</v>
      </c>
      <c r="AD701" s="131" t="s">
        <v>927</v>
      </c>
      <c r="AE701" s="131" t="s">
        <v>916</v>
      </c>
      <c r="AF701" s="131">
        <v>0</v>
      </c>
      <c r="AG701" s="131"/>
      <c r="AH701" s="131">
        <v>20</v>
      </c>
      <c r="AI701" s="131">
        <v>28</v>
      </c>
      <c r="AJ701" s="131"/>
    </row>
    <row r="702" spans="27:36">
      <c r="AA702" s="131">
        <v>6054</v>
      </c>
      <c r="AB702" s="131" t="s">
        <v>1849</v>
      </c>
      <c r="AC702" s="131" t="s">
        <v>927</v>
      </c>
      <c r="AD702" s="131" t="s">
        <v>927</v>
      </c>
      <c r="AE702" s="131" t="s">
        <v>957</v>
      </c>
      <c r="AF702" s="131">
        <v>0</v>
      </c>
      <c r="AG702" s="131"/>
      <c r="AH702" s="131">
        <v>20</v>
      </c>
      <c r="AI702" s="131">
        <v>27</v>
      </c>
      <c r="AJ702" s="131"/>
    </row>
    <row r="703" spans="27:36">
      <c r="AA703" s="131">
        <v>6056</v>
      </c>
      <c r="AB703" s="131" t="s">
        <v>1850</v>
      </c>
      <c r="AC703" s="131" t="s">
        <v>927</v>
      </c>
      <c r="AD703" s="131" t="s">
        <v>927</v>
      </c>
      <c r="AE703" s="131" t="s">
        <v>945</v>
      </c>
      <c r="AF703" s="131">
        <v>52</v>
      </c>
      <c r="AG703" s="131"/>
      <c r="AH703" s="131">
        <v>20</v>
      </c>
      <c r="AI703" s="131">
        <v>6</v>
      </c>
      <c r="AJ703" s="131" t="s">
        <v>1838</v>
      </c>
    </row>
    <row r="704" spans="27:36">
      <c r="AA704" s="131">
        <v>6100</v>
      </c>
      <c r="AB704" s="131" t="s">
        <v>1851</v>
      </c>
      <c r="AC704" s="131" t="s">
        <v>1852</v>
      </c>
      <c r="AD704" s="131" t="s">
        <v>1853</v>
      </c>
      <c r="AE704" s="131" t="s">
        <v>945</v>
      </c>
      <c r="AF704" s="131">
        <v>52</v>
      </c>
      <c r="AG704" s="131"/>
      <c r="AH704" s="131">
        <v>10</v>
      </c>
      <c r="AI704" s="131">
        <v>21</v>
      </c>
      <c r="AJ704" s="131" t="s">
        <v>1838</v>
      </c>
    </row>
    <row r="705" spans="27:36">
      <c r="AA705" s="131">
        <v>6111</v>
      </c>
      <c r="AB705" s="131" t="s">
        <v>1854</v>
      </c>
      <c r="AC705" s="131" t="s">
        <v>927</v>
      </c>
      <c r="AD705" s="131" t="s">
        <v>927</v>
      </c>
      <c r="AE705" s="131" t="s">
        <v>945</v>
      </c>
      <c r="AF705" s="131">
        <v>52</v>
      </c>
      <c r="AG705" s="131" t="s">
        <v>940</v>
      </c>
      <c r="AH705" s="131">
        <v>10</v>
      </c>
      <c r="AI705" s="131">
        <v>21</v>
      </c>
      <c r="AJ705" s="131" t="s">
        <v>1838</v>
      </c>
    </row>
    <row r="706" spans="27:36">
      <c r="AA706" s="131">
        <v>6115</v>
      </c>
      <c r="AB706" s="131" t="s">
        <v>1855</v>
      </c>
      <c r="AC706" s="131" t="s">
        <v>927</v>
      </c>
      <c r="AD706" s="131" t="s">
        <v>927</v>
      </c>
      <c r="AE706" s="131" t="s">
        <v>945</v>
      </c>
      <c r="AF706" s="131">
        <v>52</v>
      </c>
      <c r="AG706" s="131" t="s">
        <v>940</v>
      </c>
      <c r="AH706" s="131">
        <v>0</v>
      </c>
      <c r="AI706" s="131">
        <v>21</v>
      </c>
      <c r="AJ706" s="131" t="s">
        <v>1838</v>
      </c>
    </row>
    <row r="707" spans="27:36">
      <c r="AA707" s="131">
        <v>6116</v>
      </c>
      <c r="AB707" s="131" t="s">
        <v>1856</v>
      </c>
      <c r="AC707" s="131" t="s">
        <v>927</v>
      </c>
      <c r="AD707" s="131" t="s">
        <v>927</v>
      </c>
      <c r="AE707" s="131" t="s">
        <v>945</v>
      </c>
      <c r="AF707" s="131">
        <v>52</v>
      </c>
      <c r="AG707" s="131" t="s">
        <v>940</v>
      </c>
      <c r="AH707" s="131">
        <v>0</v>
      </c>
      <c r="AI707" s="131">
        <v>21</v>
      </c>
      <c r="AJ707" s="131" t="s">
        <v>1838</v>
      </c>
    </row>
    <row r="708" spans="27:36">
      <c r="AA708" s="131">
        <v>6120</v>
      </c>
      <c r="AB708" s="131" t="s">
        <v>1857</v>
      </c>
      <c r="AC708" s="131" t="s">
        <v>927</v>
      </c>
      <c r="AD708" s="131" t="s">
        <v>927</v>
      </c>
      <c r="AE708" s="131" t="s">
        <v>945</v>
      </c>
      <c r="AF708" s="131">
        <v>52</v>
      </c>
      <c r="AG708" s="131" t="s">
        <v>940</v>
      </c>
      <c r="AH708" s="131">
        <v>20</v>
      </c>
      <c r="AI708" s="131">
        <v>23</v>
      </c>
      <c r="AJ708" s="131" t="s">
        <v>1838</v>
      </c>
    </row>
    <row r="709" spans="27:36">
      <c r="AA709" s="131">
        <v>6130</v>
      </c>
      <c r="AB709" s="131" t="s">
        <v>1858</v>
      </c>
      <c r="AC709" s="131" t="s">
        <v>927</v>
      </c>
      <c r="AD709" s="131" t="s">
        <v>927</v>
      </c>
      <c r="AE709" s="131" t="s">
        <v>945</v>
      </c>
      <c r="AF709" s="131">
        <v>52</v>
      </c>
      <c r="AG709" s="131" t="s">
        <v>940</v>
      </c>
      <c r="AH709" s="131">
        <v>20</v>
      </c>
      <c r="AI709" s="131">
        <v>23</v>
      </c>
      <c r="AJ709" s="131" t="s">
        <v>1838</v>
      </c>
    </row>
    <row r="710" spans="27:36">
      <c r="AA710" s="131">
        <v>6200</v>
      </c>
      <c r="AB710" s="131" t="s">
        <v>1859</v>
      </c>
      <c r="AC710" s="131" t="s">
        <v>1860</v>
      </c>
      <c r="AD710" s="131" t="s">
        <v>1859</v>
      </c>
      <c r="AE710" s="131" t="s">
        <v>916</v>
      </c>
      <c r="AF710" s="131">
        <v>52</v>
      </c>
      <c r="AG710" s="131"/>
      <c r="AH710" s="131">
        <v>20</v>
      </c>
      <c r="AI710" s="131">
        <v>28</v>
      </c>
      <c r="AJ710" s="131"/>
    </row>
    <row r="711" spans="27:36">
      <c r="AA711" s="131">
        <v>6210</v>
      </c>
      <c r="AB711" s="131" t="s">
        <v>1861</v>
      </c>
      <c r="AC711" s="131" t="s">
        <v>1862</v>
      </c>
      <c r="AD711" s="131" t="s">
        <v>1863</v>
      </c>
      <c r="AE711" s="131" t="s">
        <v>945</v>
      </c>
      <c r="AF711" s="131">
        <v>52</v>
      </c>
      <c r="AG711" s="131" t="s">
        <v>940</v>
      </c>
      <c r="AH711" s="131">
        <v>0</v>
      </c>
      <c r="AI711" s="131">
        <v>21</v>
      </c>
      <c r="AJ711" s="131" t="s">
        <v>1838</v>
      </c>
    </row>
    <row r="712" spans="27:36">
      <c r="AA712" s="131">
        <v>6300</v>
      </c>
      <c r="AB712" s="131" t="s">
        <v>1864</v>
      </c>
      <c r="AC712" s="131" t="s">
        <v>1865</v>
      </c>
      <c r="AD712" s="131" t="s">
        <v>1866</v>
      </c>
      <c r="AE712" s="131" t="s">
        <v>945</v>
      </c>
      <c r="AF712" s="131">
        <v>52</v>
      </c>
      <c r="AG712" s="131" t="s">
        <v>940</v>
      </c>
      <c r="AH712" s="131">
        <v>0</v>
      </c>
      <c r="AI712" s="131">
        <v>21</v>
      </c>
      <c r="AJ712" s="131" t="s">
        <v>1838</v>
      </c>
    </row>
    <row r="713" spans="27:36">
      <c r="AA713" s="131">
        <v>6350</v>
      </c>
      <c r="AB713" s="131" t="s">
        <v>1867</v>
      </c>
      <c r="AC713" s="131" t="s">
        <v>1868</v>
      </c>
      <c r="AD713" s="131" t="s">
        <v>1869</v>
      </c>
      <c r="AE713" s="131" t="s">
        <v>957</v>
      </c>
      <c r="AF713" s="131">
        <v>0</v>
      </c>
      <c r="AG713" s="131"/>
      <c r="AH713" s="131">
        <v>0</v>
      </c>
      <c r="AI713" s="131">
        <v>27</v>
      </c>
      <c r="AJ713" s="131"/>
    </row>
    <row r="714" spans="27:36">
      <c r="AA714" s="131">
        <v>6355</v>
      </c>
      <c r="AB714" s="131" t="s">
        <v>1870</v>
      </c>
      <c r="AC714" s="131" t="s">
        <v>927</v>
      </c>
      <c r="AD714" s="131" t="s">
        <v>927</v>
      </c>
      <c r="AE714" s="131" t="s">
        <v>957</v>
      </c>
      <c r="AF714" s="131">
        <v>0</v>
      </c>
      <c r="AG714" s="131" t="s">
        <v>940</v>
      </c>
      <c r="AH714" s="131">
        <v>0</v>
      </c>
      <c r="AI714" s="131">
        <v>27</v>
      </c>
      <c r="AJ714" s="131"/>
    </row>
    <row r="715" spans="27:36">
      <c r="AA715" s="131">
        <v>6356</v>
      </c>
      <c r="AB715" s="131" t="s">
        <v>1871</v>
      </c>
      <c r="AC715" s="131" t="s">
        <v>927</v>
      </c>
      <c r="AD715" s="131" t="s">
        <v>927</v>
      </c>
      <c r="AE715" s="131" t="s">
        <v>916</v>
      </c>
      <c r="AF715" s="131">
        <v>52</v>
      </c>
      <c r="AG715" s="131"/>
      <c r="AH715" s="131">
        <v>20</v>
      </c>
      <c r="AI715" s="131">
        <v>28</v>
      </c>
      <c r="AJ715" s="131"/>
    </row>
    <row r="716" spans="27:36">
      <c r="AA716" s="131">
        <v>6357</v>
      </c>
      <c r="AB716" s="131" t="s">
        <v>1872</v>
      </c>
      <c r="AC716" s="131" t="s">
        <v>927</v>
      </c>
      <c r="AD716" s="131" t="s">
        <v>927</v>
      </c>
      <c r="AE716" s="131" t="s">
        <v>957</v>
      </c>
      <c r="AF716" s="131">
        <v>0</v>
      </c>
      <c r="AG716" s="131" t="s">
        <v>940</v>
      </c>
      <c r="AH716" s="131">
        <v>20</v>
      </c>
      <c r="AI716" s="131">
        <v>27</v>
      </c>
      <c r="AJ716" s="131"/>
    </row>
    <row r="717" spans="27:36">
      <c r="AA717" s="131">
        <v>6400</v>
      </c>
      <c r="AB717" s="131" t="s">
        <v>1873</v>
      </c>
      <c r="AC717" s="131" t="s">
        <v>927</v>
      </c>
      <c r="AD717" s="131" t="s">
        <v>927</v>
      </c>
      <c r="AE717" s="131" t="s">
        <v>916</v>
      </c>
      <c r="AF717" s="131">
        <v>52</v>
      </c>
      <c r="AG717" s="131"/>
      <c r="AH717" s="131">
        <v>20</v>
      </c>
      <c r="AI717" s="131">
        <v>9</v>
      </c>
      <c r="AJ717" s="131"/>
    </row>
    <row r="718" spans="27:36">
      <c r="AA718" s="131">
        <v>6410</v>
      </c>
      <c r="AB718" s="131" t="s">
        <v>1874</v>
      </c>
      <c r="AC718" s="131" t="s">
        <v>927</v>
      </c>
      <c r="AD718" s="131" t="s">
        <v>927</v>
      </c>
      <c r="AE718" s="131" t="s">
        <v>916</v>
      </c>
      <c r="AF718" s="131">
        <v>0</v>
      </c>
      <c r="AG718" s="131"/>
      <c r="AH718" s="131">
        <v>20</v>
      </c>
      <c r="AI718" s="131">
        <v>28</v>
      </c>
      <c r="AJ718" s="131"/>
    </row>
    <row r="719" spans="27:36">
      <c r="AA719" s="131">
        <v>6411</v>
      </c>
      <c r="AB719" s="131" t="s">
        <v>1875</v>
      </c>
      <c r="AC719" s="131" t="s">
        <v>927</v>
      </c>
      <c r="AD719" s="131" t="s">
        <v>927</v>
      </c>
      <c r="AE719" s="131" t="s">
        <v>916</v>
      </c>
      <c r="AF719" s="131">
        <v>0</v>
      </c>
      <c r="AG719" s="131"/>
      <c r="AH719" s="131">
        <v>20</v>
      </c>
      <c r="AI719" s="131">
        <v>28</v>
      </c>
      <c r="AJ719" s="131"/>
    </row>
    <row r="720" spans="27:36">
      <c r="AA720" s="131">
        <v>6412</v>
      </c>
      <c r="AB720" s="131" t="s">
        <v>1876</v>
      </c>
      <c r="AC720" s="131" t="s">
        <v>927</v>
      </c>
      <c r="AD720" s="131" t="s">
        <v>927</v>
      </c>
      <c r="AE720" s="131" t="s">
        <v>916</v>
      </c>
      <c r="AF720" s="131">
        <v>52</v>
      </c>
      <c r="AG720" s="131"/>
      <c r="AH720" s="131">
        <v>20</v>
      </c>
      <c r="AI720" s="131">
        <v>28</v>
      </c>
      <c r="AJ720" s="131"/>
    </row>
    <row r="721" spans="27:36">
      <c r="AA721" s="131">
        <v>6430</v>
      </c>
      <c r="AB721" s="131" t="s">
        <v>1877</v>
      </c>
      <c r="AC721" s="131" t="s">
        <v>927</v>
      </c>
      <c r="AD721" s="131" t="s">
        <v>927</v>
      </c>
      <c r="AE721" s="131" t="s">
        <v>957</v>
      </c>
      <c r="AF721" s="131">
        <v>0</v>
      </c>
      <c r="AG721" s="131" t="s">
        <v>940</v>
      </c>
      <c r="AH721" s="131">
        <v>20</v>
      </c>
      <c r="AI721" s="131">
        <v>27</v>
      </c>
      <c r="AJ721" s="131"/>
    </row>
    <row r="722" spans="27:36">
      <c r="AA722" s="131">
        <v>6432</v>
      </c>
      <c r="AB722" s="131" t="s">
        <v>1878</v>
      </c>
      <c r="AC722" s="131" t="s">
        <v>927</v>
      </c>
      <c r="AD722" s="131" t="s">
        <v>927</v>
      </c>
      <c r="AE722" s="131" t="s">
        <v>957</v>
      </c>
      <c r="AF722" s="131">
        <v>0</v>
      </c>
      <c r="AG722" s="131" t="s">
        <v>940</v>
      </c>
      <c r="AH722" s="131">
        <v>20</v>
      </c>
      <c r="AI722" s="131">
        <v>27</v>
      </c>
      <c r="AJ722" s="131"/>
    </row>
    <row r="723" spans="27:36">
      <c r="AA723" s="131">
        <v>6460</v>
      </c>
      <c r="AB723" s="131" t="s">
        <v>1879</v>
      </c>
      <c r="AC723" s="131" t="s">
        <v>927</v>
      </c>
      <c r="AD723" s="131" t="s">
        <v>927</v>
      </c>
      <c r="AE723" s="131" t="s">
        <v>916</v>
      </c>
      <c r="AF723" s="131">
        <v>52</v>
      </c>
      <c r="AG723" s="131" t="s">
        <v>940</v>
      </c>
      <c r="AH723" s="131">
        <v>20</v>
      </c>
      <c r="AI723" s="131">
        <v>6</v>
      </c>
      <c r="AJ723" s="131"/>
    </row>
    <row r="724" spans="27:36">
      <c r="AA724" s="131">
        <v>6501</v>
      </c>
      <c r="AB724" s="131" t="s">
        <v>1880</v>
      </c>
      <c r="AC724" s="131" t="s">
        <v>927</v>
      </c>
      <c r="AD724" s="131" t="s">
        <v>927</v>
      </c>
      <c r="AE724" s="131" t="s">
        <v>957</v>
      </c>
      <c r="AF724" s="131">
        <v>0</v>
      </c>
      <c r="AG724" s="131"/>
      <c r="AH724" s="131">
        <v>20</v>
      </c>
      <c r="AI724" s="131">
        <v>27</v>
      </c>
      <c r="AJ724" s="131"/>
    </row>
    <row r="725" spans="27:36">
      <c r="AA725" s="131">
        <v>6505</v>
      </c>
      <c r="AB725" s="131" t="s">
        <v>1881</v>
      </c>
      <c r="AC725" s="131" t="s">
        <v>927</v>
      </c>
      <c r="AD725" s="131" t="s">
        <v>927</v>
      </c>
      <c r="AE725" s="131" t="s">
        <v>945</v>
      </c>
      <c r="AF725" s="131">
        <v>52</v>
      </c>
      <c r="AG725" s="131" t="s">
        <v>940</v>
      </c>
      <c r="AH725" s="131">
        <v>0</v>
      </c>
      <c r="AI725" s="131">
        <v>21</v>
      </c>
      <c r="AJ725" s="131" t="s">
        <v>959</v>
      </c>
    </row>
    <row r="726" spans="27:36">
      <c r="AA726" s="131">
        <v>6506</v>
      </c>
      <c r="AB726" s="131" t="s">
        <v>1882</v>
      </c>
      <c r="AC726" s="131" t="s">
        <v>927</v>
      </c>
      <c r="AD726" s="131" t="s">
        <v>927</v>
      </c>
      <c r="AE726" s="131" t="s">
        <v>957</v>
      </c>
      <c r="AF726" s="131">
        <v>0</v>
      </c>
      <c r="AG726" s="131"/>
      <c r="AH726" s="131">
        <v>0</v>
      </c>
      <c r="AI726" s="131">
        <v>27</v>
      </c>
      <c r="AJ726" s="131"/>
    </row>
    <row r="727" spans="27:36">
      <c r="AA727" s="131">
        <v>6510</v>
      </c>
      <c r="AB727" s="131" t="s">
        <v>1883</v>
      </c>
      <c r="AC727" s="131" t="s">
        <v>1884</v>
      </c>
      <c r="AD727" s="131" t="s">
        <v>1885</v>
      </c>
      <c r="AE727" s="131" t="s">
        <v>957</v>
      </c>
      <c r="AF727" s="131">
        <v>0</v>
      </c>
      <c r="AG727" s="131" t="s">
        <v>940</v>
      </c>
      <c r="AH727" s="131">
        <v>20</v>
      </c>
      <c r="AI727" s="131">
        <v>27</v>
      </c>
      <c r="AJ727" s="131"/>
    </row>
    <row r="728" spans="27:36">
      <c r="AA728" s="131">
        <v>6512</v>
      </c>
      <c r="AB728" s="131" t="s">
        <v>1886</v>
      </c>
      <c r="AC728" s="131" t="s">
        <v>927</v>
      </c>
      <c r="AD728" s="131" t="s">
        <v>927</v>
      </c>
      <c r="AE728" s="131" t="s">
        <v>957</v>
      </c>
      <c r="AF728" s="131">
        <v>0</v>
      </c>
      <c r="AG728" s="131"/>
      <c r="AH728" s="131">
        <v>20</v>
      </c>
      <c r="AI728" s="131">
        <v>27</v>
      </c>
      <c r="AJ728" s="131"/>
    </row>
    <row r="729" spans="27:36">
      <c r="AA729" s="131">
        <v>6721</v>
      </c>
      <c r="AB729" s="131" t="s">
        <v>1887</v>
      </c>
      <c r="AC729" s="131" t="s">
        <v>927</v>
      </c>
      <c r="AD729" s="131" t="s">
        <v>927</v>
      </c>
      <c r="AE729" s="131" t="s">
        <v>957</v>
      </c>
      <c r="AF729" s="131">
        <v>0</v>
      </c>
      <c r="AG729" s="131"/>
      <c r="AH729" s="131">
        <v>20</v>
      </c>
      <c r="AI729" s="131">
        <v>27</v>
      </c>
      <c r="AJ729" s="131"/>
    </row>
    <row r="730" spans="27:36">
      <c r="AA730" s="131">
        <v>6750</v>
      </c>
      <c r="AB730" s="131" t="s">
        <v>1888</v>
      </c>
      <c r="AC730" s="131" t="s">
        <v>927</v>
      </c>
      <c r="AD730" s="131" t="s">
        <v>927</v>
      </c>
      <c r="AE730" s="131" t="s">
        <v>916</v>
      </c>
      <c r="AF730" s="131">
        <v>0</v>
      </c>
      <c r="AG730" s="131"/>
      <c r="AH730" s="131">
        <v>20</v>
      </c>
      <c r="AI730" s="131">
        <v>28</v>
      </c>
      <c r="AJ730" s="131"/>
    </row>
    <row r="731" spans="27:36">
      <c r="AA731" s="131">
        <v>7001</v>
      </c>
      <c r="AB731" s="131" t="s">
        <v>1889</v>
      </c>
      <c r="AC731" s="131" t="s">
        <v>927</v>
      </c>
      <c r="AD731" s="131" t="s">
        <v>927</v>
      </c>
      <c r="AE731" s="131" t="s">
        <v>945</v>
      </c>
      <c r="AF731" s="131">
        <v>180</v>
      </c>
      <c r="AG731" s="131" t="s">
        <v>940</v>
      </c>
      <c r="AH731" s="131">
        <v>0</v>
      </c>
      <c r="AI731" s="131">
        <v>16</v>
      </c>
      <c r="AJ731" s="131" t="s">
        <v>1890</v>
      </c>
    </row>
    <row r="732" spans="27:36">
      <c r="AA732" s="131">
        <v>7002</v>
      </c>
      <c r="AB732" s="131" t="s">
        <v>1891</v>
      </c>
      <c r="AC732" s="131" t="s">
        <v>927</v>
      </c>
      <c r="AD732" s="131" t="s">
        <v>927</v>
      </c>
      <c r="AE732" s="131" t="s">
        <v>945</v>
      </c>
      <c r="AF732" s="131">
        <v>180</v>
      </c>
      <c r="AG732" s="131" t="s">
        <v>940</v>
      </c>
      <c r="AH732" s="131">
        <v>0</v>
      </c>
      <c r="AI732" s="131">
        <v>16</v>
      </c>
      <c r="AJ732" s="131" t="s">
        <v>1890</v>
      </c>
    </row>
    <row r="733" spans="27:36">
      <c r="AA733" s="131">
        <v>7003</v>
      </c>
      <c r="AB733" s="131" t="s">
        <v>1892</v>
      </c>
      <c r="AC733" s="131" t="s">
        <v>927</v>
      </c>
      <c r="AD733" s="131" t="s">
        <v>927</v>
      </c>
      <c r="AE733" s="131" t="s">
        <v>945</v>
      </c>
      <c r="AF733" s="131">
        <v>180</v>
      </c>
      <c r="AG733" s="131" t="s">
        <v>940</v>
      </c>
      <c r="AH733" s="131">
        <v>0</v>
      </c>
      <c r="AI733" s="131">
        <v>16</v>
      </c>
      <c r="AJ733" s="131" t="s">
        <v>1890</v>
      </c>
    </row>
    <row r="734" spans="27:36">
      <c r="AA734" s="131">
        <v>7004</v>
      </c>
      <c r="AB734" s="131" t="s">
        <v>1893</v>
      </c>
      <c r="AC734" s="131" t="s">
        <v>927</v>
      </c>
      <c r="AD734" s="131" t="s">
        <v>927</v>
      </c>
      <c r="AE734" s="131" t="s">
        <v>945</v>
      </c>
      <c r="AF734" s="131">
        <v>180</v>
      </c>
      <c r="AG734" s="131" t="s">
        <v>940</v>
      </c>
      <c r="AH734" s="131">
        <v>0</v>
      </c>
      <c r="AI734" s="131">
        <v>16</v>
      </c>
      <c r="AJ734" s="131" t="s">
        <v>1890</v>
      </c>
    </row>
    <row r="735" spans="27:36">
      <c r="AA735" s="131">
        <v>7005</v>
      </c>
      <c r="AB735" s="131" t="s">
        <v>1894</v>
      </c>
      <c r="AC735" s="131" t="s">
        <v>1895</v>
      </c>
      <c r="AD735" s="131" t="s">
        <v>1894</v>
      </c>
      <c r="AE735" s="131" t="s">
        <v>945</v>
      </c>
      <c r="AF735" s="131">
        <v>180</v>
      </c>
      <c r="AG735" s="131" t="s">
        <v>940</v>
      </c>
      <c r="AH735" s="131">
        <v>0</v>
      </c>
      <c r="AI735" s="131">
        <v>16</v>
      </c>
      <c r="AJ735" s="131" t="s">
        <v>1890</v>
      </c>
    </row>
    <row r="736" spans="27:36">
      <c r="AA736" s="131">
        <v>7008</v>
      </c>
      <c r="AB736" s="131" t="s">
        <v>1896</v>
      </c>
      <c r="AC736" s="131" t="s">
        <v>927</v>
      </c>
      <c r="AD736" s="131" t="s">
        <v>927</v>
      </c>
      <c r="AE736" s="131" t="s">
        <v>916</v>
      </c>
      <c r="AF736" s="131">
        <v>0</v>
      </c>
      <c r="AG736" s="131"/>
      <c r="AH736" s="131">
        <v>20</v>
      </c>
      <c r="AI736" s="131">
        <v>28</v>
      </c>
      <c r="AJ736" s="131"/>
    </row>
    <row r="737" spans="27:36">
      <c r="AA737" s="131">
        <v>7009</v>
      </c>
      <c r="AB737" s="131" t="s">
        <v>1897</v>
      </c>
      <c r="AC737" s="131" t="s">
        <v>927</v>
      </c>
      <c r="AD737" s="131" t="s">
        <v>927</v>
      </c>
      <c r="AE737" s="131" t="s">
        <v>957</v>
      </c>
      <c r="AF737" s="131">
        <v>0</v>
      </c>
      <c r="AG737" s="131"/>
      <c r="AH737" s="131">
        <v>20</v>
      </c>
      <c r="AI737" s="131">
        <v>27</v>
      </c>
      <c r="AJ737" s="131"/>
    </row>
    <row r="738" spans="27:36">
      <c r="AA738" s="131">
        <v>7010</v>
      </c>
      <c r="AB738" s="131" t="s">
        <v>1898</v>
      </c>
      <c r="AC738" s="131" t="s">
        <v>1899</v>
      </c>
      <c r="AD738" s="131" t="s">
        <v>1900</v>
      </c>
      <c r="AE738" s="131" t="s">
        <v>945</v>
      </c>
      <c r="AF738" s="131">
        <v>170</v>
      </c>
      <c r="AG738" s="131" t="s">
        <v>940</v>
      </c>
      <c r="AH738" s="131">
        <v>20</v>
      </c>
      <c r="AI738" s="131">
        <v>16</v>
      </c>
      <c r="AJ738" s="131" t="s">
        <v>1890</v>
      </c>
    </row>
    <row r="739" spans="27:36">
      <c r="AA739" s="131">
        <v>7011</v>
      </c>
      <c r="AB739" s="131" t="s">
        <v>1901</v>
      </c>
      <c r="AC739" s="131" t="s">
        <v>927</v>
      </c>
      <c r="AD739" s="131" t="s">
        <v>927</v>
      </c>
      <c r="AE739" s="131" t="s">
        <v>916</v>
      </c>
      <c r="AF739" s="131">
        <v>60</v>
      </c>
      <c r="AG739" s="131"/>
      <c r="AH739" s="131">
        <v>20</v>
      </c>
      <c r="AI739" s="131">
        <v>9</v>
      </c>
      <c r="AJ739" s="131"/>
    </row>
    <row r="740" spans="27:36">
      <c r="AA740" s="131">
        <v>7012</v>
      </c>
      <c r="AB740" s="131" t="s">
        <v>1902</v>
      </c>
      <c r="AC740" s="131" t="s">
        <v>927</v>
      </c>
      <c r="AD740" s="131" t="s">
        <v>927</v>
      </c>
      <c r="AE740" s="131" t="s">
        <v>916</v>
      </c>
      <c r="AF740" s="131">
        <v>0</v>
      </c>
      <c r="AG740" s="131"/>
      <c r="AH740" s="131">
        <v>20</v>
      </c>
      <c r="AI740" s="131">
        <v>32</v>
      </c>
      <c r="AJ740" s="131"/>
    </row>
    <row r="741" spans="27:36">
      <c r="AA741" s="131">
        <v>7013</v>
      </c>
      <c r="AB741" s="131" t="s">
        <v>1903</v>
      </c>
      <c r="AC741" s="131" t="s">
        <v>1904</v>
      </c>
      <c r="AD741" s="131" t="s">
        <v>1903</v>
      </c>
      <c r="AE741" s="131" t="s">
        <v>916</v>
      </c>
      <c r="AF741" s="131">
        <v>0</v>
      </c>
      <c r="AG741" s="131" t="s">
        <v>940</v>
      </c>
      <c r="AH741" s="131">
        <v>20</v>
      </c>
      <c r="AI741" s="131">
        <v>32</v>
      </c>
      <c r="AJ741" s="131"/>
    </row>
    <row r="742" spans="27:36">
      <c r="AA742" s="131">
        <v>7014</v>
      </c>
      <c r="AB742" s="131" t="s">
        <v>1905</v>
      </c>
      <c r="AC742" s="131" t="s">
        <v>927</v>
      </c>
      <c r="AD742" s="131" t="s">
        <v>927</v>
      </c>
      <c r="AE742" s="131" t="s">
        <v>916</v>
      </c>
      <c r="AF742" s="131">
        <v>0</v>
      </c>
      <c r="AG742" s="131"/>
      <c r="AH742" s="131">
        <v>20</v>
      </c>
      <c r="AI742" s="131">
        <v>32</v>
      </c>
      <c r="AJ742" s="131"/>
    </row>
    <row r="743" spans="27:36">
      <c r="AA743" s="131">
        <v>7016</v>
      </c>
      <c r="AB743" s="131" t="s">
        <v>1906</v>
      </c>
      <c r="AC743" s="131" t="s">
        <v>927</v>
      </c>
      <c r="AD743" s="131" t="s">
        <v>927</v>
      </c>
      <c r="AE743" s="131" t="s">
        <v>957</v>
      </c>
      <c r="AF743" s="131">
        <v>0</v>
      </c>
      <c r="AG743" s="131"/>
      <c r="AH743" s="131">
        <v>20</v>
      </c>
      <c r="AI743" s="131">
        <v>27</v>
      </c>
      <c r="AJ743" s="131"/>
    </row>
    <row r="744" spans="27:36">
      <c r="AA744" s="131">
        <v>7017</v>
      </c>
      <c r="AB744" s="131" t="s">
        <v>1907</v>
      </c>
      <c r="AC744" s="131" t="s">
        <v>927</v>
      </c>
      <c r="AD744" s="131" t="s">
        <v>927</v>
      </c>
      <c r="AE744" s="131" t="s">
        <v>945</v>
      </c>
      <c r="AF744" s="131">
        <v>52</v>
      </c>
      <c r="AG744" s="131" t="s">
        <v>940</v>
      </c>
      <c r="AH744" s="131">
        <v>20</v>
      </c>
      <c r="AI744" s="131">
        <v>15</v>
      </c>
      <c r="AJ744" s="131" t="s">
        <v>1890</v>
      </c>
    </row>
    <row r="745" spans="27:36">
      <c r="AA745" s="131">
        <v>7018</v>
      </c>
      <c r="AB745" s="131" t="s">
        <v>1908</v>
      </c>
      <c r="AC745" s="131" t="s">
        <v>927</v>
      </c>
      <c r="AD745" s="131" t="s">
        <v>927</v>
      </c>
      <c r="AE745" s="131" t="s">
        <v>916</v>
      </c>
      <c r="AF745" s="131">
        <v>0</v>
      </c>
      <c r="AG745" s="131" t="s">
        <v>940</v>
      </c>
      <c r="AH745" s="131">
        <v>20</v>
      </c>
      <c r="AI745" s="131">
        <v>28</v>
      </c>
      <c r="AJ745" s="131"/>
    </row>
    <row r="746" spans="27:36">
      <c r="AA746" s="131">
        <v>7019</v>
      </c>
      <c r="AB746" s="131" t="s">
        <v>1909</v>
      </c>
      <c r="AC746" s="131" t="s">
        <v>927</v>
      </c>
      <c r="AD746" s="131" t="s">
        <v>927</v>
      </c>
      <c r="AE746" s="131" t="s">
        <v>945</v>
      </c>
      <c r="AF746" s="131">
        <v>52</v>
      </c>
      <c r="AG746" s="131" t="s">
        <v>940</v>
      </c>
      <c r="AH746" s="131">
        <v>0</v>
      </c>
      <c r="AI746" s="131">
        <v>15</v>
      </c>
      <c r="AJ746" s="131" t="s">
        <v>1890</v>
      </c>
    </row>
    <row r="747" spans="27:36">
      <c r="AA747" s="131">
        <v>7025</v>
      </c>
      <c r="AB747" s="131" t="s">
        <v>1910</v>
      </c>
      <c r="AC747" s="131" t="s">
        <v>927</v>
      </c>
      <c r="AD747" s="131" t="s">
        <v>927</v>
      </c>
      <c r="AE747" s="131" t="s">
        <v>945</v>
      </c>
      <c r="AF747" s="131">
        <v>52</v>
      </c>
      <c r="AG747" s="131" t="s">
        <v>940</v>
      </c>
      <c r="AH747" s="131">
        <v>0</v>
      </c>
      <c r="AI747" s="131">
        <v>15</v>
      </c>
      <c r="AJ747" s="131" t="s">
        <v>1890</v>
      </c>
    </row>
    <row r="748" spans="27:36">
      <c r="AA748" s="131">
        <v>7026</v>
      </c>
      <c r="AB748" s="131" t="s">
        <v>1911</v>
      </c>
      <c r="AC748" s="131" t="s">
        <v>927</v>
      </c>
      <c r="AD748" s="131" t="s">
        <v>927</v>
      </c>
      <c r="AE748" s="131" t="s">
        <v>916</v>
      </c>
      <c r="AF748" s="131">
        <v>0</v>
      </c>
      <c r="AG748" s="131"/>
      <c r="AH748" s="131">
        <v>0</v>
      </c>
      <c r="AI748" s="131">
        <v>27</v>
      </c>
      <c r="AJ748" s="131"/>
    </row>
    <row r="749" spans="27:36">
      <c r="AA749" s="131">
        <v>7027</v>
      </c>
      <c r="AB749" s="131" t="s">
        <v>1912</v>
      </c>
      <c r="AC749" s="131" t="s">
        <v>927</v>
      </c>
      <c r="AD749" s="131" t="s">
        <v>927</v>
      </c>
      <c r="AE749" s="131" t="s">
        <v>916</v>
      </c>
      <c r="AF749" s="131">
        <v>0</v>
      </c>
      <c r="AG749" s="131"/>
      <c r="AH749" s="131">
        <v>20</v>
      </c>
      <c r="AI749" s="131">
        <v>28</v>
      </c>
      <c r="AJ749" s="131"/>
    </row>
    <row r="750" spans="27:36">
      <c r="AA750" s="131">
        <v>7028</v>
      </c>
      <c r="AB750" s="131" t="s">
        <v>1913</v>
      </c>
      <c r="AC750" s="131" t="s">
        <v>927</v>
      </c>
      <c r="AD750" s="131" t="s">
        <v>927</v>
      </c>
      <c r="AE750" s="131" t="s">
        <v>916</v>
      </c>
      <c r="AF750" s="131">
        <v>0</v>
      </c>
      <c r="AG750" s="131"/>
      <c r="AH750" s="131">
        <v>0</v>
      </c>
      <c r="AI750" s="131">
        <v>28</v>
      </c>
      <c r="AJ750" s="131"/>
    </row>
    <row r="751" spans="27:36">
      <c r="AA751" s="131">
        <v>7029</v>
      </c>
      <c r="AB751" s="131" t="s">
        <v>1914</v>
      </c>
      <c r="AC751" s="131" t="s">
        <v>927</v>
      </c>
      <c r="AD751" s="131" t="s">
        <v>927</v>
      </c>
      <c r="AE751" s="131" t="s">
        <v>916</v>
      </c>
      <c r="AF751" s="131">
        <v>0</v>
      </c>
      <c r="AG751" s="131"/>
      <c r="AH751" s="131">
        <v>20</v>
      </c>
      <c r="AI751" s="131">
        <v>28</v>
      </c>
      <c r="AJ751" s="131"/>
    </row>
    <row r="752" spans="27:36">
      <c r="AA752" s="131">
        <v>7030</v>
      </c>
      <c r="AB752" s="131" t="s">
        <v>1915</v>
      </c>
      <c r="AC752" s="131" t="s">
        <v>927</v>
      </c>
      <c r="AD752" s="131" t="s">
        <v>927</v>
      </c>
      <c r="AE752" s="131" t="s">
        <v>945</v>
      </c>
      <c r="AF752" s="131">
        <v>170</v>
      </c>
      <c r="AG752" s="131" t="s">
        <v>940</v>
      </c>
      <c r="AH752" s="131">
        <v>0</v>
      </c>
      <c r="AI752" s="131">
        <v>16</v>
      </c>
      <c r="AJ752" s="131" t="s">
        <v>1890</v>
      </c>
    </row>
    <row r="753" spans="27:36">
      <c r="AA753" s="131">
        <v>7031</v>
      </c>
      <c r="AB753" s="131" t="s">
        <v>1916</v>
      </c>
      <c r="AC753" s="131" t="s">
        <v>927</v>
      </c>
      <c r="AD753" s="131" t="s">
        <v>927</v>
      </c>
      <c r="AE753" s="131" t="s">
        <v>945</v>
      </c>
      <c r="AF753" s="131">
        <v>75</v>
      </c>
      <c r="AG753" s="131"/>
      <c r="AH753" s="131">
        <v>0</v>
      </c>
      <c r="AI753" s="131">
        <v>16</v>
      </c>
      <c r="AJ753" s="131" t="s">
        <v>1890</v>
      </c>
    </row>
    <row r="754" spans="27:36">
      <c r="AA754" s="131">
        <v>7035</v>
      </c>
      <c r="AB754" s="131" t="s">
        <v>1917</v>
      </c>
      <c r="AC754" s="131" t="s">
        <v>927</v>
      </c>
      <c r="AD754" s="131" t="s">
        <v>927</v>
      </c>
      <c r="AE754" s="131" t="s">
        <v>957</v>
      </c>
      <c r="AF754" s="131">
        <v>0</v>
      </c>
      <c r="AG754" s="131"/>
      <c r="AH754" s="131">
        <v>20</v>
      </c>
      <c r="AI754" s="131">
        <v>27</v>
      </c>
      <c r="AJ754" s="131"/>
    </row>
    <row r="755" spans="27:36">
      <c r="AA755" s="131">
        <v>7036</v>
      </c>
      <c r="AB755" s="131" t="s">
        <v>1918</v>
      </c>
      <c r="AC755" s="131" t="s">
        <v>927</v>
      </c>
      <c r="AD755" s="131" t="s">
        <v>927</v>
      </c>
      <c r="AE755" s="131" t="s">
        <v>957</v>
      </c>
      <c r="AF755" s="131">
        <v>0</v>
      </c>
      <c r="AG755" s="131"/>
      <c r="AH755" s="131">
        <v>20</v>
      </c>
      <c r="AI755" s="131">
        <v>27</v>
      </c>
      <c r="AJ755" s="131"/>
    </row>
    <row r="756" spans="27:36">
      <c r="AA756" s="131">
        <v>7040</v>
      </c>
      <c r="AB756" s="131" t="s">
        <v>1919</v>
      </c>
      <c r="AC756" s="131" t="s">
        <v>927</v>
      </c>
      <c r="AD756" s="131" t="s">
        <v>927</v>
      </c>
      <c r="AE756" s="131" t="s">
        <v>945</v>
      </c>
      <c r="AF756" s="131">
        <v>170</v>
      </c>
      <c r="AG756" s="131" t="s">
        <v>940</v>
      </c>
      <c r="AH756" s="131">
        <v>0</v>
      </c>
      <c r="AI756" s="131">
        <v>15</v>
      </c>
      <c r="AJ756" s="131"/>
    </row>
    <row r="757" spans="27:36">
      <c r="AA757" s="131">
        <v>7050</v>
      </c>
      <c r="AB757" s="131" t="s">
        <v>1920</v>
      </c>
      <c r="AC757" s="131" t="s">
        <v>927</v>
      </c>
      <c r="AD757" s="131" t="s">
        <v>927</v>
      </c>
      <c r="AE757" s="131" t="s">
        <v>957</v>
      </c>
      <c r="AF757" s="131">
        <v>0</v>
      </c>
      <c r="AG757" s="131" t="s">
        <v>940</v>
      </c>
      <c r="AH757" s="131">
        <v>20</v>
      </c>
      <c r="AI757" s="131">
        <v>27</v>
      </c>
      <c r="AJ757" s="131"/>
    </row>
    <row r="758" spans="27:36">
      <c r="AA758" s="131">
        <v>7052</v>
      </c>
      <c r="AB758" s="131" t="s">
        <v>1921</v>
      </c>
      <c r="AC758" s="131" t="s">
        <v>927</v>
      </c>
      <c r="AD758" s="131" t="s">
        <v>927</v>
      </c>
      <c r="AE758" s="131" t="s">
        <v>957</v>
      </c>
      <c r="AF758" s="131">
        <v>0</v>
      </c>
      <c r="AG758" s="131" t="s">
        <v>940</v>
      </c>
      <c r="AH758" s="131">
        <v>20</v>
      </c>
      <c r="AI758" s="131">
        <v>27</v>
      </c>
      <c r="AJ758" s="131"/>
    </row>
    <row r="759" spans="27:36">
      <c r="AA759" s="131">
        <v>7053</v>
      </c>
      <c r="AB759" s="131" t="s">
        <v>1922</v>
      </c>
      <c r="AC759" s="131" t="s">
        <v>927</v>
      </c>
      <c r="AD759" s="131" t="s">
        <v>927</v>
      </c>
      <c r="AE759" s="131" t="s">
        <v>957</v>
      </c>
      <c r="AF759" s="131">
        <v>0</v>
      </c>
      <c r="AG759" s="131"/>
      <c r="AH759" s="131">
        <v>20</v>
      </c>
      <c r="AI759" s="131">
        <v>27</v>
      </c>
      <c r="AJ759" s="131"/>
    </row>
    <row r="760" spans="27:36">
      <c r="AA760" s="131">
        <v>7054</v>
      </c>
      <c r="AB760" s="131" t="s">
        <v>1923</v>
      </c>
      <c r="AC760" s="131" t="s">
        <v>927</v>
      </c>
      <c r="AD760" s="131" t="s">
        <v>927</v>
      </c>
      <c r="AE760" s="131" t="s">
        <v>957</v>
      </c>
      <c r="AF760" s="131">
        <v>0</v>
      </c>
      <c r="AG760" s="131"/>
      <c r="AH760" s="131">
        <v>30</v>
      </c>
      <c r="AI760" s="131">
        <v>27</v>
      </c>
      <c r="AJ760" s="131"/>
    </row>
    <row r="761" spans="27:36">
      <c r="AA761" s="131">
        <v>7055</v>
      </c>
      <c r="AB761" s="131" t="s">
        <v>1924</v>
      </c>
      <c r="AC761" s="131" t="s">
        <v>927</v>
      </c>
      <c r="AD761" s="131" t="s">
        <v>927</v>
      </c>
      <c r="AE761" s="131" t="s">
        <v>957</v>
      </c>
      <c r="AF761" s="131">
        <v>0</v>
      </c>
      <c r="AG761" s="131" t="s">
        <v>940</v>
      </c>
      <c r="AH761" s="131">
        <v>20</v>
      </c>
      <c r="AI761" s="131">
        <v>27</v>
      </c>
      <c r="AJ761" s="131"/>
    </row>
    <row r="762" spans="27:36">
      <c r="AA762" s="131">
        <v>7057</v>
      </c>
      <c r="AB762" s="131" t="s">
        <v>1925</v>
      </c>
      <c r="AC762" s="131" t="s">
        <v>927</v>
      </c>
      <c r="AD762" s="131" t="s">
        <v>927</v>
      </c>
      <c r="AE762" s="131" t="s">
        <v>957</v>
      </c>
      <c r="AF762" s="131">
        <v>0</v>
      </c>
      <c r="AG762" s="131"/>
      <c r="AH762" s="131">
        <v>0</v>
      </c>
      <c r="AI762" s="131">
        <v>27</v>
      </c>
      <c r="AJ762" s="131"/>
    </row>
    <row r="763" spans="27:36">
      <c r="AA763" s="131">
        <v>7058</v>
      </c>
      <c r="AB763" s="131" t="s">
        <v>1926</v>
      </c>
      <c r="AC763" s="131" t="s">
        <v>927</v>
      </c>
      <c r="AD763" s="131" t="s">
        <v>927</v>
      </c>
      <c r="AE763" s="131" t="s">
        <v>957</v>
      </c>
      <c r="AF763" s="131">
        <v>0</v>
      </c>
      <c r="AG763" s="131"/>
      <c r="AH763" s="131">
        <v>20</v>
      </c>
      <c r="AI763" s="131">
        <v>27</v>
      </c>
      <c r="AJ763" s="131"/>
    </row>
    <row r="764" spans="27:36">
      <c r="AA764" s="131">
        <v>7059</v>
      </c>
      <c r="AB764" s="131" t="s">
        <v>1927</v>
      </c>
      <c r="AC764" s="131" t="s">
        <v>927</v>
      </c>
      <c r="AD764" s="131" t="s">
        <v>927</v>
      </c>
      <c r="AE764" s="131" t="s">
        <v>945</v>
      </c>
      <c r="AF764" s="131">
        <v>52</v>
      </c>
      <c r="AG764" s="131" t="s">
        <v>940</v>
      </c>
      <c r="AH764" s="131">
        <v>20</v>
      </c>
      <c r="AI764" s="131">
        <v>22</v>
      </c>
      <c r="AJ764" s="131"/>
    </row>
    <row r="765" spans="27:36">
      <c r="AA765" s="131">
        <v>7085</v>
      </c>
      <c r="AB765" s="131" t="s">
        <v>1928</v>
      </c>
      <c r="AC765" s="131" t="s">
        <v>927</v>
      </c>
      <c r="AD765" s="131" t="s">
        <v>927</v>
      </c>
      <c r="AE765" s="131" t="s">
        <v>957</v>
      </c>
      <c r="AF765" s="131">
        <v>0</v>
      </c>
      <c r="AG765" s="131"/>
      <c r="AH765" s="131">
        <v>20</v>
      </c>
      <c r="AI765" s="131">
        <v>27</v>
      </c>
      <c r="AJ765" s="131"/>
    </row>
    <row r="766" spans="27:36">
      <c r="AA766" s="131">
        <v>7090</v>
      </c>
      <c r="AB766" s="131" t="s">
        <v>1929</v>
      </c>
      <c r="AC766" s="131" t="s">
        <v>927</v>
      </c>
      <c r="AD766" s="131" t="s">
        <v>927</v>
      </c>
      <c r="AE766" s="131" t="s">
        <v>957</v>
      </c>
      <c r="AF766" s="131">
        <v>0</v>
      </c>
      <c r="AG766" s="131"/>
      <c r="AH766" s="131">
        <v>20</v>
      </c>
      <c r="AI766" s="131">
        <v>27</v>
      </c>
      <c r="AJ766" s="131"/>
    </row>
    <row r="767" spans="27:36">
      <c r="AA767" s="131">
        <v>7092</v>
      </c>
      <c r="AB767" s="131" t="s">
        <v>1930</v>
      </c>
      <c r="AC767" s="131" t="s">
        <v>927</v>
      </c>
      <c r="AD767" s="131" t="s">
        <v>927</v>
      </c>
      <c r="AE767" s="131" t="s">
        <v>916</v>
      </c>
      <c r="AF767" s="131">
        <v>0</v>
      </c>
      <c r="AG767" s="131"/>
      <c r="AH767" s="131">
        <v>20</v>
      </c>
      <c r="AI767" s="131">
        <v>27</v>
      </c>
      <c r="AJ767" s="131"/>
    </row>
    <row r="768" spans="27:36">
      <c r="AA768" s="131">
        <v>7160</v>
      </c>
      <c r="AB768" s="131" t="s">
        <v>1931</v>
      </c>
      <c r="AC768" s="131" t="s">
        <v>927</v>
      </c>
      <c r="AD768" s="131" t="s">
        <v>927</v>
      </c>
      <c r="AE768" s="131" t="s">
        <v>945</v>
      </c>
      <c r="AF768" s="131">
        <v>52</v>
      </c>
      <c r="AG768" s="131" t="s">
        <v>940</v>
      </c>
      <c r="AH768" s="131">
        <v>0</v>
      </c>
      <c r="AI768" s="131">
        <v>15</v>
      </c>
      <c r="AJ768" s="131"/>
    </row>
    <row r="769" spans="27:36">
      <c r="AA769" s="131">
        <v>7250</v>
      </c>
      <c r="AB769" s="131" t="s">
        <v>1932</v>
      </c>
      <c r="AC769" s="131" t="s">
        <v>927</v>
      </c>
      <c r="AD769" s="131" t="s">
        <v>927</v>
      </c>
      <c r="AE769" s="131" t="s">
        <v>945</v>
      </c>
      <c r="AF769" s="131">
        <v>52</v>
      </c>
      <c r="AG769" s="131" t="s">
        <v>940</v>
      </c>
      <c r="AH769" s="131">
        <v>0</v>
      </c>
      <c r="AI769" s="131">
        <v>16</v>
      </c>
      <c r="AJ769" s="131"/>
    </row>
    <row r="770" spans="27:36">
      <c r="AA770" s="131">
        <v>7324</v>
      </c>
      <c r="AB770" s="131" t="s">
        <v>1933</v>
      </c>
      <c r="AC770" s="131" t="s">
        <v>927</v>
      </c>
      <c r="AD770" s="131" t="s">
        <v>927</v>
      </c>
      <c r="AE770" s="131" t="s">
        <v>957</v>
      </c>
      <c r="AF770" s="131">
        <v>0</v>
      </c>
      <c r="AG770" s="131" t="s">
        <v>940</v>
      </c>
      <c r="AH770" s="131">
        <v>20</v>
      </c>
      <c r="AI770" s="131">
        <v>27</v>
      </c>
      <c r="AJ770" s="131"/>
    </row>
    <row r="771" spans="27:36">
      <c r="AA771" s="131">
        <v>7325</v>
      </c>
      <c r="AB771" s="131" t="s">
        <v>1934</v>
      </c>
      <c r="AC771" s="131" t="s">
        <v>927</v>
      </c>
      <c r="AD771" s="131" t="s">
        <v>927</v>
      </c>
      <c r="AE771" s="131" t="s">
        <v>957</v>
      </c>
      <c r="AF771" s="131">
        <v>0</v>
      </c>
      <c r="AG771" s="131"/>
      <c r="AH771" s="131">
        <v>20</v>
      </c>
      <c r="AI771" s="131">
        <v>27</v>
      </c>
      <c r="AJ771" s="131"/>
    </row>
    <row r="772" spans="27:36">
      <c r="AA772" s="131">
        <v>7335</v>
      </c>
      <c r="AB772" s="131" t="s">
        <v>1935</v>
      </c>
      <c r="AC772" s="131" t="s">
        <v>927</v>
      </c>
      <c r="AD772" s="131" t="s">
        <v>927</v>
      </c>
      <c r="AE772" s="131" t="s">
        <v>945</v>
      </c>
      <c r="AF772" s="131">
        <v>60</v>
      </c>
      <c r="AG772" s="131" t="s">
        <v>940</v>
      </c>
      <c r="AH772" s="131">
        <v>20</v>
      </c>
      <c r="AI772" s="131">
        <v>16</v>
      </c>
      <c r="AJ772" s="131" t="s">
        <v>1890</v>
      </c>
    </row>
    <row r="773" spans="27:36">
      <c r="AA773" s="131">
        <v>7340</v>
      </c>
      <c r="AB773" s="131" t="s">
        <v>1936</v>
      </c>
      <c r="AC773" s="131" t="s">
        <v>927</v>
      </c>
      <c r="AD773" s="131" t="s">
        <v>927</v>
      </c>
      <c r="AE773" s="131" t="s">
        <v>957</v>
      </c>
      <c r="AF773" s="131">
        <v>0</v>
      </c>
      <c r="AG773" s="131"/>
      <c r="AH773" s="131">
        <v>20</v>
      </c>
      <c r="AI773" s="131">
        <v>27</v>
      </c>
      <c r="AJ773" s="131"/>
    </row>
    <row r="774" spans="27:36">
      <c r="AA774" s="131">
        <v>7350</v>
      </c>
      <c r="AB774" s="131" t="s">
        <v>1937</v>
      </c>
      <c r="AC774" s="131" t="s">
        <v>927</v>
      </c>
      <c r="AD774" s="131" t="s">
        <v>927</v>
      </c>
      <c r="AE774" s="131" t="s">
        <v>916</v>
      </c>
      <c r="AF774" s="131">
        <v>52</v>
      </c>
      <c r="AG774" s="131"/>
      <c r="AH774" s="131">
        <v>10</v>
      </c>
      <c r="AI774" s="131">
        <v>28</v>
      </c>
      <c r="AJ774" s="131"/>
    </row>
    <row r="775" spans="27:36">
      <c r="AA775" s="131">
        <v>7400</v>
      </c>
      <c r="AB775" s="131" t="s">
        <v>1938</v>
      </c>
      <c r="AC775" s="131" t="s">
        <v>927</v>
      </c>
      <c r="AD775" s="131" t="s">
        <v>927</v>
      </c>
      <c r="AE775" s="131" t="s">
        <v>957</v>
      </c>
      <c r="AF775" s="131">
        <v>0</v>
      </c>
      <c r="AG775" s="131"/>
      <c r="AH775" s="131">
        <v>20</v>
      </c>
      <c r="AI775" s="131">
        <v>27</v>
      </c>
      <c r="AJ775" s="131"/>
    </row>
    <row r="776" spans="27:36">
      <c r="AA776" s="131">
        <v>7401</v>
      </c>
      <c r="AB776" s="131" t="s">
        <v>1939</v>
      </c>
      <c r="AC776" s="131" t="s">
        <v>1940</v>
      </c>
      <c r="AD776" s="131" t="s">
        <v>1941</v>
      </c>
      <c r="AE776" s="131" t="s">
        <v>945</v>
      </c>
      <c r="AF776" s="131">
        <v>52</v>
      </c>
      <c r="AG776" s="131" t="s">
        <v>940</v>
      </c>
      <c r="AH776" s="131">
        <v>20</v>
      </c>
      <c r="AI776" s="131">
        <v>16</v>
      </c>
      <c r="AJ776" s="131" t="s">
        <v>1890</v>
      </c>
    </row>
    <row r="777" spans="27:36">
      <c r="AA777" s="131">
        <v>7402</v>
      </c>
      <c r="AB777" s="131" t="s">
        <v>1942</v>
      </c>
      <c r="AC777" s="131" t="s">
        <v>1943</v>
      </c>
      <c r="AD777" s="131" t="s">
        <v>1944</v>
      </c>
      <c r="AE777" s="131" t="s">
        <v>957</v>
      </c>
      <c r="AF777" s="131">
        <v>0</v>
      </c>
      <c r="AG777" s="131" t="s">
        <v>940</v>
      </c>
      <c r="AH777" s="131">
        <v>0</v>
      </c>
      <c r="AI777" s="131">
        <v>27</v>
      </c>
      <c r="AJ777" s="131"/>
    </row>
    <row r="778" spans="27:36">
      <c r="AA778" s="131">
        <v>7403</v>
      </c>
      <c r="AB778" s="131" t="s">
        <v>1945</v>
      </c>
      <c r="AC778" s="131" t="s">
        <v>1946</v>
      </c>
      <c r="AD778" s="131" t="s">
        <v>1947</v>
      </c>
      <c r="AE778" s="131" t="s">
        <v>957</v>
      </c>
      <c r="AF778" s="131">
        <v>0</v>
      </c>
      <c r="AG778" s="131" t="s">
        <v>940</v>
      </c>
      <c r="AH778" s="131">
        <v>0</v>
      </c>
      <c r="AI778" s="131">
        <v>27</v>
      </c>
      <c r="AJ778" s="131"/>
    </row>
    <row r="779" spans="27:36">
      <c r="AA779" s="131">
        <v>7404</v>
      </c>
      <c r="AB779" s="131" t="s">
        <v>1948</v>
      </c>
      <c r="AC779" s="131" t="s">
        <v>1949</v>
      </c>
      <c r="AD779" s="131" t="s">
        <v>1950</v>
      </c>
      <c r="AE779" s="131" t="s">
        <v>945</v>
      </c>
      <c r="AF779" s="131">
        <v>180</v>
      </c>
      <c r="AG779" s="131" t="s">
        <v>940</v>
      </c>
      <c r="AH779" s="131">
        <v>0</v>
      </c>
      <c r="AI779" s="131">
        <v>16</v>
      </c>
      <c r="AJ779" s="131" t="s">
        <v>1890</v>
      </c>
    </row>
    <row r="780" spans="27:36">
      <c r="AA780" s="131">
        <v>7415</v>
      </c>
      <c r="AB780" s="131" t="s">
        <v>1951</v>
      </c>
      <c r="AC780" s="131" t="s">
        <v>927</v>
      </c>
      <c r="AD780" s="131" t="s">
        <v>927</v>
      </c>
      <c r="AE780" s="131" t="s">
        <v>945</v>
      </c>
      <c r="AF780" s="131">
        <v>52</v>
      </c>
      <c r="AG780" s="131" t="s">
        <v>940</v>
      </c>
      <c r="AH780" s="131">
        <v>20</v>
      </c>
      <c r="AI780" s="131">
        <v>16</v>
      </c>
      <c r="AJ780" s="131"/>
    </row>
    <row r="781" spans="27:36">
      <c r="AA781" s="131">
        <v>7421</v>
      </c>
      <c r="AB781" s="131" t="s">
        <v>1952</v>
      </c>
      <c r="AC781" s="131" t="s">
        <v>927</v>
      </c>
      <c r="AD781" s="131" t="s">
        <v>927</v>
      </c>
      <c r="AE781" s="131" t="s">
        <v>945</v>
      </c>
      <c r="AF781" s="131">
        <v>52</v>
      </c>
      <c r="AG781" s="131" t="s">
        <v>940</v>
      </c>
      <c r="AH781" s="131">
        <v>20</v>
      </c>
      <c r="AI781" s="131">
        <v>16</v>
      </c>
      <c r="AJ781" s="131"/>
    </row>
    <row r="782" spans="27:36">
      <c r="AA782" s="131">
        <v>7425</v>
      </c>
      <c r="AB782" s="131" t="s">
        <v>1953</v>
      </c>
      <c r="AC782" s="131" t="s">
        <v>927</v>
      </c>
      <c r="AD782" s="131" t="s">
        <v>927</v>
      </c>
      <c r="AE782" s="131" t="s">
        <v>957</v>
      </c>
      <c r="AF782" s="131">
        <v>0</v>
      </c>
      <c r="AG782" s="131" t="s">
        <v>940</v>
      </c>
      <c r="AH782" s="131">
        <v>20</v>
      </c>
      <c r="AI782" s="131">
        <v>27</v>
      </c>
      <c r="AJ782" s="131"/>
    </row>
    <row r="783" spans="27:36">
      <c r="AA783" s="131">
        <v>7610</v>
      </c>
      <c r="AB783" s="131" t="s">
        <v>1954</v>
      </c>
      <c r="AC783" s="131" t="s">
        <v>927</v>
      </c>
      <c r="AD783" s="131" t="s">
        <v>927</v>
      </c>
      <c r="AE783" s="131" t="s">
        <v>916</v>
      </c>
      <c r="AF783" s="131">
        <v>0</v>
      </c>
      <c r="AG783" s="131"/>
      <c r="AH783" s="131">
        <v>0</v>
      </c>
      <c r="AI783" s="131">
        <v>28</v>
      </c>
      <c r="AJ783" s="131"/>
    </row>
    <row r="784" spans="27:36">
      <c r="AA784" s="131">
        <v>7611</v>
      </c>
      <c r="AB784" s="131" t="s">
        <v>1955</v>
      </c>
      <c r="AC784" s="131" t="s">
        <v>927</v>
      </c>
      <c r="AD784" s="131" t="s">
        <v>927</v>
      </c>
      <c r="AE784" s="131" t="s">
        <v>957</v>
      </c>
      <c r="AF784" s="131">
        <v>0</v>
      </c>
      <c r="AG784" s="131"/>
      <c r="AH784" s="131">
        <v>0</v>
      </c>
      <c r="AI784" s="131">
        <v>27</v>
      </c>
      <c r="AJ784" s="131"/>
    </row>
    <row r="785" spans="27:36">
      <c r="AA785" s="131">
        <v>8000</v>
      </c>
      <c r="AB785" s="131" t="s">
        <v>1956</v>
      </c>
      <c r="AC785" s="131" t="s">
        <v>1957</v>
      </c>
      <c r="AD785" s="131" t="s">
        <v>1958</v>
      </c>
      <c r="AE785" s="131" t="s">
        <v>916</v>
      </c>
      <c r="AF785" s="131">
        <v>52</v>
      </c>
      <c r="AG785" s="131"/>
      <c r="AH785" s="131">
        <v>20</v>
      </c>
      <c r="AI785" s="131">
        <v>30</v>
      </c>
      <c r="AJ785" s="131"/>
    </row>
    <row r="786" spans="27:36">
      <c r="AA786" s="131">
        <v>8001</v>
      </c>
      <c r="AB786" s="131" t="s">
        <v>1959</v>
      </c>
      <c r="AC786" s="131" t="s">
        <v>927</v>
      </c>
      <c r="AD786" s="131" t="s">
        <v>927</v>
      </c>
      <c r="AE786" s="131" t="s">
        <v>916</v>
      </c>
      <c r="AF786" s="131">
        <v>75</v>
      </c>
      <c r="AG786" s="131"/>
      <c r="AH786" s="131">
        <v>20</v>
      </c>
      <c r="AI786" s="131">
        <v>4</v>
      </c>
      <c r="AJ786" s="131"/>
    </row>
    <row r="787" spans="27:36">
      <c r="AA787" s="131">
        <v>8002</v>
      </c>
      <c r="AB787" s="131" t="s">
        <v>1960</v>
      </c>
      <c r="AC787" s="131" t="s">
        <v>927</v>
      </c>
      <c r="AD787" s="131" t="s">
        <v>927</v>
      </c>
      <c r="AE787" s="131" t="s">
        <v>916</v>
      </c>
      <c r="AF787" s="131">
        <v>52</v>
      </c>
      <c r="AG787" s="131"/>
      <c r="AH787" s="131">
        <v>20</v>
      </c>
      <c r="AI787" s="131">
        <v>4</v>
      </c>
      <c r="AJ787" s="131"/>
    </row>
    <row r="788" spans="27:36">
      <c r="AA788" s="131">
        <v>8100</v>
      </c>
      <c r="AB788" s="131" t="s">
        <v>1961</v>
      </c>
      <c r="AC788" s="131" t="s">
        <v>1962</v>
      </c>
      <c r="AD788" s="131" t="s">
        <v>1963</v>
      </c>
      <c r="AE788" s="131" t="s">
        <v>957</v>
      </c>
      <c r="AF788" s="131">
        <v>0</v>
      </c>
      <c r="AG788" s="131"/>
      <c r="AH788" s="131">
        <v>20</v>
      </c>
      <c r="AI788" s="131">
        <v>27</v>
      </c>
      <c r="AJ788" s="131"/>
    </row>
    <row r="789" spans="27:36">
      <c r="AA789" s="131">
        <v>8105</v>
      </c>
      <c r="AB789" s="131" t="s">
        <v>1964</v>
      </c>
      <c r="AC789" s="131" t="s">
        <v>927</v>
      </c>
      <c r="AD789" s="131" t="s">
        <v>927</v>
      </c>
      <c r="AE789" s="131" t="s">
        <v>916</v>
      </c>
      <c r="AF789" s="131">
        <v>0</v>
      </c>
      <c r="AG789" s="131"/>
      <c r="AH789" s="131">
        <v>0</v>
      </c>
      <c r="AI789" s="131">
        <v>27</v>
      </c>
      <c r="AJ789" s="131"/>
    </row>
    <row r="790" spans="27:36">
      <c r="AA790" s="131">
        <v>8200</v>
      </c>
      <c r="AB790" s="131" t="s">
        <v>1965</v>
      </c>
      <c r="AC790" s="131" t="s">
        <v>927</v>
      </c>
      <c r="AD790" s="131" t="s">
        <v>927</v>
      </c>
      <c r="AE790" s="131" t="s">
        <v>916</v>
      </c>
      <c r="AF790" s="131">
        <v>0</v>
      </c>
      <c r="AG790" s="131"/>
      <c r="AH790" s="131">
        <v>20</v>
      </c>
      <c r="AI790" s="131">
        <v>32</v>
      </c>
      <c r="AJ790" s="131"/>
    </row>
    <row r="791" spans="27:36">
      <c r="AA791" s="131">
        <v>8300</v>
      </c>
      <c r="AB791" s="131" t="s">
        <v>1966</v>
      </c>
      <c r="AC791" s="131" t="s">
        <v>927</v>
      </c>
      <c r="AD791" s="131" t="s">
        <v>927</v>
      </c>
      <c r="AE791" s="131" t="s">
        <v>916</v>
      </c>
      <c r="AF791" s="131">
        <v>0</v>
      </c>
      <c r="AG791" s="131" t="s">
        <v>940</v>
      </c>
      <c r="AH791" s="131">
        <v>20</v>
      </c>
      <c r="AI791" s="131">
        <v>28</v>
      </c>
      <c r="AJ791" s="131"/>
    </row>
    <row r="792" spans="27:36">
      <c r="AA792" s="131">
        <v>8400</v>
      </c>
      <c r="AB792" s="131" t="s">
        <v>1967</v>
      </c>
      <c r="AC792" s="131" t="s">
        <v>927</v>
      </c>
      <c r="AD792" s="131" t="s">
        <v>927</v>
      </c>
      <c r="AE792" s="131" t="s">
        <v>957</v>
      </c>
      <c r="AF792" s="131">
        <v>0</v>
      </c>
      <c r="AG792" s="131"/>
      <c r="AH792" s="131">
        <v>20</v>
      </c>
      <c r="AI792" s="131">
        <v>27</v>
      </c>
      <c r="AJ792" s="131"/>
    </row>
    <row r="793" spans="27:36">
      <c r="AA793" s="131">
        <v>8401</v>
      </c>
      <c r="AB793" s="131" t="s">
        <v>1968</v>
      </c>
      <c r="AC793" s="131" t="s">
        <v>927</v>
      </c>
      <c r="AD793" s="131" t="s">
        <v>927</v>
      </c>
      <c r="AE793" s="131" t="s">
        <v>945</v>
      </c>
      <c r="AF793" s="131">
        <v>52</v>
      </c>
      <c r="AG793" s="131"/>
      <c r="AH793" s="131">
        <v>20</v>
      </c>
      <c r="AI793" s="131">
        <v>16</v>
      </c>
      <c r="AJ793" s="131"/>
    </row>
    <row r="794" spans="27:36">
      <c r="AA794" s="131">
        <v>8402</v>
      </c>
      <c r="AB794" s="131" t="s">
        <v>1969</v>
      </c>
      <c r="AC794" s="131" t="s">
        <v>927</v>
      </c>
      <c r="AD794" s="131" t="s">
        <v>927</v>
      </c>
      <c r="AE794" s="131" t="s">
        <v>957</v>
      </c>
      <c r="AF794" s="131">
        <v>0</v>
      </c>
      <c r="AG794" s="131"/>
      <c r="AH794" s="131">
        <v>20</v>
      </c>
      <c r="AI794" s="131">
        <v>27</v>
      </c>
      <c r="AJ794" s="131"/>
    </row>
    <row r="795" spans="27:36">
      <c r="AA795" s="131">
        <v>8405</v>
      </c>
      <c r="AB795" s="131" t="s">
        <v>1970</v>
      </c>
      <c r="AC795" s="131" t="s">
        <v>927</v>
      </c>
      <c r="AD795" s="131" t="s">
        <v>927</v>
      </c>
      <c r="AE795" s="131" t="s">
        <v>916</v>
      </c>
      <c r="AF795" s="131">
        <v>0</v>
      </c>
      <c r="AG795" s="131"/>
      <c r="AH795" s="131">
        <v>20</v>
      </c>
      <c r="AI795" s="131">
        <v>28</v>
      </c>
      <c r="AJ795" s="131"/>
    </row>
    <row r="796" spans="27:36">
      <c r="AA796" s="131">
        <v>8410</v>
      </c>
      <c r="AB796" s="131" t="s">
        <v>1971</v>
      </c>
      <c r="AC796" s="131" t="s">
        <v>927</v>
      </c>
      <c r="AD796" s="131" t="s">
        <v>927</v>
      </c>
      <c r="AE796" s="131" t="s">
        <v>957</v>
      </c>
      <c r="AF796" s="131">
        <v>0</v>
      </c>
      <c r="AG796" s="131" t="s">
        <v>940</v>
      </c>
      <c r="AH796" s="131">
        <v>20</v>
      </c>
      <c r="AI796" s="131">
        <v>27</v>
      </c>
      <c r="AJ796" s="131"/>
    </row>
    <row r="797" spans="27:36">
      <c r="AA797" s="131">
        <v>8420</v>
      </c>
      <c r="AB797" s="131" t="s">
        <v>1972</v>
      </c>
      <c r="AC797" s="131" t="s">
        <v>927</v>
      </c>
      <c r="AD797" s="131" t="s">
        <v>927</v>
      </c>
      <c r="AE797" s="131" t="s">
        <v>957</v>
      </c>
      <c r="AF797" s="131">
        <v>0</v>
      </c>
      <c r="AG797" s="131" t="s">
        <v>940</v>
      </c>
      <c r="AH797" s="131">
        <v>20</v>
      </c>
      <c r="AI797" s="131">
        <v>27</v>
      </c>
      <c r="AJ797" s="131"/>
    </row>
    <row r="798" spans="27:36">
      <c r="AA798" s="131">
        <v>9000</v>
      </c>
      <c r="AB798" s="131" t="s">
        <v>1973</v>
      </c>
      <c r="AC798" s="131" t="s">
        <v>1974</v>
      </c>
      <c r="AD798" s="131" t="s">
        <v>1975</v>
      </c>
      <c r="AE798" s="131" t="s">
        <v>916</v>
      </c>
      <c r="AF798" s="131">
        <v>0</v>
      </c>
      <c r="AG798" s="131"/>
      <c r="AH798" s="131">
        <v>20</v>
      </c>
      <c r="AI798" s="131">
        <v>27</v>
      </c>
      <c r="AJ798" s="131"/>
    </row>
    <row r="799" spans="27:36">
      <c r="AA799" s="131">
        <v>9001</v>
      </c>
      <c r="AB799" s="131" t="s">
        <v>1976</v>
      </c>
      <c r="AC799" s="131" t="s">
        <v>927</v>
      </c>
      <c r="AD799" s="131" t="s">
        <v>927</v>
      </c>
      <c r="AE799" s="131" t="s">
        <v>916</v>
      </c>
      <c r="AF799" s="131">
        <v>0</v>
      </c>
      <c r="AG799" s="131"/>
      <c r="AH799" s="131">
        <v>20</v>
      </c>
      <c r="AI799" s="131">
        <v>27</v>
      </c>
      <c r="AJ799" s="131"/>
    </row>
    <row r="800" spans="27:36">
      <c r="AA800" s="131">
        <v>9006</v>
      </c>
      <c r="AB800" s="131" t="s">
        <v>1977</v>
      </c>
      <c r="AC800" s="131" t="s">
        <v>927</v>
      </c>
      <c r="AD800" s="131" t="s">
        <v>927</v>
      </c>
      <c r="AE800" s="131" t="s">
        <v>916</v>
      </c>
      <c r="AF800" s="131">
        <v>0</v>
      </c>
      <c r="AG800" s="131"/>
      <c r="AH800" s="131">
        <v>20</v>
      </c>
      <c r="AI800" s="131">
        <v>27</v>
      </c>
      <c r="AJ800" s="131"/>
    </row>
    <row r="801" spans="27:36">
      <c r="AA801" s="131">
        <v>9022</v>
      </c>
      <c r="AB801" s="131" t="s">
        <v>1978</v>
      </c>
      <c r="AC801" s="131" t="s">
        <v>927</v>
      </c>
      <c r="AD801" s="131" t="s">
        <v>927</v>
      </c>
      <c r="AE801" s="131" t="s">
        <v>916</v>
      </c>
      <c r="AF801" s="131">
        <v>52</v>
      </c>
      <c r="AG801" s="131"/>
      <c r="AH801" s="131">
        <v>20</v>
      </c>
      <c r="AI801" s="131">
        <v>2</v>
      </c>
      <c r="AJ801" s="131"/>
    </row>
    <row r="802" spans="27:36">
      <c r="AA802" s="131">
        <v>9085</v>
      </c>
      <c r="AB802" s="131" t="s">
        <v>1979</v>
      </c>
      <c r="AC802" s="131" t="s">
        <v>927</v>
      </c>
      <c r="AD802" s="131" t="s">
        <v>927</v>
      </c>
      <c r="AE802" s="131" t="s">
        <v>916</v>
      </c>
      <c r="AF802" s="131">
        <v>0</v>
      </c>
      <c r="AG802" s="131"/>
      <c r="AH802" s="131">
        <v>20</v>
      </c>
      <c r="AI802" s="131">
        <v>28</v>
      </c>
      <c r="AJ802" s="131"/>
    </row>
    <row r="803" spans="27:36">
      <c r="AA803" s="131">
        <v>9086</v>
      </c>
      <c r="AB803" s="131" t="s">
        <v>1980</v>
      </c>
      <c r="AC803" s="131" t="s">
        <v>927</v>
      </c>
      <c r="AD803" s="131" t="s">
        <v>927</v>
      </c>
      <c r="AE803" s="131" t="s">
        <v>945</v>
      </c>
      <c r="AF803" s="131">
        <v>52</v>
      </c>
      <c r="AG803" s="131" t="s">
        <v>940</v>
      </c>
      <c r="AH803" s="131">
        <v>20</v>
      </c>
      <c r="AI803" s="131">
        <v>16</v>
      </c>
      <c r="AJ803" s="131"/>
    </row>
    <row r="804" spans="27:36">
      <c r="AA804" s="131">
        <v>9087</v>
      </c>
      <c r="AB804" s="131" t="s">
        <v>1981</v>
      </c>
      <c r="AC804" s="131" t="s">
        <v>927</v>
      </c>
      <c r="AD804" s="131" t="s">
        <v>927</v>
      </c>
      <c r="AE804" s="131" t="s">
        <v>916</v>
      </c>
      <c r="AF804" s="131">
        <v>0</v>
      </c>
      <c r="AG804" s="131"/>
      <c r="AH804" s="131">
        <v>20</v>
      </c>
      <c r="AI804" s="131">
        <v>28</v>
      </c>
      <c r="AJ804" s="131"/>
    </row>
    <row r="805" spans="27:36">
      <c r="AA805" s="131">
        <v>9090</v>
      </c>
      <c r="AB805" s="131" t="s">
        <v>1982</v>
      </c>
      <c r="AC805" s="131" t="s">
        <v>927</v>
      </c>
      <c r="AD805" s="131" t="s">
        <v>927</v>
      </c>
      <c r="AE805" s="131" t="s">
        <v>957</v>
      </c>
      <c r="AF805" s="131">
        <v>0</v>
      </c>
      <c r="AG805" s="131"/>
      <c r="AH805" s="131">
        <v>20</v>
      </c>
      <c r="AI805" s="131">
        <v>27</v>
      </c>
      <c r="AJ805" s="131"/>
    </row>
    <row r="806" spans="27:36">
      <c r="AA806" s="131">
        <v>9210</v>
      </c>
      <c r="AB806" s="131" t="s">
        <v>1983</v>
      </c>
      <c r="AC806" s="131" t="s">
        <v>1984</v>
      </c>
      <c r="AD806" s="131" t="s">
        <v>1985</v>
      </c>
      <c r="AE806" s="131" t="s">
        <v>916</v>
      </c>
      <c r="AF806" s="131">
        <v>52</v>
      </c>
      <c r="AG806" s="131"/>
      <c r="AH806" s="131">
        <v>20</v>
      </c>
      <c r="AI806" s="131">
        <v>4</v>
      </c>
      <c r="AJ806" s="131"/>
    </row>
    <row r="807" spans="27:36">
      <c r="AA807" s="131">
        <v>9211</v>
      </c>
      <c r="AB807" s="131" t="s">
        <v>1986</v>
      </c>
      <c r="AC807" s="131" t="s">
        <v>927</v>
      </c>
      <c r="AD807" s="131" t="s">
        <v>927</v>
      </c>
      <c r="AE807" s="131" t="s">
        <v>916</v>
      </c>
      <c r="AF807" s="131">
        <v>52</v>
      </c>
      <c r="AG807" s="131"/>
      <c r="AH807" s="131">
        <v>20</v>
      </c>
      <c r="AI807" s="131">
        <v>4</v>
      </c>
      <c r="AJ807" s="131"/>
    </row>
    <row r="808" spans="27:36">
      <c r="AA808" s="131">
        <v>9801</v>
      </c>
      <c r="AB808" s="131" t="s">
        <v>1987</v>
      </c>
      <c r="AC808" s="131" t="s">
        <v>927</v>
      </c>
      <c r="AD808" s="131" t="s">
        <v>927</v>
      </c>
      <c r="AE808" s="131" t="s">
        <v>916</v>
      </c>
      <c r="AF808" s="131">
        <v>75</v>
      </c>
      <c r="AG808" s="131" t="s">
        <v>940</v>
      </c>
      <c r="AH808" s="131">
        <v>0</v>
      </c>
      <c r="AI808" s="131">
        <v>9</v>
      </c>
      <c r="AJ808" s="131"/>
    </row>
    <row r="809" spans="27:36">
      <c r="AA809" s="131">
        <v>9802</v>
      </c>
      <c r="AB809" s="131" t="s">
        <v>1988</v>
      </c>
      <c r="AC809" s="131" t="s">
        <v>927</v>
      </c>
      <c r="AD809" s="131" t="s">
        <v>927</v>
      </c>
      <c r="AE809" s="131" t="s">
        <v>916</v>
      </c>
      <c r="AF809" s="131">
        <v>75</v>
      </c>
      <c r="AG809" s="131" t="s">
        <v>940</v>
      </c>
      <c r="AH809" s="131">
        <v>0</v>
      </c>
      <c r="AI809" s="131">
        <v>9</v>
      </c>
      <c r="AJ809" s="131"/>
    </row>
    <row r="810" spans="27:36">
      <c r="AA810" s="131">
        <v>9811</v>
      </c>
      <c r="AB810" s="131" t="s">
        <v>1989</v>
      </c>
      <c r="AC810" s="131" t="s">
        <v>927</v>
      </c>
      <c r="AD810" s="131" t="s">
        <v>927</v>
      </c>
      <c r="AE810" s="131" t="s">
        <v>916</v>
      </c>
      <c r="AF810" s="131">
        <v>0</v>
      </c>
      <c r="AG810" s="131" t="s">
        <v>940</v>
      </c>
      <c r="AH810" s="131">
        <v>0</v>
      </c>
      <c r="AI810" s="131">
        <v>27</v>
      </c>
      <c r="AJ810" s="131"/>
    </row>
    <row r="811" spans="27:36">
      <c r="AA811" s="131">
        <v>9812</v>
      </c>
      <c r="AB811" s="131" t="s">
        <v>1990</v>
      </c>
      <c r="AC811" s="131" t="s">
        <v>927</v>
      </c>
      <c r="AD811" s="131" t="s">
        <v>927</v>
      </c>
      <c r="AE811" s="131" t="s">
        <v>916</v>
      </c>
      <c r="AF811" s="131">
        <v>0</v>
      </c>
      <c r="AG811" s="131" t="s">
        <v>940</v>
      </c>
      <c r="AH811" s="131">
        <v>0</v>
      </c>
      <c r="AI811" s="131">
        <v>27</v>
      </c>
      <c r="AJ811" s="131"/>
    </row>
    <row r="812" spans="27:36">
      <c r="AA812" s="131">
        <v>9821</v>
      </c>
      <c r="AB812" s="131" t="s">
        <v>1991</v>
      </c>
      <c r="AC812" s="131" t="s">
        <v>927</v>
      </c>
      <c r="AD812" s="131" t="s">
        <v>927</v>
      </c>
      <c r="AE812" s="131" t="s">
        <v>916</v>
      </c>
      <c r="AF812" s="131">
        <v>0</v>
      </c>
      <c r="AG812" s="131" t="s">
        <v>940</v>
      </c>
      <c r="AH812" s="131">
        <v>0</v>
      </c>
      <c r="AI812" s="131">
        <v>27</v>
      </c>
      <c r="AJ812" s="131"/>
    </row>
    <row r="813" spans="27:36">
      <c r="AA813" s="131">
        <v>9822</v>
      </c>
      <c r="AB813" s="131" t="s">
        <v>1992</v>
      </c>
      <c r="AC813" s="131" t="s">
        <v>927</v>
      </c>
      <c r="AD813" s="131" t="s">
        <v>927</v>
      </c>
      <c r="AE813" s="131" t="s">
        <v>916</v>
      </c>
      <c r="AF813" s="131">
        <v>0</v>
      </c>
      <c r="AG813" s="131" t="s">
        <v>940</v>
      </c>
      <c r="AH813" s="131">
        <v>0</v>
      </c>
      <c r="AI813" s="131">
        <v>27</v>
      </c>
      <c r="AJ813" s="131"/>
    </row>
    <row r="814" spans="27:36">
      <c r="AA814" s="131">
        <v>15000</v>
      </c>
      <c r="AB814" s="131" t="s">
        <v>1993</v>
      </c>
      <c r="AC814" s="131" t="s">
        <v>927</v>
      </c>
      <c r="AD814" s="131" t="s">
        <v>927</v>
      </c>
      <c r="AE814" s="131" t="s">
        <v>916</v>
      </c>
      <c r="AF814" s="131">
        <v>52</v>
      </c>
      <c r="AG814" s="131"/>
      <c r="AH814" s="131">
        <v>20</v>
      </c>
      <c r="AI814" s="131">
        <v>6</v>
      </c>
      <c r="AJ814" s="131"/>
    </row>
    <row r="815" spans="27:36">
      <c r="AA815" s="131">
        <v>15001</v>
      </c>
      <c r="AB815" s="131" t="s">
        <v>1994</v>
      </c>
      <c r="AC815" s="131" t="s">
        <v>927</v>
      </c>
      <c r="AD815" s="131" t="s">
        <v>927</v>
      </c>
      <c r="AE815" s="131" t="s">
        <v>916</v>
      </c>
      <c r="AF815" s="131">
        <v>52</v>
      </c>
      <c r="AG815" s="131"/>
      <c r="AH815" s="131">
        <v>20</v>
      </c>
      <c r="AI815" s="131">
        <v>6</v>
      </c>
      <c r="AJ815" s="131"/>
    </row>
    <row r="816" spans="27:36">
      <c r="AA816" s="131">
        <v>15003</v>
      </c>
      <c r="AB816" s="131" t="s">
        <v>1995</v>
      </c>
      <c r="AC816" s="131" t="s">
        <v>927</v>
      </c>
      <c r="AD816" s="131" t="s">
        <v>927</v>
      </c>
      <c r="AE816" s="131" t="s">
        <v>916</v>
      </c>
      <c r="AF816" s="131">
        <v>0</v>
      </c>
      <c r="AG816" s="131"/>
      <c r="AH816" s="131">
        <v>20</v>
      </c>
      <c r="AI816" s="131">
        <v>32</v>
      </c>
      <c r="AJ816" s="131"/>
    </row>
    <row r="817" spans="27:36">
      <c r="AA817" s="131">
        <v>15004</v>
      </c>
      <c r="AB817" s="131" t="s">
        <v>1996</v>
      </c>
      <c r="AC817" s="131" t="s">
        <v>927</v>
      </c>
      <c r="AD817" s="131" t="s">
        <v>927</v>
      </c>
      <c r="AE817" s="131" t="s">
        <v>916</v>
      </c>
      <c r="AF817" s="131">
        <v>0</v>
      </c>
      <c r="AG817" s="131"/>
      <c r="AH817" s="131">
        <v>20</v>
      </c>
      <c r="AI817" s="131">
        <v>32</v>
      </c>
      <c r="AJ817" s="131"/>
    </row>
    <row r="818" spans="27:36">
      <c r="AA818" s="131">
        <v>15005</v>
      </c>
      <c r="AB818" s="131" t="s">
        <v>1997</v>
      </c>
      <c r="AC818" s="131" t="s">
        <v>927</v>
      </c>
      <c r="AD818" s="131" t="s">
        <v>927</v>
      </c>
      <c r="AE818" s="131" t="s">
        <v>916</v>
      </c>
      <c r="AF818" s="131">
        <v>60</v>
      </c>
      <c r="AG818" s="131"/>
      <c r="AH818" s="131">
        <v>20</v>
      </c>
      <c r="AI818" s="131">
        <v>6</v>
      </c>
      <c r="AJ818" s="131"/>
    </row>
    <row r="819" spans="27:36">
      <c r="AA819" s="131">
        <v>15010</v>
      </c>
      <c r="AB819" s="131" t="s">
        <v>1998</v>
      </c>
      <c r="AC819" s="131" t="s">
        <v>927</v>
      </c>
      <c r="AD819" s="131" t="s">
        <v>927</v>
      </c>
      <c r="AE819" s="131" t="s">
        <v>916</v>
      </c>
      <c r="AF819" s="131">
        <v>60</v>
      </c>
      <c r="AG819" s="131"/>
      <c r="AH819" s="131">
        <v>20</v>
      </c>
      <c r="AI819" s="131">
        <v>9</v>
      </c>
      <c r="AJ819" s="131"/>
    </row>
    <row r="820" spans="27:36">
      <c r="AA820" s="131">
        <v>15015</v>
      </c>
      <c r="AB820" s="131" t="s">
        <v>1999</v>
      </c>
      <c r="AC820" s="131" t="s">
        <v>927</v>
      </c>
      <c r="AD820" s="131" t="s">
        <v>927</v>
      </c>
      <c r="AE820" s="131" t="s">
        <v>957</v>
      </c>
      <c r="AF820" s="131">
        <v>0</v>
      </c>
      <c r="AG820" s="131"/>
      <c r="AH820" s="131">
        <v>0</v>
      </c>
      <c r="AI820" s="131">
        <v>27</v>
      </c>
      <c r="AJ820" s="131"/>
    </row>
    <row r="821" spans="27:36">
      <c r="AA821" s="131">
        <v>15016</v>
      </c>
      <c r="AB821" s="131" t="s">
        <v>2000</v>
      </c>
      <c r="AC821" s="131" t="s">
        <v>927</v>
      </c>
      <c r="AD821" s="131" t="s">
        <v>927</v>
      </c>
      <c r="AE821" s="131" t="s">
        <v>957</v>
      </c>
      <c r="AF821" s="131">
        <v>0</v>
      </c>
      <c r="AG821" s="131"/>
      <c r="AH821" s="131">
        <v>0</v>
      </c>
      <c r="AI821" s="131">
        <v>27</v>
      </c>
      <c r="AJ821" s="131"/>
    </row>
    <row r="822" spans="27:36">
      <c r="AA822" s="131">
        <v>15021</v>
      </c>
      <c r="AB822" s="131" t="s">
        <v>2001</v>
      </c>
      <c r="AC822" s="131" t="s">
        <v>927</v>
      </c>
      <c r="AD822" s="131" t="s">
        <v>927</v>
      </c>
      <c r="AE822" s="131" t="s">
        <v>957</v>
      </c>
      <c r="AF822" s="131">
        <v>0</v>
      </c>
      <c r="AG822" s="131"/>
      <c r="AH822" s="131">
        <v>0</v>
      </c>
      <c r="AI822" s="131">
        <v>27</v>
      </c>
      <c r="AJ822" s="131"/>
    </row>
    <row r="823" spans="27:36">
      <c r="AA823" s="131">
        <v>15022</v>
      </c>
      <c r="AB823" s="131" t="s">
        <v>2002</v>
      </c>
      <c r="AC823" s="131" t="s">
        <v>927</v>
      </c>
      <c r="AD823" s="131" t="s">
        <v>927</v>
      </c>
      <c r="AE823" s="131" t="s">
        <v>957</v>
      </c>
      <c r="AF823" s="131">
        <v>0</v>
      </c>
      <c r="AG823" s="131"/>
      <c r="AH823" s="131">
        <v>0</v>
      </c>
      <c r="AI823" s="131">
        <v>27</v>
      </c>
      <c r="AJ823" s="131"/>
    </row>
    <row r="824" spans="27:36">
      <c r="AA824" s="131">
        <v>15023</v>
      </c>
      <c r="AB824" s="131" t="s">
        <v>2003</v>
      </c>
      <c r="AC824" s="131" t="s">
        <v>927</v>
      </c>
      <c r="AD824" s="131" t="s">
        <v>927</v>
      </c>
      <c r="AE824" s="131" t="s">
        <v>957</v>
      </c>
      <c r="AF824" s="131">
        <v>0</v>
      </c>
      <c r="AG824" s="131"/>
      <c r="AH824" s="131">
        <v>0</v>
      </c>
      <c r="AI824" s="131">
        <v>27</v>
      </c>
      <c r="AJ824" s="131"/>
    </row>
    <row r="825" spans="27:36">
      <c r="AA825" s="131">
        <v>15040</v>
      </c>
      <c r="AB825" s="131" t="s">
        <v>2004</v>
      </c>
      <c r="AC825" s="131" t="s">
        <v>927</v>
      </c>
      <c r="AD825" s="131" t="s">
        <v>927</v>
      </c>
      <c r="AE825" s="131" t="s">
        <v>957</v>
      </c>
      <c r="AF825" s="131">
        <v>0</v>
      </c>
      <c r="AG825" s="131"/>
      <c r="AH825" s="131">
        <v>20</v>
      </c>
      <c r="AI825" s="131">
        <v>27</v>
      </c>
      <c r="AJ825" s="131"/>
    </row>
    <row r="826" spans="27:36">
      <c r="AA826" s="131">
        <v>15041</v>
      </c>
      <c r="AB826" s="131" t="s">
        <v>2005</v>
      </c>
      <c r="AC826" s="131" t="s">
        <v>927</v>
      </c>
      <c r="AD826" s="131" t="s">
        <v>927</v>
      </c>
      <c r="AE826" s="131" t="s">
        <v>957</v>
      </c>
      <c r="AF826" s="131">
        <v>0</v>
      </c>
      <c r="AG826" s="131"/>
      <c r="AH826" s="131">
        <v>20</v>
      </c>
      <c r="AI826" s="131">
        <v>27</v>
      </c>
      <c r="AJ826" s="131"/>
    </row>
    <row r="827" spans="27:36">
      <c r="AA827" s="131">
        <v>15042</v>
      </c>
      <c r="AB827" s="131" t="s">
        <v>2006</v>
      </c>
      <c r="AC827" s="131" t="s">
        <v>927</v>
      </c>
      <c r="AD827" s="131" t="s">
        <v>927</v>
      </c>
      <c r="AE827" s="131" t="s">
        <v>957</v>
      </c>
      <c r="AF827" s="131">
        <v>0</v>
      </c>
      <c r="AG827" s="131"/>
      <c r="AH827" s="131">
        <v>20</v>
      </c>
      <c r="AI827" s="131">
        <v>27</v>
      </c>
      <c r="AJ827" s="131"/>
    </row>
    <row r="828" spans="27:36">
      <c r="AA828" s="131">
        <v>15043</v>
      </c>
      <c r="AB828" s="131" t="s">
        <v>2007</v>
      </c>
      <c r="AC828" s="131" t="s">
        <v>927</v>
      </c>
      <c r="AD828" s="131" t="s">
        <v>927</v>
      </c>
      <c r="AE828" s="131"/>
      <c r="AF828" s="131"/>
      <c r="AG828" s="131"/>
      <c r="AH828" s="131"/>
      <c r="AI828" s="131"/>
      <c r="AJ828" s="131"/>
    </row>
    <row r="829" spans="27:36">
      <c r="AA829" s="131">
        <v>15050</v>
      </c>
      <c r="AB829" s="131" t="s">
        <v>2008</v>
      </c>
      <c r="AC829" s="131" t="s">
        <v>927</v>
      </c>
      <c r="AD829" s="131" t="s">
        <v>927</v>
      </c>
      <c r="AE829" s="131" t="s">
        <v>957</v>
      </c>
      <c r="AF829" s="131">
        <v>0</v>
      </c>
      <c r="AG829" s="131"/>
      <c r="AH829" s="131">
        <v>0</v>
      </c>
      <c r="AI829" s="131">
        <v>27</v>
      </c>
      <c r="AJ829" s="131"/>
    </row>
    <row r="830" spans="27:36">
      <c r="AA830" s="131">
        <v>15055</v>
      </c>
      <c r="AB830" s="131" t="s">
        <v>2009</v>
      </c>
      <c r="AC830" s="131" t="s">
        <v>2010</v>
      </c>
      <c r="AD830" s="131"/>
      <c r="AE830" s="131" t="s">
        <v>957</v>
      </c>
      <c r="AF830" s="131">
        <v>0</v>
      </c>
      <c r="AG830" s="131"/>
      <c r="AH830" s="131">
        <v>0</v>
      </c>
      <c r="AI830" s="131">
        <v>27</v>
      </c>
      <c r="AJ830" s="131"/>
    </row>
    <row r="831" spans="27:36">
      <c r="AA831" s="131">
        <v>15056</v>
      </c>
      <c r="AB831" s="131" t="s">
        <v>2011</v>
      </c>
      <c r="AC831" s="131" t="s">
        <v>2010</v>
      </c>
      <c r="AD831" s="131"/>
      <c r="AE831" s="131" t="s">
        <v>957</v>
      </c>
      <c r="AF831" s="131">
        <v>0</v>
      </c>
      <c r="AG831" s="131"/>
      <c r="AH831" s="131">
        <v>0</v>
      </c>
      <c r="AI831" s="131">
        <v>27</v>
      </c>
      <c r="AJ831" s="131"/>
    </row>
    <row r="832" spans="27:36">
      <c r="AA832" s="131">
        <v>15060</v>
      </c>
      <c r="AB832" s="131" t="s">
        <v>2012</v>
      </c>
      <c r="AC832" s="131" t="s">
        <v>2010</v>
      </c>
      <c r="AD832" s="131"/>
      <c r="AE832" s="131" t="s">
        <v>957</v>
      </c>
      <c r="AF832" s="131">
        <v>0</v>
      </c>
      <c r="AG832" s="131"/>
      <c r="AH832" s="131">
        <v>0</v>
      </c>
      <c r="AI832" s="131">
        <v>27</v>
      </c>
      <c r="AJ832" s="131"/>
    </row>
    <row r="833" spans="27:36">
      <c r="AA833" s="131">
        <v>15062</v>
      </c>
      <c r="AB833" s="131" t="s">
        <v>2013</v>
      </c>
      <c r="AC833" s="131" t="s">
        <v>2010</v>
      </c>
      <c r="AD833" s="131"/>
      <c r="AE833" s="131" t="s">
        <v>957</v>
      </c>
      <c r="AF833" s="131">
        <v>0</v>
      </c>
      <c r="AG833" s="131"/>
      <c r="AH833" s="131">
        <v>0</v>
      </c>
      <c r="AI833" s="131">
        <v>27</v>
      </c>
      <c r="AJ833" s="131"/>
    </row>
    <row r="834" spans="27:36">
      <c r="AA834" s="131">
        <v>15065</v>
      </c>
      <c r="AB834" s="131" t="s">
        <v>2014</v>
      </c>
      <c r="AC834" s="131" t="s">
        <v>927</v>
      </c>
      <c r="AD834" s="131"/>
      <c r="AE834" s="131" t="s">
        <v>957</v>
      </c>
      <c r="AF834" s="131">
        <v>0</v>
      </c>
      <c r="AG834" s="131"/>
      <c r="AH834" s="131">
        <v>0</v>
      </c>
      <c r="AI834" s="131">
        <v>27</v>
      </c>
      <c r="AJ834" s="131"/>
    </row>
    <row r="835" spans="27:36">
      <c r="AA835" s="131">
        <v>15068</v>
      </c>
      <c r="AB835" s="131" t="s">
        <v>2015</v>
      </c>
      <c r="AC835" s="131" t="s">
        <v>927</v>
      </c>
      <c r="AD835" s="131"/>
      <c r="AE835" s="131" t="s">
        <v>957</v>
      </c>
      <c r="AF835" s="131">
        <v>0</v>
      </c>
      <c r="AG835" s="131"/>
      <c r="AH835" s="131">
        <v>0</v>
      </c>
      <c r="AI835" s="131">
        <v>27</v>
      </c>
      <c r="AJ835" s="131"/>
    </row>
    <row r="836" spans="27:36">
      <c r="AA836" s="131">
        <v>15071</v>
      </c>
      <c r="AB836" s="131" t="s">
        <v>2016</v>
      </c>
      <c r="AC836" s="131" t="s">
        <v>927</v>
      </c>
      <c r="AD836" s="131"/>
      <c r="AE836" s="131" t="s">
        <v>957</v>
      </c>
      <c r="AF836" s="131">
        <v>0</v>
      </c>
      <c r="AG836" s="131"/>
      <c r="AH836" s="131">
        <v>0</v>
      </c>
      <c r="AI836" s="131">
        <v>27</v>
      </c>
      <c r="AJ836" s="131"/>
    </row>
    <row r="837" spans="27:36">
      <c r="AA837" s="131">
        <v>15072</v>
      </c>
      <c r="AB837" s="131" t="s">
        <v>2017</v>
      </c>
      <c r="AC837" s="131" t="s">
        <v>927</v>
      </c>
      <c r="AD837" s="131"/>
      <c r="AE837" s="131" t="s">
        <v>957</v>
      </c>
      <c r="AF837" s="131">
        <v>0</v>
      </c>
      <c r="AG837" s="131"/>
      <c r="AH837" s="131">
        <v>0</v>
      </c>
      <c r="AI837" s="131">
        <v>27</v>
      </c>
      <c r="AJ837" s="131"/>
    </row>
    <row r="838" spans="27:36">
      <c r="AA838" s="131">
        <v>15073</v>
      </c>
      <c r="AB838" s="131" t="s">
        <v>2018</v>
      </c>
      <c r="AC838" s="131" t="s">
        <v>927</v>
      </c>
      <c r="AD838" s="131"/>
      <c r="AE838" s="131" t="s">
        <v>957</v>
      </c>
      <c r="AF838" s="131">
        <v>0</v>
      </c>
      <c r="AG838" s="131"/>
      <c r="AH838" s="131">
        <v>0</v>
      </c>
      <c r="AI838" s="131">
        <v>27</v>
      </c>
      <c r="AJ838" s="131"/>
    </row>
    <row r="839" spans="27:36">
      <c r="AA839" s="131">
        <v>15078</v>
      </c>
      <c r="AB839" s="131" t="s">
        <v>2019</v>
      </c>
      <c r="AC839" s="131" t="s">
        <v>927</v>
      </c>
      <c r="AD839" s="131"/>
      <c r="AE839" s="131" t="s">
        <v>957</v>
      </c>
      <c r="AF839" s="131">
        <v>0</v>
      </c>
      <c r="AG839" s="131"/>
      <c r="AH839" s="131">
        <v>0</v>
      </c>
      <c r="AI839" s="131">
        <v>27</v>
      </c>
      <c r="AJ839" s="131"/>
    </row>
    <row r="840" spans="27:36">
      <c r="AA840" s="131">
        <v>15081</v>
      </c>
      <c r="AB840" s="131" t="s">
        <v>2020</v>
      </c>
      <c r="AC840" s="131" t="s">
        <v>927</v>
      </c>
      <c r="AD840" s="131"/>
      <c r="AE840" s="131" t="s">
        <v>957</v>
      </c>
      <c r="AF840" s="131">
        <v>0</v>
      </c>
      <c r="AG840" s="131"/>
      <c r="AH840" s="131">
        <v>0</v>
      </c>
      <c r="AI840" s="131">
        <v>27</v>
      </c>
      <c r="AJ840" s="131"/>
    </row>
    <row r="841" spans="27:36">
      <c r="AA841" s="131">
        <v>15082</v>
      </c>
      <c r="AB841" s="131" t="s">
        <v>2021</v>
      </c>
      <c r="AC841" s="131" t="s">
        <v>927</v>
      </c>
      <c r="AD841" s="131"/>
      <c r="AE841" s="131" t="s">
        <v>957</v>
      </c>
      <c r="AF841" s="131">
        <v>0</v>
      </c>
      <c r="AG841" s="131"/>
      <c r="AH841" s="131">
        <v>0</v>
      </c>
      <c r="AI841" s="131">
        <v>27</v>
      </c>
      <c r="AJ841" s="131"/>
    </row>
    <row r="842" spans="27:36">
      <c r="AA842" s="131">
        <v>15083</v>
      </c>
      <c r="AB842" s="131" t="s">
        <v>2022</v>
      </c>
      <c r="AC842" s="131" t="s">
        <v>927</v>
      </c>
      <c r="AD842" s="131"/>
      <c r="AE842" s="131" t="s">
        <v>957</v>
      </c>
      <c r="AF842" s="131">
        <v>0</v>
      </c>
      <c r="AG842" s="131"/>
      <c r="AH842" s="131">
        <v>0</v>
      </c>
      <c r="AI842" s="131">
        <v>27</v>
      </c>
      <c r="AJ842" s="131"/>
    </row>
    <row r="843" spans="27:36">
      <c r="AA843" s="131">
        <v>15085</v>
      </c>
      <c r="AB843" s="131" t="s">
        <v>2023</v>
      </c>
      <c r="AC843" s="131" t="s">
        <v>927</v>
      </c>
      <c r="AD843" s="131"/>
      <c r="AE843" s="131" t="s">
        <v>957</v>
      </c>
      <c r="AF843" s="131">
        <v>0</v>
      </c>
      <c r="AG843" s="131"/>
      <c r="AH843" s="131">
        <v>0</v>
      </c>
      <c r="AI843" s="131">
        <v>27</v>
      </c>
      <c r="AJ843" s="131"/>
    </row>
    <row r="844" spans="27:36">
      <c r="AA844" s="131">
        <v>15090</v>
      </c>
      <c r="AB844" s="131" t="s">
        <v>2024</v>
      </c>
      <c r="AC844" s="131" t="s">
        <v>927</v>
      </c>
      <c r="AD844" s="131"/>
      <c r="AE844" s="131" t="s">
        <v>957</v>
      </c>
      <c r="AF844" s="131">
        <v>0</v>
      </c>
      <c r="AG844" s="131"/>
      <c r="AH844" s="131">
        <v>10</v>
      </c>
      <c r="AI844" s="131">
        <v>27</v>
      </c>
      <c r="AJ844" s="131"/>
    </row>
    <row r="845" spans="27:36">
      <c r="AA845" s="131">
        <v>15091</v>
      </c>
      <c r="AB845" s="131" t="s">
        <v>2025</v>
      </c>
      <c r="AC845" s="131" t="s">
        <v>927</v>
      </c>
      <c r="AD845" s="131"/>
      <c r="AE845" s="131" t="s">
        <v>957</v>
      </c>
      <c r="AF845" s="131">
        <v>0</v>
      </c>
      <c r="AG845" s="131"/>
      <c r="AH845" s="131">
        <v>20</v>
      </c>
      <c r="AI845" s="131">
        <v>27</v>
      </c>
      <c r="AJ845" s="131"/>
    </row>
    <row r="846" spans="27:36">
      <c r="AA846" s="131">
        <v>15094</v>
      </c>
      <c r="AB846" s="131" t="s">
        <v>2026</v>
      </c>
      <c r="AC846" s="131" t="s">
        <v>927</v>
      </c>
      <c r="AD846" s="131"/>
      <c r="AE846" s="131" t="s">
        <v>957</v>
      </c>
      <c r="AF846" s="131">
        <v>0</v>
      </c>
      <c r="AG846" s="131"/>
      <c r="AH846" s="131">
        <v>0</v>
      </c>
      <c r="AI846" s="131">
        <v>27</v>
      </c>
      <c r="AJ846" s="131"/>
    </row>
    <row r="847" spans="27:36">
      <c r="AA847" s="131">
        <v>15095</v>
      </c>
      <c r="AB847" s="131" t="s">
        <v>2027</v>
      </c>
      <c r="AC847" s="131" t="s">
        <v>927</v>
      </c>
      <c r="AD847" s="131"/>
      <c r="AE847" s="131" t="s">
        <v>957</v>
      </c>
      <c r="AF847" s="131">
        <v>0</v>
      </c>
      <c r="AG847" s="131"/>
      <c r="AH847" s="131">
        <v>0</v>
      </c>
      <c r="AI847" s="131">
        <v>27</v>
      </c>
      <c r="AJ847" s="131"/>
    </row>
    <row r="848" spans="27:36">
      <c r="AA848" s="131">
        <v>15096</v>
      </c>
      <c r="AB848" s="131" t="s">
        <v>2028</v>
      </c>
      <c r="AC848" s="131" t="s">
        <v>927</v>
      </c>
      <c r="AD848" s="131"/>
      <c r="AE848" s="131" t="s">
        <v>957</v>
      </c>
      <c r="AF848" s="131">
        <v>0</v>
      </c>
      <c r="AG848" s="131"/>
      <c r="AH848" s="131">
        <v>0</v>
      </c>
      <c r="AI848" s="131">
        <v>27</v>
      </c>
      <c r="AJ848" s="131"/>
    </row>
    <row r="849" spans="27:36">
      <c r="AA849" s="131">
        <v>15097</v>
      </c>
      <c r="AB849" s="131" t="s">
        <v>2029</v>
      </c>
      <c r="AC849" s="131" t="s">
        <v>927</v>
      </c>
      <c r="AD849" s="131"/>
      <c r="AE849" s="131" t="s">
        <v>957</v>
      </c>
      <c r="AF849" s="131">
        <v>0</v>
      </c>
      <c r="AG849" s="131"/>
      <c r="AH849" s="131">
        <v>0</v>
      </c>
      <c r="AI849" s="131">
        <v>27</v>
      </c>
      <c r="AJ849" s="131"/>
    </row>
    <row r="850" spans="27:36">
      <c r="AA850" s="131">
        <v>15098</v>
      </c>
      <c r="AB850" s="131" t="s">
        <v>2030</v>
      </c>
      <c r="AC850" s="131" t="s">
        <v>927</v>
      </c>
      <c r="AD850" s="131"/>
      <c r="AE850" s="131" t="s">
        <v>957</v>
      </c>
      <c r="AF850" s="131">
        <v>0</v>
      </c>
      <c r="AG850" s="131"/>
      <c r="AH850" s="131">
        <v>0</v>
      </c>
      <c r="AI850" s="131">
        <v>27</v>
      </c>
      <c r="AJ850" s="131"/>
    </row>
    <row r="851" spans="27:36">
      <c r="AA851" s="131">
        <v>15101</v>
      </c>
      <c r="AB851" s="131" t="s">
        <v>2031</v>
      </c>
      <c r="AC851" s="131" t="s">
        <v>927</v>
      </c>
      <c r="AD851" s="131"/>
      <c r="AE851" s="131" t="s">
        <v>957</v>
      </c>
      <c r="AF851" s="131">
        <v>0</v>
      </c>
      <c r="AG851" s="131" t="s">
        <v>940</v>
      </c>
      <c r="AH851" s="131">
        <v>20</v>
      </c>
      <c r="AI851" s="131">
        <v>27</v>
      </c>
      <c r="AJ851" s="131"/>
    </row>
    <row r="852" spans="27:36">
      <c r="AA852" s="131">
        <v>15102</v>
      </c>
      <c r="AB852" s="131" t="s">
        <v>2032</v>
      </c>
      <c r="AC852" s="131" t="s">
        <v>927</v>
      </c>
      <c r="AD852" s="131"/>
      <c r="AE852" s="131" t="s">
        <v>957</v>
      </c>
      <c r="AF852" s="131">
        <v>0</v>
      </c>
      <c r="AG852" s="131" t="s">
        <v>940</v>
      </c>
      <c r="AH852" s="131">
        <v>0</v>
      </c>
      <c r="AI852" s="131">
        <v>27</v>
      </c>
      <c r="AJ852" s="131"/>
    </row>
    <row r="853" spans="27:36">
      <c r="AA853" s="131">
        <v>15103</v>
      </c>
      <c r="AB853" s="131" t="s">
        <v>1945</v>
      </c>
      <c r="AC853" s="131" t="s">
        <v>927</v>
      </c>
      <c r="AD853" s="131"/>
      <c r="AE853" s="131" t="s">
        <v>957</v>
      </c>
      <c r="AF853" s="131">
        <v>0</v>
      </c>
      <c r="AG853" s="131" t="s">
        <v>940</v>
      </c>
      <c r="AH853" s="131">
        <v>0</v>
      </c>
      <c r="AI853" s="131">
        <v>27</v>
      </c>
      <c r="AJ853" s="131"/>
    </row>
    <row r="854" spans="27:36">
      <c r="AA854" s="131">
        <v>15104</v>
      </c>
      <c r="AB854" s="131" t="s">
        <v>1948</v>
      </c>
      <c r="AC854" s="131" t="s">
        <v>927</v>
      </c>
      <c r="AD854" s="131"/>
      <c r="AE854" s="131" t="s">
        <v>957</v>
      </c>
      <c r="AF854" s="131">
        <v>0</v>
      </c>
      <c r="AG854" s="131" t="s">
        <v>940</v>
      </c>
      <c r="AH854" s="131">
        <v>0</v>
      </c>
      <c r="AI854" s="131">
        <v>27</v>
      </c>
      <c r="AJ854" s="131"/>
    </row>
    <row r="855" spans="27:36">
      <c r="AA855" s="131">
        <v>15105</v>
      </c>
      <c r="AB855" s="131" t="s">
        <v>2033</v>
      </c>
      <c r="AC855" s="131" t="s">
        <v>927</v>
      </c>
      <c r="AD855" s="131"/>
      <c r="AE855" s="131" t="s">
        <v>957</v>
      </c>
      <c r="AF855" s="131">
        <v>0</v>
      </c>
      <c r="AG855" s="131" t="s">
        <v>940</v>
      </c>
      <c r="AH855" s="131">
        <v>0</v>
      </c>
      <c r="AI855" s="131">
        <v>27</v>
      </c>
      <c r="AJ855" s="131"/>
    </row>
    <row r="856" spans="27:36">
      <c r="AA856" s="131">
        <v>15106</v>
      </c>
      <c r="AB856" s="131" t="s">
        <v>2034</v>
      </c>
      <c r="AC856" s="131" t="s">
        <v>927</v>
      </c>
      <c r="AD856" s="131"/>
      <c r="AE856" s="131" t="s">
        <v>957</v>
      </c>
      <c r="AF856" s="131">
        <v>0</v>
      </c>
      <c r="AG856" s="131" t="s">
        <v>940</v>
      </c>
      <c r="AH856" s="131">
        <v>0</v>
      </c>
      <c r="AI856" s="131">
        <v>27</v>
      </c>
      <c r="AJ856" s="131"/>
    </row>
    <row r="857" spans="27:36">
      <c r="AA857" s="131">
        <v>15107</v>
      </c>
      <c r="AB857" s="131" t="s">
        <v>1935</v>
      </c>
      <c r="AC857" s="131" t="s">
        <v>927</v>
      </c>
      <c r="AD857" s="131"/>
      <c r="AE857" s="131" t="s">
        <v>957</v>
      </c>
      <c r="AF857" s="131">
        <v>0</v>
      </c>
      <c r="AG857" s="131" t="s">
        <v>940</v>
      </c>
      <c r="AH857" s="131">
        <v>20</v>
      </c>
      <c r="AI857" s="131">
        <v>27</v>
      </c>
      <c r="AJ857" s="131"/>
    </row>
    <row r="858" spans="27:36">
      <c r="AA858" s="131">
        <v>15115</v>
      </c>
      <c r="AB858" s="131" t="s">
        <v>1951</v>
      </c>
      <c r="AC858" s="131" t="s">
        <v>927</v>
      </c>
      <c r="AD858" s="131"/>
      <c r="AE858" s="131" t="s">
        <v>957</v>
      </c>
      <c r="AF858" s="131">
        <v>0</v>
      </c>
      <c r="AG858" s="131" t="s">
        <v>940</v>
      </c>
      <c r="AH858" s="131">
        <v>20</v>
      </c>
      <c r="AI858" s="131">
        <v>27</v>
      </c>
      <c r="AJ858" s="131"/>
    </row>
    <row r="859" spans="27:36">
      <c r="AA859" s="131" t="s">
        <v>2035</v>
      </c>
      <c r="AB859" s="131" t="s">
        <v>2036</v>
      </c>
      <c r="AC859" s="131"/>
      <c r="AD859" s="131"/>
      <c r="AE859" s="131"/>
      <c r="AF859" s="131"/>
      <c r="AG859" s="131"/>
      <c r="AH859" s="131"/>
      <c r="AI859" s="131"/>
      <c r="AJ859" s="131" t="s">
        <v>2037</v>
      </c>
    </row>
    <row r="860" spans="27:36">
      <c r="AA860" s="131" t="s">
        <v>2038</v>
      </c>
      <c r="AB860" s="131" t="s">
        <v>2039</v>
      </c>
      <c r="AC860" s="131"/>
      <c r="AD860" s="131"/>
      <c r="AE860" s="131"/>
      <c r="AF860" s="131"/>
      <c r="AG860" s="131"/>
      <c r="AH860" s="131"/>
      <c r="AI860" s="131"/>
      <c r="AJ860" s="131" t="s">
        <v>2040</v>
      </c>
    </row>
    <row r="861" spans="27:36">
      <c r="AA861" s="131" t="s">
        <v>2041</v>
      </c>
      <c r="AB861" s="131" t="s">
        <v>2042</v>
      </c>
      <c r="AC861" s="131"/>
      <c r="AD861" s="131"/>
      <c r="AE861" s="131"/>
      <c r="AF861" s="131"/>
      <c r="AG861" s="131"/>
      <c r="AH861" s="131"/>
      <c r="AI861" s="131"/>
      <c r="AJ861" s="131" t="s">
        <v>2043</v>
      </c>
    </row>
    <row r="862" spans="27:36">
      <c r="AA862" s="131" t="s">
        <v>2044</v>
      </c>
      <c r="AB862" s="131" t="s">
        <v>2045</v>
      </c>
      <c r="AC862" s="131"/>
      <c r="AD862" s="131"/>
      <c r="AE862" s="131"/>
      <c r="AF862" s="131"/>
      <c r="AG862" s="131"/>
      <c r="AH862" s="131"/>
      <c r="AI862" s="131"/>
      <c r="AJ862" s="131" t="s">
        <v>909</v>
      </c>
    </row>
    <row r="863" spans="27:36">
      <c r="AA863" s="131" t="s">
        <v>2046</v>
      </c>
      <c r="AB863" s="131" t="s">
        <v>2047</v>
      </c>
      <c r="AC863" s="131"/>
      <c r="AD863" s="131"/>
      <c r="AE863" s="131"/>
      <c r="AF863" s="131"/>
      <c r="AG863" s="131"/>
      <c r="AH863" s="131"/>
      <c r="AI863" s="131"/>
      <c r="AJ863" s="131" t="s">
        <v>2048</v>
      </c>
    </row>
    <row r="864" spans="27:36">
      <c r="AA864" s="131" t="s">
        <v>2049</v>
      </c>
      <c r="AB864" s="131" t="s">
        <v>2050</v>
      </c>
      <c r="AC864" s="131"/>
      <c r="AD864" s="131"/>
      <c r="AE864" s="131"/>
      <c r="AF864" s="131"/>
      <c r="AG864" s="131"/>
      <c r="AH864" s="131"/>
      <c r="AI864" s="131"/>
      <c r="AJ864" s="131" t="s">
        <v>2051</v>
      </c>
    </row>
    <row r="865" spans="27:36">
      <c r="AA865" s="131" t="s">
        <v>2052</v>
      </c>
      <c r="AB865" s="131" t="s">
        <v>2053</v>
      </c>
      <c r="AC865" s="131"/>
      <c r="AD865" s="131"/>
      <c r="AE865" s="131"/>
      <c r="AF865" s="131"/>
      <c r="AG865" s="131"/>
      <c r="AH865" s="131"/>
      <c r="AI865" s="131"/>
      <c r="AJ865" s="131" t="s">
        <v>2054</v>
      </c>
    </row>
    <row r="866" spans="27:36">
      <c r="AA866" s="131" t="s">
        <v>2055</v>
      </c>
      <c r="AB866" s="131" t="s">
        <v>2056</v>
      </c>
      <c r="AC866" s="131"/>
      <c r="AD866" s="131"/>
      <c r="AE866" s="131"/>
      <c r="AF866" s="131"/>
      <c r="AG866" s="131"/>
      <c r="AH866" s="131"/>
      <c r="AI866" s="131"/>
      <c r="AJ866" s="131" t="s">
        <v>2057</v>
      </c>
    </row>
    <row r="867" spans="27:36">
      <c r="AA867" s="131" t="s">
        <v>2058</v>
      </c>
      <c r="AB867" s="131" t="s">
        <v>2059</v>
      </c>
      <c r="AC867" s="131"/>
      <c r="AD867" s="131"/>
      <c r="AE867" s="131"/>
      <c r="AF867" s="131"/>
      <c r="AG867" s="131"/>
      <c r="AH867" s="131"/>
      <c r="AI867" s="131"/>
      <c r="AJ867" s="131" t="s">
        <v>2060</v>
      </c>
    </row>
    <row r="868" spans="27:36">
      <c r="AA868" s="131" t="s">
        <v>2061</v>
      </c>
      <c r="AB868" s="131" t="s">
        <v>2062</v>
      </c>
      <c r="AC868" s="131"/>
      <c r="AD868" s="131"/>
      <c r="AE868" s="131"/>
      <c r="AF868" s="131"/>
      <c r="AG868" s="131"/>
      <c r="AH868" s="131"/>
      <c r="AI868" s="131"/>
      <c r="AJ868" s="131" t="s">
        <v>2063</v>
      </c>
    </row>
    <row r="869" spans="27:36">
      <c r="AA869" s="131" t="s">
        <v>2064</v>
      </c>
      <c r="AB869" s="131" t="s">
        <v>2065</v>
      </c>
      <c r="AC869" s="131"/>
      <c r="AD869" s="131"/>
      <c r="AE869" s="131"/>
      <c r="AF869" s="131"/>
      <c r="AG869" s="131"/>
      <c r="AH869" s="131"/>
      <c r="AI869" s="131"/>
      <c r="AJ869" s="131" t="s">
        <v>2066</v>
      </c>
    </row>
    <row r="870" spans="27:36">
      <c r="AA870" s="131" t="s">
        <v>2067</v>
      </c>
      <c r="AB870" s="131" t="s">
        <v>2068</v>
      </c>
      <c r="AC870" s="131"/>
      <c r="AD870" s="131"/>
      <c r="AE870" s="131"/>
      <c r="AF870" s="131"/>
      <c r="AG870" s="131"/>
      <c r="AH870" s="131"/>
      <c r="AI870" s="131"/>
      <c r="AJ870" s="131" t="s">
        <v>2068</v>
      </c>
    </row>
    <row r="871" spans="27:36">
      <c r="AA871" s="131" t="s">
        <v>2069</v>
      </c>
      <c r="AB871" s="131" t="s">
        <v>2070</v>
      </c>
      <c r="AC871" s="131"/>
      <c r="AD871" s="131"/>
      <c r="AE871" s="131"/>
      <c r="AF871" s="131"/>
      <c r="AG871" s="131"/>
      <c r="AH871" s="131"/>
      <c r="AI871" s="131"/>
      <c r="AJ871" s="131" t="s">
        <v>2071</v>
      </c>
    </row>
    <row r="872" spans="27:36">
      <c r="AA872" s="131" t="s">
        <v>2072</v>
      </c>
      <c r="AB872" s="131" t="s">
        <v>2073</v>
      </c>
      <c r="AC872" s="131"/>
      <c r="AD872" s="131"/>
      <c r="AE872" s="131"/>
      <c r="AF872" s="131"/>
      <c r="AG872" s="131"/>
      <c r="AH872" s="131"/>
      <c r="AI872" s="131"/>
      <c r="AJ872" s="131" t="s">
        <v>2074</v>
      </c>
    </row>
    <row r="873" spans="27:36">
      <c r="AA873" s="131" t="s">
        <v>2075</v>
      </c>
      <c r="AB873" s="131" t="s">
        <v>2076</v>
      </c>
      <c r="AC873" s="131"/>
      <c r="AD873" s="131"/>
      <c r="AE873" s="131"/>
      <c r="AF873" s="131"/>
      <c r="AG873" s="131"/>
      <c r="AH873" s="131"/>
      <c r="AI873" s="131"/>
      <c r="AJ873" s="131" t="s">
        <v>2077</v>
      </c>
    </row>
    <row r="874" spans="27:36">
      <c r="AA874" s="131" t="s">
        <v>2078</v>
      </c>
      <c r="AB874" s="131" t="s">
        <v>2079</v>
      </c>
      <c r="AC874" s="131"/>
      <c r="AD874" s="131"/>
      <c r="AE874" s="131"/>
      <c r="AF874" s="131"/>
      <c r="AG874" s="131"/>
      <c r="AH874" s="131"/>
      <c r="AI874" s="131"/>
      <c r="AJ874" s="131" t="s">
        <v>2040</v>
      </c>
    </row>
    <row r="875" spans="27:36">
      <c r="AA875" s="131" t="s">
        <v>2080</v>
      </c>
      <c r="AB875" s="131" t="s">
        <v>2081</v>
      </c>
      <c r="AC875" s="131"/>
      <c r="AD875" s="131"/>
      <c r="AE875" s="131"/>
      <c r="AF875" s="131"/>
      <c r="AG875" s="131"/>
      <c r="AH875" s="131"/>
      <c r="AI875" s="131"/>
      <c r="AJ875" s="131" t="s">
        <v>2037</v>
      </c>
    </row>
    <row r="876" spans="27:36">
      <c r="AA876" s="377">
        <v>3355</v>
      </c>
      <c r="AB876" s="377" t="s">
        <v>1537</v>
      </c>
      <c r="AC876" s="378" t="s">
        <v>927</v>
      </c>
      <c r="AD876" s="378" t="s">
        <v>927</v>
      </c>
      <c r="AE876" s="378" t="s">
        <v>957</v>
      </c>
      <c r="AF876" s="378">
        <v>0</v>
      </c>
      <c r="AG876" s="378"/>
      <c r="AH876" s="378">
        <v>20</v>
      </c>
      <c r="AI876" s="378">
        <v>27</v>
      </c>
      <c r="AJ876" s="378"/>
    </row>
    <row r="877" spans="27:36">
      <c r="AA877" s="377">
        <v>3356</v>
      </c>
      <c r="AB877" s="377" t="s">
        <v>2082</v>
      </c>
      <c r="AC877" s="378" t="s">
        <v>927</v>
      </c>
      <c r="AD877" s="378" t="s">
        <v>927</v>
      </c>
      <c r="AE877" s="378" t="s">
        <v>957</v>
      </c>
      <c r="AF877" s="378">
        <v>0</v>
      </c>
      <c r="AG877" s="378"/>
      <c r="AH877" s="378">
        <v>20</v>
      </c>
      <c r="AI877" s="378">
        <v>27</v>
      </c>
      <c r="AJ877" s="378"/>
    </row>
    <row r="878" spans="27:36">
      <c r="AA878" s="377">
        <v>6515</v>
      </c>
      <c r="AB878" s="377" t="s">
        <v>2083</v>
      </c>
      <c r="AC878" s="378" t="s">
        <v>927</v>
      </c>
      <c r="AD878" s="378" t="s">
        <v>927</v>
      </c>
      <c r="AE878" s="378" t="s">
        <v>957</v>
      </c>
      <c r="AF878" s="378">
        <v>0</v>
      </c>
      <c r="AG878" s="131" t="s">
        <v>940</v>
      </c>
      <c r="AH878" s="378">
        <v>20</v>
      </c>
      <c r="AI878" s="378">
        <v>27</v>
      </c>
      <c r="AJ878" s="378" t="s">
        <v>959</v>
      </c>
    </row>
    <row r="879" spans="27:36">
      <c r="AA879" s="377">
        <v>6520</v>
      </c>
      <c r="AB879" s="377" t="s">
        <v>2084</v>
      </c>
      <c r="AC879" s="378" t="s">
        <v>927</v>
      </c>
      <c r="AD879" s="378" t="s">
        <v>927</v>
      </c>
      <c r="AE879" s="378" t="s">
        <v>957</v>
      </c>
      <c r="AF879" s="378">
        <v>0</v>
      </c>
      <c r="AG879" s="131" t="s">
        <v>940</v>
      </c>
      <c r="AH879" s="378">
        <v>20</v>
      </c>
      <c r="AI879" s="378">
        <v>27</v>
      </c>
      <c r="AJ879" s="378" t="s">
        <v>959</v>
      </c>
    </row>
    <row r="880" spans="27:36">
      <c r="AA880" s="377">
        <v>6522</v>
      </c>
      <c r="AB880" s="377" t="s">
        <v>2085</v>
      </c>
      <c r="AC880" s="378" t="s">
        <v>927</v>
      </c>
      <c r="AD880" s="378" t="s">
        <v>927</v>
      </c>
      <c r="AE880" s="378" t="s">
        <v>957</v>
      </c>
      <c r="AF880" s="378">
        <v>0</v>
      </c>
      <c r="AG880" s="378"/>
      <c r="AH880" s="378">
        <v>20</v>
      </c>
      <c r="AI880" s="378">
        <v>27</v>
      </c>
      <c r="AJ880" s="378" t="s">
        <v>959</v>
      </c>
    </row>
    <row r="881" spans="27:36">
      <c r="AA881" s="377">
        <v>6525</v>
      </c>
      <c r="AB881" s="377" t="s">
        <v>2086</v>
      </c>
      <c r="AC881" s="378" t="s">
        <v>927</v>
      </c>
      <c r="AD881" s="378" t="s">
        <v>927</v>
      </c>
      <c r="AE881" s="378" t="s">
        <v>957</v>
      </c>
      <c r="AF881" s="378">
        <v>0</v>
      </c>
      <c r="AG881" s="378" t="s">
        <v>940</v>
      </c>
      <c r="AH881" s="378">
        <v>20</v>
      </c>
      <c r="AI881" s="378">
        <v>27</v>
      </c>
      <c r="AJ881" s="378" t="s">
        <v>959</v>
      </c>
    </row>
    <row r="882" spans="27:36">
      <c r="AA882" s="377">
        <v>6526</v>
      </c>
      <c r="AB882" s="377" t="s">
        <v>2087</v>
      </c>
      <c r="AC882" s="378" t="s">
        <v>927</v>
      </c>
      <c r="AD882" s="378" t="s">
        <v>927</v>
      </c>
      <c r="AE882" s="378" t="s">
        <v>957</v>
      </c>
      <c r="AF882" s="378">
        <v>0</v>
      </c>
      <c r="AG882" s="378" t="s">
        <v>940</v>
      </c>
      <c r="AH882" s="378">
        <v>20</v>
      </c>
      <c r="AI882" s="378">
        <v>27</v>
      </c>
      <c r="AJ882" s="378" t="s">
        <v>959</v>
      </c>
    </row>
    <row r="883" spans="27:36">
      <c r="AA883" s="377">
        <v>6527</v>
      </c>
      <c r="AB883" s="377" t="s">
        <v>2088</v>
      </c>
      <c r="AC883" s="378" t="s">
        <v>927</v>
      </c>
      <c r="AD883" s="378" t="s">
        <v>927</v>
      </c>
      <c r="AE883" s="378" t="s">
        <v>957</v>
      </c>
      <c r="AF883" s="378">
        <v>0</v>
      </c>
      <c r="AG883" s="378" t="s">
        <v>940</v>
      </c>
      <c r="AH883" s="378">
        <v>20</v>
      </c>
      <c r="AI883" s="378">
        <v>27</v>
      </c>
      <c r="AJ883" s="378" t="s">
        <v>959</v>
      </c>
    </row>
    <row r="884" spans="27:36">
      <c r="AA884" s="377">
        <v>6530</v>
      </c>
      <c r="AB884" s="377" t="s">
        <v>2089</v>
      </c>
      <c r="AC884" s="378" t="s">
        <v>927</v>
      </c>
      <c r="AD884" s="378" t="s">
        <v>927</v>
      </c>
      <c r="AE884" s="378" t="s">
        <v>945</v>
      </c>
      <c r="AF884" s="378">
        <v>52</v>
      </c>
      <c r="AG884" s="378" t="s">
        <v>940</v>
      </c>
      <c r="AH884" s="378">
        <v>20</v>
      </c>
      <c r="AI884" s="378">
        <v>21</v>
      </c>
      <c r="AJ884" s="378" t="s">
        <v>959</v>
      </c>
    </row>
    <row r="885" spans="27:36">
      <c r="AA885" s="377">
        <v>6540</v>
      </c>
      <c r="AB885" s="377" t="s">
        <v>2090</v>
      </c>
      <c r="AC885" s="378" t="s">
        <v>927</v>
      </c>
      <c r="AD885" s="378" t="s">
        <v>927</v>
      </c>
      <c r="AE885" s="378" t="s">
        <v>2091</v>
      </c>
      <c r="AF885" s="378">
        <v>0</v>
      </c>
      <c r="AG885" s="378"/>
      <c r="AH885" s="378">
        <v>30</v>
      </c>
      <c r="AI885" s="378">
        <v>28</v>
      </c>
      <c r="AJ885" s="378" t="s">
        <v>959</v>
      </c>
    </row>
    <row r="886" spans="27:36">
      <c r="AA886" s="377">
        <v>6541</v>
      </c>
      <c r="AB886" s="377" t="s">
        <v>2092</v>
      </c>
      <c r="AC886" s="378" t="s">
        <v>927</v>
      </c>
      <c r="AD886" s="378" t="s">
        <v>927</v>
      </c>
      <c r="AE886" s="378" t="s">
        <v>945</v>
      </c>
      <c r="AF886" s="378">
        <v>52</v>
      </c>
      <c r="AG886" s="378" t="s">
        <v>940</v>
      </c>
      <c r="AH886" s="378">
        <v>20</v>
      </c>
      <c r="AI886" s="378">
        <v>21</v>
      </c>
      <c r="AJ886" s="378" t="s">
        <v>959</v>
      </c>
    </row>
    <row r="887" spans="27:36">
      <c r="AA887" s="377">
        <v>6542</v>
      </c>
      <c r="AB887" s="377" t="s">
        <v>2093</v>
      </c>
      <c r="AC887" s="378" t="s">
        <v>927</v>
      </c>
      <c r="AD887" s="378" t="s">
        <v>927</v>
      </c>
      <c r="AE887" s="378" t="s">
        <v>2091</v>
      </c>
      <c r="AF887" s="378">
        <v>0</v>
      </c>
      <c r="AG887" s="378" t="s">
        <v>940</v>
      </c>
      <c r="AH887" s="378">
        <v>20</v>
      </c>
      <c r="AI887" s="378">
        <v>32</v>
      </c>
      <c r="AJ887" s="378" t="s">
        <v>959</v>
      </c>
    </row>
    <row r="888" spans="27:36">
      <c r="AA888" s="377">
        <v>6571</v>
      </c>
      <c r="AB888" s="377" t="s">
        <v>2094</v>
      </c>
      <c r="AC888" s="378" t="s">
        <v>927</v>
      </c>
      <c r="AD888" s="378" t="s">
        <v>927</v>
      </c>
      <c r="AE888" s="378" t="s">
        <v>2091</v>
      </c>
      <c r="AF888" s="378">
        <v>0</v>
      </c>
      <c r="AG888" s="378"/>
      <c r="AH888" s="378">
        <v>30</v>
      </c>
      <c r="AI888" s="378">
        <v>28</v>
      </c>
      <c r="AJ888" s="378" t="s">
        <v>959</v>
      </c>
    </row>
    <row r="889" spans="27:36">
      <c r="AA889" s="377">
        <v>6601</v>
      </c>
      <c r="AB889" s="377" t="s">
        <v>2095</v>
      </c>
      <c r="AC889" s="378" t="s">
        <v>927</v>
      </c>
      <c r="AD889" s="378" t="s">
        <v>927</v>
      </c>
      <c r="AE889" s="378" t="s">
        <v>957</v>
      </c>
      <c r="AF889" s="378">
        <v>0</v>
      </c>
      <c r="AG889" s="378"/>
      <c r="AH889" s="378">
        <v>20</v>
      </c>
      <c r="AI889" s="378">
        <v>27</v>
      </c>
      <c r="AJ889" s="378" t="s">
        <v>959</v>
      </c>
    </row>
    <row r="890" spans="27:36">
      <c r="AA890" s="377">
        <v>6605</v>
      </c>
      <c r="AB890" s="377" t="s">
        <v>2096</v>
      </c>
      <c r="AC890" s="378" t="s">
        <v>927</v>
      </c>
      <c r="AD890" s="378" t="s">
        <v>927</v>
      </c>
      <c r="AE890" s="378" t="s">
        <v>945</v>
      </c>
      <c r="AF890" s="378">
        <v>52</v>
      </c>
      <c r="AG890" s="378" t="s">
        <v>940</v>
      </c>
      <c r="AH890" s="378">
        <v>0</v>
      </c>
      <c r="AI890" s="378">
        <v>21</v>
      </c>
      <c r="AJ890" s="378" t="s">
        <v>959</v>
      </c>
    </row>
    <row r="891" spans="27:36">
      <c r="AA891" s="377">
        <v>6620</v>
      </c>
      <c r="AB891" s="377" t="s">
        <v>2097</v>
      </c>
      <c r="AC891" s="378" t="s">
        <v>927</v>
      </c>
      <c r="AD891" s="378" t="s">
        <v>927</v>
      </c>
      <c r="AE891" s="378" t="s">
        <v>945</v>
      </c>
      <c r="AF891" s="378">
        <v>52</v>
      </c>
      <c r="AG891" s="378" t="s">
        <v>940</v>
      </c>
      <c r="AH891" s="378">
        <v>20</v>
      </c>
      <c r="AI891" s="378">
        <v>21</v>
      </c>
      <c r="AJ891" s="378" t="s">
        <v>959</v>
      </c>
    </row>
    <row r="892" spans="27:36">
      <c r="AA892" s="377">
        <v>6621</v>
      </c>
      <c r="AB892" s="377" t="s">
        <v>2098</v>
      </c>
      <c r="AC892" s="378" t="s">
        <v>927</v>
      </c>
      <c r="AD892" s="378" t="s">
        <v>927</v>
      </c>
      <c r="AE892" s="378" t="s">
        <v>957</v>
      </c>
      <c r="AF892" s="378">
        <v>0</v>
      </c>
      <c r="AG892" s="378"/>
      <c r="AH892" s="378">
        <v>20</v>
      </c>
      <c r="AI892" s="378">
        <v>27</v>
      </c>
      <c r="AJ892" s="378" t="s">
        <v>959</v>
      </c>
    </row>
    <row r="893" spans="27:36">
      <c r="AA893" s="377">
        <v>6622</v>
      </c>
      <c r="AB893" s="377" t="s">
        <v>2099</v>
      </c>
      <c r="AC893" s="378" t="s">
        <v>927</v>
      </c>
      <c r="AD893" s="378" t="s">
        <v>927</v>
      </c>
      <c r="AE893" s="378" t="s">
        <v>957</v>
      </c>
      <c r="AF893" s="378">
        <v>0</v>
      </c>
      <c r="AG893" s="378" t="s">
        <v>940</v>
      </c>
      <c r="AH893" s="378">
        <v>20</v>
      </c>
      <c r="AI893" s="378">
        <v>27</v>
      </c>
      <c r="AJ893" s="378" t="s">
        <v>959</v>
      </c>
    </row>
    <row r="894" spans="27:36">
      <c r="AA894" s="377">
        <v>6625</v>
      </c>
      <c r="AB894" s="377" t="s">
        <v>2100</v>
      </c>
      <c r="AC894" s="378" t="s">
        <v>927</v>
      </c>
      <c r="AD894" s="378" t="s">
        <v>927</v>
      </c>
      <c r="AE894" s="378" t="s">
        <v>945</v>
      </c>
      <c r="AF894" s="378">
        <v>52</v>
      </c>
      <c r="AG894" s="378" t="s">
        <v>940</v>
      </c>
      <c r="AH894" s="378">
        <v>0</v>
      </c>
      <c r="AI894" s="378">
        <v>21</v>
      </c>
      <c r="AJ894" s="378" t="s">
        <v>959</v>
      </c>
    </row>
    <row r="895" spans="27:36">
      <c r="AA895" s="377">
        <v>6630</v>
      </c>
      <c r="AB895" s="377" t="s">
        <v>2101</v>
      </c>
      <c r="AC895" s="378" t="s">
        <v>927</v>
      </c>
      <c r="AD895" s="378" t="s">
        <v>927</v>
      </c>
      <c r="AE895" s="378" t="s">
        <v>957</v>
      </c>
      <c r="AF895" s="378">
        <v>0</v>
      </c>
      <c r="AG895" s="378" t="s">
        <v>940</v>
      </c>
      <c r="AH895" s="378">
        <v>20</v>
      </c>
      <c r="AI895" s="378">
        <v>27</v>
      </c>
      <c r="AJ895" s="378" t="s">
        <v>959</v>
      </c>
    </row>
    <row r="896" spans="27:36">
      <c r="AA896" s="377">
        <v>6635</v>
      </c>
      <c r="AB896" s="377" t="s">
        <v>2102</v>
      </c>
      <c r="AC896" s="378" t="s">
        <v>927</v>
      </c>
      <c r="AD896" s="378" t="s">
        <v>927</v>
      </c>
      <c r="AE896" s="378" t="s">
        <v>957</v>
      </c>
      <c r="AF896" s="378">
        <v>0</v>
      </c>
      <c r="AG896" s="378" t="s">
        <v>940</v>
      </c>
      <c r="AH896" s="378">
        <v>20</v>
      </c>
      <c r="AI896" s="378">
        <v>27</v>
      </c>
      <c r="AJ896" s="378" t="s">
        <v>959</v>
      </c>
    </row>
    <row r="897" spans="27:36">
      <c r="AA897" s="377">
        <v>6670</v>
      </c>
      <c r="AB897" s="377" t="s">
        <v>2103</v>
      </c>
      <c r="AC897" s="378" t="s">
        <v>927</v>
      </c>
      <c r="AD897" s="378" t="s">
        <v>927</v>
      </c>
      <c r="AE897" s="378" t="s">
        <v>2091</v>
      </c>
      <c r="AF897" s="378">
        <v>0</v>
      </c>
      <c r="AG897" s="378" t="s">
        <v>940</v>
      </c>
      <c r="AH897" s="378">
        <v>20</v>
      </c>
      <c r="AI897" s="378">
        <v>28</v>
      </c>
      <c r="AJ897" s="378" t="s">
        <v>959</v>
      </c>
    </row>
    <row r="898" spans="27:36">
      <c r="AA898" s="377">
        <v>6680</v>
      </c>
      <c r="AB898" s="377" t="s">
        <v>2104</v>
      </c>
      <c r="AC898" s="378" t="s">
        <v>927</v>
      </c>
      <c r="AD898" s="378" t="s">
        <v>927</v>
      </c>
      <c r="AE898" s="378" t="s">
        <v>2091</v>
      </c>
      <c r="AF898" s="378">
        <v>0</v>
      </c>
      <c r="AG898" s="378" t="s">
        <v>940</v>
      </c>
      <c r="AH898" s="378">
        <v>20</v>
      </c>
      <c r="AI898" s="378">
        <v>28</v>
      </c>
      <c r="AJ898" s="378" t="s">
        <v>959</v>
      </c>
    </row>
    <row r="899" spans="27:36">
      <c r="AA899" s="377">
        <v>6681</v>
      </c>
      <c r="AB899" s="377" t="s">
        <v>2105</v>
      </c>
      <c r="AC899" s="378" t="s">
        <v>927</v>
      </c>
      <c r="AD899" s="378" t="s">
        <v>927</v>
      </c>
      <c r="AE899" s="378" t="s">
        <v>2091</v>
      </c>
      <c r="AF899" s="378">
        <v>0</v>
      </c>
      <c r="AG899" s="378"/>
      <c r="AH899" s="378">
        <v>30</v>
      </c>
      <c r="AI899" s="378">
        <v>28</v>
      </c>
      <c r="AJ899" s="378" t="s">
        <v>959</v>
      </c>
    </row>
    <row r="900" spans="27:36">
      <c r="AA900" s="377">
        <v>6682</v>
      </c>
      <c r="AB900" s="377" t="s">
        <v>2106</v>
      </c>
      <c r="AC900" s="378" t="s">
        <v>927</v>
      </c>
      <c r="AD900" s="378" t="s">
        <v>927</v>
      </c>
      <c r="AE900" s="378" t="s">
        <v>2091</v>
      </c>
      <c r="AF900" s="378">
        <v>0</v>
      </c>
      <c r="AG900" s="378"/>
      <c r="AH900" s="378">
        <v>30</v>
      </c>
      <c r="AI900" s="378">
        <v>28</v>
      </c>
      <c r="AJ900" s="378" t="s">
        <v>959</v>
      </c>
    </row>
    <row r="901" spans="27:36">
      <c r="AA901" s="377">
        <v>6686</v>
      </c>
      <c r="AB901" s="377" t="s">
        <v>2107</v>
      </c>
      <c r="AC901" s="378" t="s">
        <v>927</v>
      </c>
      <c r="AD901" s="378" t="s">
        <v>927</v>
      </c>
      <c r="AE901" s="378" t="s">
        <v>2091</v>
      </c>
      <c r="AF901" s="378">
        <v>0</v>
      </c>
      <c r="AG901" s="378" t="s">
        <v>940</v>
      </c>
      <c r="AH901" s="378">
        <v>30</v>
      </c>
      <c r="AI901" s="378">
        <v>27</v>
      </c>
      <c r="AJ901" s="378" t="s">
        <v>959</v>
      </c>
    </row>
    <row r="902" spans="27:36">
      <c r="AA902" s="377">
        <v>6690</v>
      </c>
      <c r="AB902" s="377" t="s">
        <v>2108</v>
      </c>
      <c r="AC902" s="378" t="s">
        <v>927</v>
      </c>
      <c r="AD902" s="378" t="s">
        <v>927</v>
      </c>
      <c r="AE902" s="378" t="s">
        <v>2091</v>
      </c>
      <c r="AF902" s="378">
        <v>52</v>
      </c>
      <c r="AG902" s="378" t="s">
        <v>940</v>
      </c>
      <c r="AH902" s="378">
        <v>20</v>
      </c>
      <c r="AI902" s="378">
        <v>6</v>
      </c>
      <c r="AJ902" s="378" t="s">
        <v>959</v>
      </c>
    </row>
    <row r="903" spans="27:36">
      <c r="AA903" s="377">
        <v>6694</v>
      </c>
      <c r="AB903" s="377" t="s">
        <v>2109</v>
      </c>
      <c r="AC903" s="378" t="s">
        <v>927</v>
      </c>
      <c r="AD903" s="378" t="s">
        <v>927</v>
      </c>
      <c r="AE903" s="378" t="s">
        <v>2091</v>
      </c>
      <c r="AF903" s="378">
        <v>0</v>
      </c>
      <c r="AG903" s="378"/>
      <c r="AH903" s="378">
        <v>20</v>
      </c>
      <c r="AI903" s="378">
        <v>28</v>
      </c>
      <c r="AJ903" s="378" t="s">
        <v>959</v>
      </c>
    </row>
    <row r="904" spans="27:36">
      <c r="AA904" s="377">
        <v>6695</v>
      </c>
      <c r="AB904" s="377" t="s">
        <v>2110</v>
      </c>
      <c r="AC904" s="378" t="s">
        <v>927</v>
      </c>
      <c r="AD904" s="378" t="s">
        <v>927</v>
      </c>
      <c r="AE904" s="378" t="s">
        <v>2091</v>
      </c>
      <c r="AF904" s="378">
        <v>0</v>
      </c>
      <c r="AG904" s="378" t="s">
        <v>940</v>
      </c>
      <c r="AH904" s="378">
        <v>20</v>
      </c>
      <c r="AI904" s="378">
        <v>28</v>
      </c>
      <c r="AJ904" s="378" t="s">
        <v>959</v>
      </c>
    </row>
    <row r="905" spans="27:36">
      <c r="AA905" s="377">
        <v>6696</v>
      </c>
      <c r="AB905" s="377" t="s">
        <v>2111</v>
      </c>
      <c r="AC905" s="378" t="s">
        <v>927</v>
      </c>
      <c r="AD905" s="378" t="s">
        <v>927</v>
      </c>
      <c r="AE905" s="378" t="s">
        <v>2091</v>
      </c>
      <c r="AF905" s="378">
        <v>0</v>
      </c>
      <c r="AG905" s="378"/>
      <c r="AH905" s="378">
        <v>30</v>
      </c>
      <c r="AI905" s="378">
        <v>28</v>
      </c>
      <c r="AJ905" s="378" t="s">
        <v>959</v>
      </c>
    </row>
    <row r="906" spans="27:36">
      <c r="AA906" s="377">
        <v>6697</v>
      </c>
      <c r="AB906" s="377" t="s">
        <v>2112</v>
      </c>
      <c r="AC906" s="378" t="s">
        <v>927</v>
      </c>
      <c r="AD906" s="378" t="s">
        <v>927</v>
      </c>
      <c r="AE906" s="378" t="s">
        <v>2091</v>
      </c>
      <c r="AF906" s="378">
        <v>52</v>
      </c>
      <c r="AG906" s="378" t="s">
        <v>940</v>
      </c>
      <c r="AH906" s="378">
        <v>30</v>
      </c>
      <c r="AI906" s="378">
        <v>6</v>
      </c>
      <c r="AJ906" s="378" t="s">
        <v>959</v>
      </c>
    </row>
    <row r="907" spans="27:36">
      <c r="AA907" s="377">
        <v>6700</v>
      </c>
      <c r="AB907" s="377" t="s">
        <v>2113</v>
      </c>
      <c r="AC907" s="378" t="s">
        <v>927</v>
      </c>
      <c r="AD907" s="378" t="s">
        <v>927</v>
      </c>
      <c r="AE907" s="378" t="s">
        <v>2091</v>
      </c>
      <c r="AF907" s="378">
        <v>52</v>
      </c>
      <c r="AG907" s="378"/>
      <c r="AH907" s="378">
        <v>20</v>
      </c>
      <c r="AI907" s="378">
        <v>2</v>
      </c>
      <c r="AJ907" s="378"/>
    </row>
    <row r="908" spans="27:36">
      <c r="AA908" s="377">
        <v>6710</v>
      </c>
      <c r="AB908" s="377" t="s">
        <v>2114</v>
      </c>
      <c r="AC908" s="378" t="s">
        <v>927</v>
      </c>
      <c r="AD908" s="378" t="s">
        <v>927</v>
      </c>
      <c r="AE908" s="378" t="s">
        <v>957</v>
      </c>
      <c r="AF908" s="378">
        <v>0</v>
      </c>
      <c r="AG908" s="378"/>
      <c r="AH908" s="378">
        <v>20</v>
      </c>
      <c r="AI908" s="378">
        <v>27</v>
      </c>
      <c r="AJ908" s="378"/>
    </row>
    <row r="909" spans="27:36">
      <c r="AA909" s="377">
        <v>6711</v>
      </c>
      <c r="AB909" s="377" t="s">
        <v>2115</v>
      </c>
      <c r="AC909" s="378" t="s">
        <v>927</v>
      </c>
      <c r="AD909" s="378" t="s">
        <v>927</v>
      </c>
      <c r="AE909" s="378" t="s">
        <v>945</v>
      </c>
      <c r="AF909" s="378">
        <v>52</v>
      </c>
      <c r="AG909" s="378" t="s">
        <v>940</v>
      </c>
      <c r="AH909" s="378">
        <v>20</v>
      </c>
      <c r="AI909" s="378">
        <v>21</v>
      </c>
      <c r="AJ909" s="378"/>
    </row>
    <row r="910" spans="27:36">
      <c r="AA910" s="377">
        <v>6712</v>
      </c>
      <c r="AB910" s="377" t="s">
        <v>2116</v>
      </c>
      <c r="AC910" s="378" t="s">
        <v>927</v>
      </c>
      <c r="AD910" s="378" t="s">
        <v>927</v>
      </c>
      <c r="AE910" s="378" t="s">
        <v>957</v>
      </c>
      <c r="AF910" s="378">
        <v>0</v>
      </c>
      <c r="AG910" s="378"/>
      <c r="AH910" s="378">
        <v>20</v>
      </c>
      <c r="AI910" s="378">
        <v>27</v>
      </c>
      <c r="AJ910" s="378"/>
    </row>
    <row r="911" spans="27:36">
      <c r="AA911" s="377">
        <v>6720</v>
      </c>
      <c r="AB911" s="377" t="s">
        <v>2117</v>
      </c>
      <c r="AC911" s="378" t="s">
        <v>927</v>
      </c>
      <c r="AD911" s="378" t="s">
        <v>927</v>
      </c>
      <c r="AE911" s="378" t="s">
        <v>957</v>
      </c>
      <c r="AF911" s="378">
        <v>0</v>
      </c>
      <c r="AG911" s="378"/>
      <c r="AH911" s="378">
        <v>20</v>
      </c>
      <c r="AI911" s="378">
        <v>27</v>
      </c>
      <c r="AJ911" s="378"/>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79605C45-923F-4866-AF31-FBC254D9D7F0}"/>
</file>

<file path=customXml/itemProps2.xml><?xml version="1.0" encoding="utf-8"?>
<ds:datastoreItem xmlns:ds="http://schemas.openxmlformats.org/officeDocument/2006/customXml" ds:itemID="{E6E189CC-30F2-45D0-9889-4F0D3E12DE92}"/>
</file>

<file path=customXml/itemProps3.xml><?xml version="1.0" encoding="utf-8"?>
<ds:datastoreItem xmlns:ds="http://schemas.openxmlformats.org/officeDocument/2006/customXml" ds:itemID="{A090C1A8-A9E3-47A8-8BD0-A54E835C7BD8}"/>
</file>

<file path=customXml/itemProps4.xml><?xml version="1.0" encoding="utf-8"?>
<ds:datastoreItem xmlns:ds="http://schemas.openxmlformats.org/officeDocument/2006/customXml" ds:itemID="{98EAC07A-AAE7-472C-AF09-16DC83D01E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Vijay Ramakant Patil</cp:lastModifiedBy>
  <cp:revision/>
  <dcterms:created xsi:type="dcterms:W3CDTF">2015-06-05T18:17:20Z</dcterms:created>
  <dcterms:modified xsi:type="dcterms:W3CDTF">2025-07-28T06:58:40Z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