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E93C8F86-549E-402A-88C7-A7D12A244790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1" l="1"/>
  <c r="I47" i="11"/>
  <c r="J47" i="11"/>
  <c r="K47" i="11" s="1"/>
  <c r="M47" i="11"/>
  <c r="P47" i="11"/>
  <c r="W47" i="11"/>
  <c r="X47" i="11"/>
  <c r="Y47" i="11"/>
  <c r="AB47" i="11" s="1"/>
  <c r="AD47" i="11"/>
  <c r="AD1708" i="4"/>
  <c r="AI1708" i="4" s="1"/>
  <c r="AD1710" i="4"/>
  <c r="AI1710" i="4" s="1"/>
  <c r="AD1711" i="4"/>
  <c r="AI1711" i="4" s="1"/>
  <c r="AC1712" i="4"/>
  <c r="AD1713" i="4"/>
  <c r="AI1713" i="4" s="1"/>
  <c r="AD1714" i="4"/>
  <c r="AI1714" i="4" s="1"/>
  <c r="AD1715" i="4"/>
  <c r="AI1715" i="4" s="1"/>
  <c r="AC1716" i="4"/>
  <c r="AD1717" i="4"/>
  <c r="AI1717" i="4" s="1"/>
  <c r="AC1718" i="4"/>
  <c r="AA1707" i="4"/>
  <c r="AA1708" i="4"/>
  <c r="AA1711" i="4"/>
  <c r="AA1712" i="4"/>
  <c r="AA1717" i="4"/>
  <c r="AH1719" i="4"/>
  <c r="X1719" i="4"/>
  <c r="AA1719" i="4" s="1"/>
  <c r="W1719" i="4"/>
  <c r="AD1719" i="4" s="1"/>
  <c r="AI1719" i="4" s="1"/>
  <c r="M1719" i="4"/>
  <c r="J1719" i="4"/>
  <c r="K1719" i="4" s="1"/>
  <c r="I1719" i="4"/>
  <c r="G1719" i="4"/>
  <c r="C1719" i="4"/>
  <c r="B1719" i="4"/>
  <c r="AH1718" i="4"/>
  <c r="AD1718" i="4"/>
  <c r="AI1718" i="4" s="1"/>
  <c r="AA1718" i="4"/>
  <c r="M1718" i="4"/>
  <c r="J1718" i="4"/>
  <c r="K1718" i="4" s="1"/>
  <c r="I1718" i="4"/>
  <c r="G1718" i="4"/>
  <c r="C1718" i="4"/>
  <c r="B1718" i="4"/>
  <c r="AH1717" i="4"/>
  <c r="AB1717" i="4"/>
  <c r="M1717" i="4"/>
  <c r="J1717" i="4"/>
  <c r="K1717" i="4" s="1"/>
  <c r="I1717" i="4"/>
  <c r="G1717" i="4"/>
  <c r="C1717" i="4"/>
  <c r="B1717" i="4"/>
  <c r="AH1716" i="4"/>
  <c r="AD1716" i="4"/>
  <c r="AI1716" i="4" s="1"/>
  <c r="AA1716" i="4"/>
  <c r="M1716" i="4"/>
  <c r="J1716" i="4"/>
  <c r="K1716" i="4" s="1"/>
  <c r="I1716" i="4"/>
  <c r="G1716" i="4"/>
  <c r="C1716" i="4"/>
  <c r="B1716" i="4"/>
  <c r="AH1715" i="4"/>
  <c r="M1715" i="4"/>
  <c r="J1715" i="4"/>
  <c r="K1715" i="4" s="1"/>
  <c r="I1715" i="4"/>
  <c r="G1715" i="4"/>
  <c r="C1715" i="4"/>
  <c r="B1715" i="4"/>
  <c r="AH1714" i="4"/>
  <c r="M1714" i="4"/>
  <c r="J1714" i="4"/>
  <c r="K1714" i="4" s="1"/>
  <c r="I1714" i="4"/>
  <c r="G1714" i="4"/>
  <c r="C1714" i="4"/>
  <c r="B1714" i="4"/>
  <c r="AH1713" i="4"/>
  <c r="M1713" i="4"/>
  <c r="J1713" i="4"/>
  <c r="I1713" i="4"/>
  <c r="G1713" i="4"/>
  <c r="C1713" i="4"/>
  <c r="B1713" i="4"/>
  <c r="AH1712" i="4"/>
  <c r="AD1712" i="4"/>
  <c r="AI1712" i="4" s="1"/>
  <c r="AB1712" i="4"/>
  <c r="M1712" i="4"/>
  <c r="J1712" i="4"/>
  <c r="K1712" i="4" s="1"/>
  <c r="I1712" i="4"/>
  <c r="G1712" i="4"/>
  <c r="C1712" i="4"/>
  <c r="B1712" i="4"/>
  <c r="AH1711" i="4"/>
  <c r="M1711" i="4"/>
  <c r="J1711" i="4"/>
  <c r="K1711" i="4" s="1"/>
  <c r="I1711" i="4"/>
  <c r="G1711" i="4"/>
  <c r="C1711" i="4"/>
  <c r="B1711" i="4"/>
  <c r="AH1710" i="4"/>
  <c r="AC1710" i="4"/>
  <c r="AA1710" i="4"/>
  <c r="M1710" i="4"/>
  <c r="J1710" i="4"/>
  <c r="I1710" i="4"/>
  <c r="G1710" i="4"/>
  <c r="C1710" i="4"/>
  <c r="B1710" i="4"/>
  <c r="AH1709" i="4"/>
  <c r="AD1709" i="4"/>
  <c r="AI1709" i="4" s="1"/>
  <c r="X1709" i="4"/>
  <c r="AA1709" i="4" s="1"/>
  <c r="W1709" i="4"/>
  <c r="AC1709" i="4" s="1"/>
  <c r="M1709" i="4"/>
  <c r="J1709" i="4"/>
  <c r="K1709" i="4" s="1"/>
  <c r="I1709" i="4"/>
  <c r="G1709" i="4"/>
  <c r="C1709" i="4"/>
  <c r="B1709" i="4"/>
  <c r="AH1708" i="4"/>
  <c r="AC1708" i="4"/>
  <c r="M1708" i="4"/>
  <c r="J1708" i="4"/>
  <c r="K1708" i="4" s="1"/>
  <c r="I1708" i="4"/>
  <c r="G1708" i="4"/>
  <c r="C1708" i="4"/>
  <c r="B1708" i="4"/>
  <c r="AH1707" i="4"/>
  <c r="AD1707" i="4"/>
  <c r="AI1707" i="4" s="1"/>
  <c r="AC1707" i="4"/>
  <c r="AB1707" i="4"/>
  <c r="M1707" i="4"/>
  <c r="J1707" i="4"/>
  <c r="K1707" i="4" s="1"/>
  <c r="I1707" i="4"/>
  <c r="G1707" i="4"/>
  <c r="C1707" i="4"/>
  <c r="B1707" i="4"/>
  <c r="A1707" i="4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J126" i="6"/>
  <c r="Q126" i="6" s="1"/>
  <c r="K126" i="6"/>
  <c r="L126" i="6"/>
  <c r="M126" i="6"/>
  <c r="N126" i="6"/>
  <c r="O126" i="6"/>
  <c r="U125" i="7" s="1"/>
  <c r="A125" i="7"/>
  <c r="B125" i="7"/>
  <c r="C125" i="7"/>
  <c r="F125" i="7"/>
  <c r="G125" i="7" s="1"/>
  <c r="H125" i="7"/>
  <c r="F127" i="1"/>
  <c r="AB127" i="1"/>
  <c r="AC127" i="1"/>
  <c r="AE127" i="1" s="1"/>
  <c r="AD127" i="1"/>
  <c r="AF127" i="1"/>
  <c r="AG127" i="1" s="1"/>
  <c r="AH127" i="1"/>
  <c r="AC1694" i="4"/>
  <c r="AC1695" i="4"/>
  <c r="AC1697" i="4"/>
  <c r="AD1698" i="4"/>
  <c r="AI1698" i="4" s="1"/>
  <c r="AD1699" i="4"/>
  <c r="AI1699" i="4" s="1"/>
  <c r="AC1700" i="4"/>
  <c r="AD1701" i="4"/>
  <c r="AB1702" i="4"/>
  <c r="AD1703" i="4"/>
  <c r="AC1705" i="4"/>
  <c r="AA1695" i="4"/>
  <c r="AA1698" i="4"/>
  <c r="AA1699" i="4"/>
  <c r="AA1700" i="4"/>
  <c r="AA1703" i="4"/>
  <c r="AA1704" i="4"/>
  <c r="AH1706" i="4"/>
  <c r="M1706" i="4"/>
  <c r="G1706" i="4"/>
  <c r="C1706" i="4"/>
  <c r="B1706" i="4"/>
  <c r="AH1705" i="4"/>
  <c r="AA1705" i="4"/>
  <c r="M1705" i="4"/>
  <c r="G1705" i="4"/>
  <c r="C1705" i="4"/>
  <c r="B1705" i="4"/>
  <c r="AH1704" i="4"/>
  <c r="AD1704" i="4"/>
  <c r="AI1704" i="4" s="1"/>
  <c r="AC1704" i="4"/>
  <c r="AB1704" i="4"/>
  <c r="M1704" i="4"/>
  <c r="G1704" i="4"/>
  <c r="C1704" i="4"/>
  <c r="B1704" i="4"/>
  <c r="AH1703" i="4"/>
  <c r="AB1703" i="4"/>
  <c r="M1703" i="4"/>
  <c r="G1703" i="4"/>
  <c r="C1703" i="4"/>
  <c r="B1703" i="4"/>
  <c r="AH1702" i="4"/>
  <c r="AD1702" i="4"/>
  <c r="AC1702" i="4"/>
  <c r="AA1702" i="4"/>
  <c r="M1702" i="4"/>
  <c r="G1702" i="4"/>
  <c r="C1702" i="4"/>
  <c r="B1702" i="4"/>
  <c r="AH1701" i="4"/>
  <c r="AA1701" i="4"/>
  <c r="M1701" i="4"/>
  <c r="G1701" i="4"/>
  <c r="C1701" i="4"/>
  <c r="B1701" i="4"/>
  <c r="AH1700" i="4"/>
  <c r="AD1700" i="4"/>
  <c r="M1700" i="4"/>
  <c r="G1700" i="4"/>
  <c r="C1700" i="4"/>
  <c r="B1700" i="4"/>
  <c r="AH1699" i="4"/>
  <c r="AB1699" i="4"/>
  <c r="M1699" i="4"/>
  <c r="G1699" i="4"/>
  <c r="C1699" i="4"/>
  <c r="B1699" i="4"/>
  <c r="AH1698" i="4"/>
  <c r="AC1698" i="4"/>
  <c r="M1698" i="4"/>
  <c r="G1698" i="4"/>
  <c r="C1698" i="4"/>
  <c r="B1698" i="4"/>
  <c r="AH1697" i="4"/>
  <c r="AD1697" i="4"/>
  <c r="AA1697" i="4"/>
  <c r="M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M1696" i="4"/>
  <c r="G1696" i="4"/>
  <c r="C1696" i="4"/>
  <c r="B1696" i="4"/>
  <c r="A1696" i="4"/>
  <c r="AH1695" i="4"/>
  <c r="M1695" i="4"/>
  <c r="G1695" i="4"/>
  <c r="C1695" i="4"/>
  <c r="B1695" i="4"/>
  <c r="A1695" i="4"/>
  <c r="AH1694" i="4"/>
  <c r="AD1694" i="4"/>
  <c r="AA1694" i="4"/>
  <c r="M1694" i="4"/>
  <c r="G1694" i="4"/>
  <c r="C1694" i="4"/>
  <c r="B1694" i="4"/>
  <c r="A1694" i="4"/>
  <c r="A124" i="7"/>
  <c r="C124" i="7"/>
  <c r="F124" i="7"/>
  <c r="G124" i="7" s="1"/>
  <c r="H124" i="7"/>
  <c r="B124" i="7" s="1"/>
  <c r="A123" i="7"/>
  <c r="B123" i="7"/>
  <c r="C123" i="7"/>
  <c r="F123" i="7"/>
  <c r="G123" i="7" s="1"/>
  <c r="H123" i="7"/>
  <c r="G126" i="6"/>
  <c r="H126" i="6"/>
  <c r="A126" i="6" s="1"/>
  <c r="I126" i="6"/>
  <c r="A125" i="6"/>
  <c r="B125" i="6"/>
  <c r="C125" i="6"/>
  <c r="G125" i="6"/>
  <c r="H125" i="6"/>
  <c r="I125" i="6"/>
  <c r="J125" i="6"/>
  <c r="K125" i="6"/>
  <c r="L125" i="6"/>
  <c r="M125" i="6"/>
  <c r="N125" i="6"/>
  <c r="O125" i="6"/>
  <c r="A124" i="6"/>
  <c r="B124" i="6"/>
  <c r="C124" i="6"/>
  <c r="G124" i="6"/>
  <c r="H124" i="6"/>
  <c r="I124" i="6"/>
  <c r="J124" i="6"/>
  <c r="K124" i="6"/>
  <c r="L124" i="6"/>
  <c r="M124" i="6"/>
  <c r="N124" i="6"/>
  <c r="O124" i="6"/>
  <c r="F126" i="1"/>
  <c r="AB126" i="1"/>
  <c r="AC126" i="1"/>
  <c r="AE126" i="1" s="1"/>
  <c r="AD126" i="1"/>
  <c r="AF126" i="1"/>
  <c r="AG126" i="1" s="1"/>
  <c r="AH126" i="1"/>
  <c r="AC1681" i="4"/>
  <c r="AD1682" i="4"/>
  <c r="AC1684" i="4"/>
  <c r="AD1685" i="4"/>
  <c r="AD1686" i="4"/>
  <c r="AI1686" i="4" s="1"/>
  <c r="AC1687" i="4"/>
  <c r="AD1688" i="4"/>
  <c r="AB1689" i="4"/>
  <c r="AC1690" i="4"/>
  <c r="AD1691" i="4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I1692" i="4" s="1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A1681" i="4"/>
  <c r="M1681" i="4"/>
  <c r="G1681" i="4"/>
  <c r="C1681" i="4"/>
  <c r="B1681" i="4"/>
  <c r="A1681" i="4"/>
  <c r="F125" i="1"/>
  <c r="AB125" i="1"/>
  <c r="AC125" i="1"/>
  <c r="AD125" i="1"/>
  <c r="AF125" i="1"/>
  <c r="AG125" i="1" s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C124" i="1"/>
  <c r="AD124" i="1"/>
  <c r="AF124" i="1"/>
  <c r="AG124" i="1" s="1"/>
  <c r="AH124" i="1"/>
  <c r="AB1668" i="4"/>
  <c r="AD1669" i="4"/>
  <c r="AA1671" i="4"/>
  <c r="AC1672" i="4"/>
  <c r="AD1673" i="4"/>
  <c r="AB1674" i="4"/>
  <c r="AD1675" i="4"/>
  <c r="AD1676" i="4"/>
  <c r="AI1676" i="4" s="1"/>
  <c r="AB1677" i="4"/>
  <c r="AD1678" i="4"/>
  <c r="AI1678" i="4" s="1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B1718" i="4" l="1"/>
  <c r="AC1717" i="4"/>
  <c r="AB1716" i="4"/>
  <c r="K1713" i="4"/>
  <c r="AB1713" i="4"/>
  <c r="AA1713" i="4"/>
  <c r="AC1713" i="4"/>
  <c r="AB1711" i="4"/>
  <c r="AC1711" i="4"/>
  <c r="AB1710" i="4"/>
  <c r="K1710" i="4"/>
  <c r="AB1709" i="4"/>
  <c r="AB1708" i="4"/>
  <c r="AI1674" i="4"/>
  <c r="AI1685" i="4"/>
  <c r="AI1697" i="4"/>
  <c r="AI1702" i="4"/>
  <c r="AA1715" i="4"/>
  <c r="AI1626" i="4"/>
  <c r="AI1684" i="4"/>
  <c r="AB1715" i="4"/>
  <c r="AI1675" i="4"/>
  <c r="AI1691" i="4"/>
  <c r="AI1682" i="4"/>
  <c r="AI1700" i="4"/>
  <c r="AI1703" i="4"/>
  <c r="AA1714" i="4"/>
  <c r="AC1715" i="4"/>
  <c r="AB1714" i="4"/>
  <c r="AB1719" i="4"/>
  <c r="AI1672" i="4"/>
  <c r="AI1673" i="4"/>
  <c r="AI1687" i="4"/>
  <c r="AI1694" i="4"/>
  <c r="AI1701" i="4"/>
  <c r="AC1714" i="4"/>
  <c r="AC1719" i="4"/>
  <c r="AI1681" i="4"/>
  <c r="AI1690" i="4"/>
  <c r="AI1688" i="4"/>
  <c r="R125" i="7"/>
  <c r="S125" i="7"/>
  <c r="T125" i="7"/>
  <c r="P126" i="6"/>
  <c r="Q125" i="7" s="1"/>
  <c r="S123" i="7"/>
  <c r="L124" i="7"/>
  <c r="Q125" i="6"/>
  <c r="T123" i="7"/>
  <c r="P125" i="6"/>
  <c r="M124" i="7" s="1"/>
  <c r="Q124" i="6"/>
  <c r="P124" i="6"/>
  <c r="P123" i="7" s="1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C126" i="6"/>
  <c r="B126" i="6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O125" i="7" l="1"/>
  <c r="M125" i="7"/>
  <c r="J125" i="7"/>
  <c r="P125" i="7"/>
  <c r="K125" i="7"/>
  <c r="L125" i="7"/>
  <c r="N125" i="7"/>
  <c r="Q124" i="7"/>
  <c r="R124" i="7"/>
  <c r="O124" i="7"/>
  <c r="S124" i="7"/>
  <c r="Q123" i="7"/>
  <c r="M123" i="7"/>
  <c r="T124" i="7"/>
  <c r="U123" i="7"/>
  <c r="J123" i="7"/>
  <c r="P124" i="7"/>
  <c r="J124" i="7"/>
  <c r="N123" i="7"/>
  <c r="U124" i="7"/>
  <c r="N124" i="7"/>
  <c r="K124" i="7"/>
  <c r="K123" i="7"/>
  <c r="L123" i="7"/>
  <c r="O123" i="7"/>
  <c r="R123" i="7"/>
  <c r="T113" i="7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I15" i="4"/>
  <c r="X31" i="4"/>
  <c r="W43" i="4"/>
  <c r="X32" i="4"/>
  <c r="J26" i="4"/>
  <c r="W33" i="4"/>
  <c r="J6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J42" i="4" l="1"/>
  <c r="K42" i="4" s="1"/>
  <c r="X45" i="4"/>
  <c r="W45" i="4"/>
  <c r="AB45" i="4" s="1"/>
  <c r="I39" i="4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C45" i="4" l="1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957" i="4" l="1"/>
  <c r="K803" i="4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7" i="1" l="1"/>
  <c r="B127" i="1"/>
  <c r="I1697" i="4"/>
  <c r="W1696" i="4"/>
  <c r="J1699" i="4"/>
  <c r="I1704" i="4"/>
  <c r="J1695" i="4"/>
  <c r="I1703" i="4"/>
  <c r="J1694" i="4"/>
  <c r="J1700" i="4"/>
  <c r="I1698" i="4"/>
  <c r="J1698" i="4"/>
  <c r="I1702" i="4"/>
  <c r="J1706" i="4"/>
  <c r="I1695" i="4"/>
  <c r="J1702" i="4"/>
  <c r="I1694" i="4"/>
  <c r="X1706" i="4"/>
  <c r="W1706" i="4"/>
  <c r="J1701" i="4"/>
  <c r="J1697" i="4"/>
  <c r="K1697" i="4" s="1"/>
  <c r="I1699" i="4"/>
  <c r="X1696" i="4"/>
  <c r="J1704" i="4"/>
  <c r="J1703" i="4"/>
  <c r="I1700" i="4"/>
  <c r="J1696" i="4"/>
  <c r="I1705" i="4"/>
  <c r="I1696" i="4"/>
  <c r="I1706" i="4"/>
  <c r="I1701" i="4"/>
  <c r="J1705" i="4"/>
  <c r="K1705" i="4" s="1"/>
  <c r="A126" i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AA1696" i="4" l="1"/>
  <c r="K1704" i="4"/>
  <c r="K1702" i="4"/>
  <c r="K1681" i="4"/>
  <c r="K1699" i="4"/>
  <c r="AA1706" i="4"/>
  <c r="K1695" i="4"/>
  <c r="K1706" i="4"/>
  <c r="K1701" i="4"/>
  <c r="K1698" i="4"/>
  <c r="AB1696" i="4"/>
  <c r="AD1696" i="4"/>
  <c r="AI1696" i="4" s="1"/>
  <c r="AC1696" i="4"/>
  <c r="K1696" i="4"/>
  <c r="AD1706" i="4"/>
  <c r="AI1706" i="4" s="1"/>
  <c r="T124" i="18" s="1"/>
  <c r="AC1706" i="4"/>
  <c r="AB1706" i="4"/>
  <c r="K1700" i="4"/>
  <c r="K1703" i="4"/>
  <c r="K1694" i="4"/>
  <c r="K186" i="3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T123" i="18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22" i="18" l="1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<sst xmlns="http://schemas.openxmlformats.org/spreadsheetml/2006/main" count="22107" uniqueCount="529">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</sst>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7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6" totalsRowShown="0">
  <autoFilter ref="A2:Q126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5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19" totalsRowShown="0">
  <autoFilter ref="A3:AK1719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45868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29.778000000000134</v>
      </c>
      <c r="E9" s="104">
        <f>-(C9-D9)/C9</f>
        <v>-0.26840151761298364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1221.0796242841661</v>
      </c>
      <c r="D10" s="107">
        <f>'Monthly KPI'!$F$4</f>
        <v>1129.5238000000045</v>
      </c>
      <c r="E10" s="108">
        <f t="shared" ref="E10:E29" si="0">-(C10-D10)/C10</f>
        <v>-7.4979405489494139E-2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6578.8405291692543</v>
      </c>
      <c r="D11" s="110">
        <f>'Annual KPI'!$F$4</f>
        <v>5435.9066999999823</v>
      </c>
      <c r="E11" s="111">
        <f t="shared" si="0"/>
        <v>-0.17372876331349477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0.10586604095563186</v>
      </c>
      <c r="E12" s="104">
        <f t="shared" si="0"/>
        <v>-0.26840151761298364</v>
      </c>
      <c r="F12" s="190"/>
    </row>
    <row r="13" spans="1:7">
      <c r="A13" s="229"/>
      <c r="B13" s="105" t="s">
        <v>15</v>
      </c>
      <c r="C13" s="114">
        <f>'Monthly KPI'!$I$4</f>
        <v>0.14470511285127111</v>
      </c>
      <c r="D13" s="115">
        <f>'Monthly KPI'!$J$4</f>
        <v>0.13385520951839264</v>
      </c>
      <c r="E13" s="108">
        <f t="shared" si="0"/>
        <v>-7.4979405489494166E-2</v>
      </c>
      <c r="F13" s="188"/>
    </row>
    <row r="14" spans="1:7" ht="15.75" thickBot="1">
      <c r="A14" s="230"/>
      <c r="B14" s="109" t="s">
        <v>16</v>
      </c>
      <c r="C14" s="114">
        <f>'Annual KPI'!$I$4</f>
        <v>0.19329700969033101</v>
      </c>
      <c r="D14" s="117">
        <f>'Annual KPI'!$J$4</f>
        <v>0.15971575924463319</v>
      </c>
      <c r="E14" s="111">
        <f t="shared" si="0"/>
        <v>-0.17372876331349477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0.77040175346730289</v>
      </c>
      <c r="E15" s="104">
        <f t="shared" si="0"/>
        <v>2.639701325227773E-2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0.75499704939066203</v>
      </c>
      <c r="E16" s="108">
        <f t="shared" si="0"/>
        <v>5.8735108288494502E-3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0.72828436573720345</v>
      </c>
      <c r="D17" s="117">
        <f>'Annual KPI'!$H$4</f>
        <v>0.69227810981236082</v>
      </c>
      <c r="E17" s="111">
        <f t="shared" si="0"/>
        <v>-4.9439830948993971E-2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3.298</v>
      </c>
      <c r="E18" s="104">
        <f t="shared" si="0"/>
        <v>-0.28721686351283543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138.80799774193545</v>
      </c>
      <c r="D19" s="179">
        <f>'Monthly KPI'!$D$4</f>
        <v>127.65049999999999</v>
      </c>
      <c r="E19" s="108">
        <f t="shared" si="0"/>
        <v>-8.0380798826007793E-2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772.84100374193542</v>
      </c>
      <c r="D20" s="181">
        <f>'Annual KPI'!$D$4</f>
        <v>669.98299999999983</v>
      </c>
      <c r="E20" s="111">
        <f t="shared" si="0"/>
        <v>-0.13309076930949384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0.99978559777772369</v>
      </c>
      <c r="E22" s="108">
        <f t="shared" si="0"/>
        <v>4.8096460077625058E-3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0.98968886904136799</v>
      </c>
      <c r="E23" s="111">
        <f t="shared" si="0"/>
        <v>-5.3378200589266379E-3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0.93080054274084123</v>
      </c>
      <c r="E24" s="104">
        <f t="shared" si="0"/>
        <v>-5.5504269162007923E-2</v>
      </c>
      <c r="F24" s="193" t="s">
        <v>492</v>
      </c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0.98839704073729384</v>
      </c>
      <c r="E25" s="108">
        <f t="shared" si="0"/>
        <v>2.939665892738507E-3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0.9604126717563114</v>
      </c>
      <c r="E26" s="111">
        <f t="shared" si="0"/>
        <v>-2.5456446721145248E-2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0.9858661239258254</v>
      </c>
      <c r="E27" s="124">
        <f t="shared" si="0"/>
        <v>-9.1797749489191914E-3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0.98681812910369127</v>
      </c>
      <c r="E28" s="108">
        <f t="shared" si="0"/>
        <v>-8.2229858254359092E-3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0.98031973194345434</v>
      </c>
      <c r="E29" s="111">
        <f t="shared" si="0"/>
        <v>-1.4754038247784576E-2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45868</v>
      </c>
      <c r="D7" s="86">
        <f>'Daily Dashboard'!C9</f>
        <v>40.702654142805535</v>
      </c>
      <c r="E7" s="86">
        <f>'Daily Dashboard'!D9</f>
        <v>29.778000000000134</v>
      </c>
      <c r="F7" s="86">
        <f>D7-E7</f>
        <v>10.924654142805402</v>
      </c>
    </row>
    <row r="8" spans="2:6">
      <c r="B8" s="84" t="s">
        <v>38</v>
      </c>
      <c r="C8" s="85">
        <f t="shared" ref="C8:C30" si="0">$C$7</f>
        <v>45868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45868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45868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45868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45868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45868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45868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45868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45868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45868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45868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45868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45868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45868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45868</v>
      </c>
      <c r="D22" s="84">
        <f>'Daily Dashboard'!C24*100</f>
        <v>98.550000000000011</v>
      </c>
      <c r="E22" s="84">
        <f>'Daily Dashboard'!D24*100</f>
        <v>93.080054274084119</v>
      </c>
      <c r="F22" s="84">
        <f>E22-D22</f>
        <v>-5.4699457259158919</v>
      </c>
      <c r="G22" s="87">
        <f>(F22/100)*$D$7</f>
        <v>-2.2264130906187192</v>
      </c>
    </row>
    <row r="23" spans="2:7">
      <c r="B23" s="84" t="s">
        <v>53</v>
      </c>
      <c r="C23" s="85">
        <f t="shared" si="0"/>
        <v>45868</v>
      </c>
      <c r="D23" s="84">
        <f>'Daily Dashboard'!C27*100</f>
        <v>99.5</v>
      </c>
      <c r="E23" s="84">
        <f>'Daily Dashboard'!D27*100</f>
        <v>98.586612392582538</v>
      </c>
      <c r="F23" s="84">
        <f>E23-D23</f>
        <v>-0.91338760741746228</v>
      </c>
      <c r="G23" s="87">
        <f>((F23/100)*$D$7)*20%</f>
        <v>-7.4354599766075211E-2</v>
      </c>
    </row>
    <row r="24" spans="2:7">
      <c r="B24" s="84" t="s">
        <v>54</v>
      </c>
      <c r="C24" s="85">
        <f t="shared" si="0"/>
        <v>45868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45868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45868</v>
      </c>
      <c r="D26" s="88">
        <f>'Daily Dashboard'!$D$9</f>
        <v>29.778000000000134</v>
      </c>
      <c r="E26" s="88">
        <f>'Daily Dashboard'!$D$9</f>
        <v>29.778000000000134</v>
      </c>
      <c r="F26" s="88">
        <f>'Daily Dashboard'!$D$9</f>
        <v>29.778000000000134</v>
      </c>
    </row>
    <row r="27" spans="2:7">
      <c r="B27" s="84" t="s">
        <v>56</v>
      </c>
      <c r="C27" s="85">
        <f t="shared" si="0"/>
        <v>45868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45868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45868</v>
      </c>
      <c r="D29" s="84">
        <v>0</v>
      </c>
      <c r="E29" s="86">
        <f>-(F7+G30)+(SUM(G21:G23))</f>
        <v>-1.3314199029318448</v>
      </c>
      <c r="F29" s="86">
        <f>E29</f>
        <v>-1.3314199029318448</v>
      </c>
    </row>
    <row r="30" spans="2:7">
      <c r="B30" s="84" t="s">
        <v>59</v>
      </c>
      <c r="C30" s="85">
        <f t="shared" si="0"/>
        <v>45868</v>
      </c>
      <c r="D30" s="84">
        <f>'Daily Dashboard'!C18</f>
        <v>4.6269332580645148</v>
      </c>
      <c r="E30" s="89">
        <f>'Daily Dashboard'!D18</f>
        <v>3.298</v>
      </c>
      <c r="F30" s="84">
        <f>E30-D30</f>
        <v>-1.3289332580645148</v>
      </c>
      <c r="G30" s="83">
        <f>(F30/D30)*D7</f>
        <v>-11.690488659544323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45868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121</v>
      </c>
      <c r="C4" s="78">
        <f>_xlfn.XLOOKUP($C$1,'Modelling New'!$D:$D,'Modelling New'!S:S)</f>
        <v>772.84100374193542</v>
      </c>
      <c r="D4" s="79">
        <f>IFERROR(SUMIFS('Daily KPI'!$I:$I,'Daily KPI'!$B:$B,$A4,'Daily KPI'!$A:$A,"&lt;="&amp;$B$1),"")</f>
        <v>669.98299999999983</v>
      </c>
      <c r="E4" s="78">
        <f>_xlfn.XLOOKUP($C$1,'Modelling New'!$D:$D,'Modelling New'!V:V)</f>
        <v>6578.8405291692543</v>
      </c>
      <c r="F4" s="79">
        <f>SUMIFS('Daily KPI'!$AA:$AA,'Daily KPI'!$B:$B,'Annual KPI'!A4,'Daily KPI'!$A:$A,"&lt;="&amp;'Annual KPI'!$B$1)/1000</f>
        <v>5435.9066999999823</v>
      </c>
      <c r="G4" s="80">
        <f>IFERROR(E4/C4/'Modelling New'!$AQ$1,"")</f>
        <v>0.72632600162628058</v>
      </c>
      <c r="H4" s="81">
        <f>IFERROR(F4/D4/'Modelling New'!$AQ$1,"")</f>
        <v>0.69227810981236082</v>
      </c>
      <c r="I4" s="80">
        <f>IFERROR(E4/(B4*24*'Modelling New'!$AQ$1),"")</f>
        <v>0.19329700969033101</v>
      </c>
      <c r="J4" s="81">
        <f>IFERROR(F4/(B4*24*'Modelling New'!$AQ$1),"")</f>
        <v>0.15971575924463319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0.9604126717563114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0.98968886904136799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0.98031973194345434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772.84100374193542</v>
      </c>
      <c r="D13" s="79">
        <f>SUMIF('Daily KPI'!$D:$D,$A13,'Daily KPI'!I:I)</f>
        <v>127.65049999999999</v>
      </c>
      <c r="E13" s="78">
        <f>_xlfn.XLOOKUP($A13,'Modelling New'!$D:$D,'Modelling New'!V:V)</f>
        <v>6578.8405291692543</v>
      </c>
      <c r="F13" s="79">
        <f>SUMIF('Daily KPI'!$D:$D,$A13,'Daily KPI'!AA:AA)/1000</f>
        <v>1129.5238000000045</v>
      </c>
      <c r="G13" s="73">
        <f>IFERROR(E13/C13/'Modelling New'!$AQ$1,"")</f>
        <v>0.72632600162628058</v>
      </c>
      <c r="H13" s="74">
        <f>IFERROR(F13/D13/'Modelling New'!$AQ$1,"")</f>
        <v>0.75499704939066203</v>
      </c>
      <c r="I13" s="73">
        <f>IFERROR(E13/(B13*24*'Modelling New'!$AQ$1),"")</f>
        <v>0.75448187653322762</v>
      </c>
      <c r="J13" s="74">
        <f>IFERROR(F13/(B13*24*'Modelling New'!$AQ$1),"")</f>
        <v>0.12953729953392837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0.98839704073729384</v>
      </c>
      <c r="M13" s="73">
        <f>_xlfn.XLOOKUP($A13,'Modelling New'!$D:$D,'Modelling New'!AE:AE)</f>
        <v>0.995</v>
      </c>
      <c r="N13" s="74">
        <f>IFERROR(AVERAGEIF('Daily KPI'!$D:$D,$A13,'Daily KPI'!O:O),"")</f>
        <v>0.99978559777772369</v>
      </c>
      <c r="O13" s="73">
        <f>_xlfn.XLOOKUP($A13,'Modelling New'!$D:$D,'Modelling New'!AG:AG)</f>
        <v>0.995</v>
      </c>
      <c r="P13" s="74">
        <f>IFERROR(AVERAGEIF('Daily KPI'!$D:$D,$A13,'Daily KPI'!T:T),"")</f>
        <v>0.98681812910369127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772.84100374193542</v>
      </c>
      <c r="D14" s="79">
        <f>SUMIF('Daily KPI'!$D:$D,$A14,'Daily KPI'!I:I)</f>
        <v>0</v>
      </c>
      <c r="E14" s="78">
        <f>_xlfn.XLOOKUP($A14,'Modelling New'!$D:$D,'Modelling New'!V:V)</f>
        <v>6578.8405291692543</v>
      </c>
      <c r="F14" s="79">
        <f>SUMIF('Daily KPI'!$D:$D,$A14,'Daily KPI'!AA:AA)/1000</f>
        <v>0</v>
      </c>
      <c r="G14" s="73">
        <f>IFERROR(E14/C14/'Modelling New'!$AQ$1,"")</f>
        <v>0.72632600162628058</v>
      </c>
      <c r="H14" s="74" t="str">
        <f>IFERROR(F14/D14/'Modelling New'!$AQ$1,"")</f>
        <v/>
      </c>
      <c r="I14" s="73">
        <f>IFERROR(E14/(B14*24*'Modelling New'!$AQ$1),"")</f>
        <v>0.75448187653322762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772.84100374193542</v>
      </c>
      <c r="D15" s="79">
        <f>SUMIF('Daily KPI'!$D:$D,$A15,'Daily KPI'!I:I)</f>
        <v>0</v>
      </c>
      <c r="E15" s="78">
        <f>_xlfn.XLOOKUP($A15,'Modelling New'!$D:$D,'Modelling New'!V:V)</f>
        <v>6578.8405291692543</v>
      </c>
      <c r="F15" s="79">
        <f>SUMIF('Daily KPI'!$D:$D,$A15,'Daily KPI'!AA:AA)/1000</f>
        <v>0</v>
      </c>
      <c r="G15" s="73">
        <f>IFERROR(E15/C15/'Modelling New'!$AQ$1,"")</f>
        <v>0.72632600162628058</v>
      </c>
      <c r="H15" s="74" t="str">
        <f>IFERROR(F15/D15/'Modelling New'!$AQ$1,"")</f>
        <v/>
      </c>
      <c r="I15" s="73">
        <f>IFERROR(E15/(B15*24*'Modelling New'!$AQ$1),"")</f>
        <v>0.77963127241766861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772.84100374193542</v>
      </c>
      <c r="D16" s="79">
        <f>SUMIF('Daily KPI'!$D:$D,$A16,'Daily KPI'!I:I)</f>
        <v>0</v>
      </c>
      <c r="E16" s="78">
        <f>_xlfn.XLOOKUP($A16,'Modelling New'!$D:$D,'Modelling New'!V:V)</f>
        <v>6578.8405291692543</v>
      </c>
      <c r="F16" s="79">
        <f>SUMIF('Daily KPI'!$D:$D,$A16,'Daily KPI'!AA:AA)/1000</f>
        <v>0</v>
      </c>
      <c r="G16" s="73">
        <f>IFERROR(E16/C16/'Modelling New'!$AQ$1,"")</f>
        <v>0.72632600162628058</v>
      </c>
      <c r="H16" s="74" t="str">
        <f>IFERROR(F16/D16/'Modelling New'!$AQ$1,"")</f>
        <v/>
      </c>
      <c r="I16" s="73">
        <f>IFERROR(E16/(B16*24*'Modelling New'!$AQ$1),"")</f>
        <v>0.75448187653322762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772.84100374193542</v>
      </c>
      <c r="D17" s="79">
        <f>SUMIF('Daily KPI'!$D:$D,$A17,'Daily KPI'!I:I)</f>
        <v>0</v>
      </c>
      <c r="E17" s="78">
        <f>_xlfn.XLOOKUP($A17,'Modelling New'!$D:$D,'Modelling New'!V:V)</f>
        <v>6578.8405291692543</v>
      </c>
      <c r="F17" s="79">
        <f>SUMIF('Daily KPI'!$D:$D,$A17,'Daily KPI'!AA:AA)/1000</f>
        <v>0</v>
      </c>
      <c r="G17" s="73">
        <f>IFERROR(E17/C17/'Modelling New'!$AQ$1,"")</f>
        <v>0.72632600162628058</v>
      </c>
      <c r="H17" s="74" t="str">
        <f>IFERROR(F17/D17/'Modelling New'!$AQ$1,"")</f>
        <v/>
      </c>
      <c r="I17" s="73">
        <f>IFERROR(E17/(B17*24*'Modelling New'!$AQ$1),"")</f>
        <v>0.77963127241766861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772.84100374193542</v>
      </c>
      <c r="D18" s="79">
        <f>SUMIF('Daily KPI'!$D:$D,$A18,'Daily KPI'!I:I)</f>
        <v>0</v>
      </c>
      <c r="E18" s="78">
        <f>_xlfn.XLOOKUP($A18,'Modelling New'!$D:$D,'Modelling New'!V:V)</f>
        <v>6578.8405291692543</v>
      </c>
      <c r="F18" s="79">
        <f>SUMIF('Daily KPI'!$D:$D,$A18,'Daily KPI'!AA:AA)/1000</f>
        <v>0</v>
      </c>
      <c r="G18" s="73">
        <f>IFERROR(E18/C18/'Modelling New'!$AQ$1,"")</f>
        <v>0.72632600162628058</v>
      </c>
      <c r="H18" s="74" t="str">
        <f>IFERROR(F18/D18/'Modelling New'!$AQ$1,"")</f>
        <v/>
      </c>
      <c r="I18" s="73">
        <f>IFERROR(E18/(B18*24*'Modelling New'!$AQ$1),"")</f>
        <v>0.75448187653322762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772.84100374193542</v>
      </c>
      <c r="D19" s="79">
        <f>SUMIF('Daily KPI'!$D:$D,$A19,'Daily KPI'!I:I)</f>
        <v>0</v>
      </c>
      <c r="E19" s="78">
        <f>_xlfn.XLOOKUP($A19,'Modelling New'!$D:$D,'Modelling New'!V:V)</f>
        <v>6578.8405291692543</v>
      </c>
      <c r="F19" s="79">
        <f>SUMIF('Daily KPI'!$D:$D,$A19,'Daily KPI'!AA:AA)/1000</f>
        <v>0</v>
      </c>
      <c r="G19" s="73">
        <f>IFERROR(E19/C19/'Modelling New'!$AQ$1,"")</f>
        <v>0.72632600162628058</v>
      </c>
      <c r="H19" s="74" t="str">
        <f>IFERROR(F19/D19/'Modelling New'!$AQ$1,"")</f>
        <v/>
      </c>
      <c r="I19" s="73">
        <f>IFERROR(E19/(B19*24*'Modelling New'!$AQ$1),"")</f>
        <v>0.75448187653322762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772.84100374193542</v>
      </c>
      <c r="D20" s="79">
        <f>SUMIF('Daily KPI'!$D:$D,$A20,'Daily KPI'!I:I)</f>
        <v>0</v>
      </c>
      <c r="E20" s="78">
        <f>_xlfn.XLOOKUP($A20,'Modelling New'!$D:$D,'Modelling New'!V:V)</f>
        <v>6578.8405291692543</v>
      </c>
      <c r="F20" s="79">
        <f>SUMIF('Daily KPI'!$D:$D,$A20,'Daily KPI'!AA:AA)/1000</f>
        <v>0</v>
      </c>
      <c r="G20" s="73">
        <f>IFERROR(E20/C20/'Modelling New'!$AQ$1,"")</f>
        <v>0.72632600162628058</v>
      </c>
      <c r="H20" s="74" t="str">
        <f>IFERROR(F20/D20/'Modelling New'!$AQ$1,"")</f>
        <v/>
      </c>
      <c r="I20" s="73">
        <f>IFERROR(E20/(B20*24*'Modelling New'!$AQ$1),"")</f>
        <v>0.83531922044750195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772.84100374193542</v>
      </c>
      <c r="D21" s="79">
        <f>SUMIF('Daily KPI'!$D:$D,$A21,'Daily KPI'!I:I)</f>
        <v>0</v>
      </c>
      <c r="E21" s="78">
        <f>_xlfn.XLOOKUP($A21,'Modelling New'!$D:$D,'Modelling New'!V:V)</f>
        <v>6578.8405291692543</v>
      </c>
      <c r="F21" s="79">
        <f>SUMIF('Daily KPI'!$D:$D,$A21,'Daily KPI'!AA:AA)/1000</f>
        <v>0</v>
      </c>
      <c r="G21" s="73">
        <f>IFERROR(E21/C21/'Modelling New'!$AQ$1,"")</f>
        <v>0.72632600162628058</v>
      </c>
      <c r="H21" s="74" t="str">
        <f>IFERROR(F21/D21/'Modelling New'!$AQ$1,"")</f>
        <v/>
      </c>
      <c r="I21" s="73">
        <f>IFERROR(E21/(B21*24*'Modelling New'!$AQ$1),"")</f>
        <v>0.75448187653322762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45868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30</v>
      </c>
      <c r="C4" s="71">
        <f>_xlfn.XLOOKUP($A$4,'Modelling New'!$D:$D,'Modelling New'!R:R)</f>
        <v>138.80799774193545</v>
      </c>
      <c r="D4" s="72">
        <f>SUMIF('Daily KPI'!$D:$D,$A$4,'Daily KPI'!I:I)</f>
        <v>127.65049999999999</v>
      </c>
      <c r="E4" s="71">
        <f>_xlfn.XLOOKUP($A$4,'Modelling New'!$D:$D,'Modelling New'!U:U)</f>
        <v>1221.0796242841661</v>
      </c>
      <c r="F4" s="72">
        <f>SUMIF('Daily KPI'!$D:$D,$A$4,'Daily KPI'!$AA:$AA)/1000</f>
        <v>1129.5238000000045</v>
      </c>
      <c r="G4" s="73">
        <f>IFERROR(E4/C4/'Modelling New'!$AQ$1,"")</f>
        <v>0.75058845994317613</v>
      </c>
      <c r="H4" s="74">
        <f>IFERROR(F4/D4/'Modelling New'!$AQ$1,"")</f>
        <v>0.75499704939066203</v>
      </c>
      <c r="I4" s="73">
        <f>IFERROR(E4/(B4*24*'Modelling New'!$AQ$1),"")</f>
        <v>0.14470511285127111</v>
      </c>
      <c r="J4" s="74">
        <f>IFERROR(F4/(B4*24*'Modelling New'!$AQ$1),"")</f>
        <v>0.13385520951839264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0.98839704073729384</v>
      </c>
      <c r="M4" s="73">
        <f>_xlfn.XLOOKUP($A$4,'Modelling New'!$D:$D,'Modelling New'!AE:AE)</f>
        <v>0.995</v>
      </c>
      <c r="N4" s="74">
        <f>IFERROR(AVERAGEIF('Daily KPI'!$D:$D,$A$4,'Daily KPI'!O:O),"")</f>
        <v>0.99978559777772369</v>
      </c>
      <c r="O4" s="73">
        <f>_xlfn.XLOOKUP($A$4,'Modelling New'!$D:$D,'Modelling New'!AG:AG)</f>
        <v>0.995</v>
      </c>
      <c r="P4" s="74">
        <f>IFERROR(AVERAGEIF('Daily KPI'!$D:$D,$A$4,'Daily KPI'!T:T),"")</f>
        <v>0.98681812910369127</v>
      </c>
    </row>
    <row r="7" spans="1:16">
      <c r="A7" s="66" t="s">
        <v>80</v>
      </c>
      <c r="B7" s="67">
        <f>B8-6</f>
        <v>45862</v>
      </c>
      <c r="D7" s="75"/>
      <c r="F7" s="75"/>
    </row>
    <row r="8" spans="1:16">
      <c r="A8" s="66" t="s">
        <v>81</v>
      </c>
      <c r="B8" s="67">
        <f>$B$1</f>
        <v>45868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20.813000000000002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194.09219999999766</v>
      </c>
      <c r="G11" s="73">
        <f>IFERROR(E11/C11/'Modelling New'!$AQ$1,"")</f>
        <v>0.75058845994317613</v>
      </c>
      <c r="H11" s="74">
        <f>IFERROR(F11/D11/'Modelling New'!$AQ$1,"")</f>
        <v>0.79569345688216664</v>
      </c>
      <c r="I11" s="73">
        <f>IFERROR(E11/(B11*24*'Modelling New'!$AQ$1),"")</f>
        <v>0.14470511285127111</v>
      </c>
      <c r="J11" s="74">
        <f>IFERROR(F11/(B11*24*'Modelling New'!$AQ$1),"")</f>
        <v>9.8575999512431775E-2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0.99011436324869162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1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0.98594929784795127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0.87430342646744297</v>
      </c>
      <c r="V120" s="160"/>
      <c r="W120" s="161">
        <f t="shared" si="6"/>
        <v>6.4479877701973914E-2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178.89999999999873</v>
      </c>
      <c r="AA120" s="156">
        <f>IFERROR(_xlfn.XLOOKUP($A120,'Raw Data'!$G:$G,'Raw Data'!AE:AE),"")</f>
        <v>18136.900000011225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0.98601186194107393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>
        <f>IFERROR(_xlfn.XLOOKUP($A122,'Raw Data'!$G:$G,'Raw Data'!$AH:$AH),"")</f>
        <v>12.599999999999998</v>
      </c>
      <c r="G122" s="131">
        <f>IFERROR(_xlfn.XLOOKUP($A122,'Raw Data'!$G:$G,'Raw Data'!$S:$S)/1000,"")</f>
        <v>0</v>
      </c>
      <c r="H122" s="131"/>
      <c r="I122" s="131">
        <f>IFERROR(_xlfn.XLOOKUP($A122,'Raw Data'!$G:$G,'Raw Data'!$AF:$AF)/1000,"")</f>
        <v>4.38</v>
      </c>
      <c r="J122" s="131"/>
      <c r="K122" s="131">
        <f>IFERROR(_xlfn.XLOOKUP($A122,'Raw Data'!$G:$G,'Raw Data'!W:W),"")</f>
        <v>23</v>
      </c>
      <c r="L122" s="131">
        <f>IFERROR(_xlfn.XLOOKUP($A122,'Raw Data'!$G:$G,'Raw Data'!X:X),"")</f>
        <v>33</v>
      </c>
      <c r="M122" s="131">
        <f>IFERROR(_xlfn.XLOOKUP($A122,'Raw Data'!$G:$G,'Raw Data'!Y:Y),"")</f>
        <v>3</v>
      </c>
      <c r="N122" s="131">
        <f>IFERROR(_xlfn.XLOOKUP($A122,'Raw Data'!$G:$G,'Raw Data'!Z:Z),"")</f>
        <v>9</v>
      </c>
      <c r="O122" s="158">
        <f>IFERROR(1-SUMIF('Plant BD'!$H:$H,$A122,'Plant BD'!AC:AC)/$F122,"")</f>
        <v>1</v>
      </c>
      <c r="P122" s="158"/>
      <c r="Q122" s="159"/>
      <c r="R122" s="158">
        <f>IFERROR(1-SUMIF('Grid BD'!$H:$H,$A122,'Grid BD'!AB:AB)/$F122,"")</f>
        <v>1</v>
      </c>
      <c r="T122" s="159">
        <f>IFERROR(1-SUMIF(Tracker_BD!$H:$H,$A122,Tracker_BD!AI:AI)/$F122,"")</f>
        <v>0.98627835553122911</v>
      </c>
      <c r="U122" s="160">
        <f t="shared" si="5"/>
        <v>0.77099404678422356</v>
      </c>
      <c r="V122" s="160"/>
      <c r="W122" s="161">
        <f t="shared" si="6"/>
        <v>0.14070641353812074</v>
      </c>
      <c r="X122" s="156">
        <f>IFERROR(_xlfn.XLOOKUP($A122,'Raw Data'!$G:$G,'Raw Data'!$AB:$AB),"")</f>
        <v>39786</v>
      </c>
      <c r="Y122" s="156">
        <f>IFERROR(_xlfn.XLOOKUP($A122,'Raw Data'!$G:$G,'Raw Data'!AC:AC),"")</f>
        <v>39771.500000002561</v>
      </c>
      <c r="Z122" s="156">
        <f>IFERROR(_xlfn.XLOOKUP($A122,'Raw Data'!$G:$G,'Raw Data'!AD:AD),"")</f>
        <v>193.5999999999467</v>
      </c>
      <c r="AA122" s="156">
        <f>IFERROR(_xlfn.XLOOKUP($A122,'Raw Data'!$G:$G,'Raw Data'!AE:AE),"")</f>
        <v>39577.900000002614</v>
      </c>
      <c r="AB122" s="156">
        <f>IFERROR(_xlfn.XLOOKUP($A122,'Raw Data'!$G:$G,'Raw Data'!$H:$H),"")</f>
        <v>11.72</v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>
        <f>IFERROR(_xlfn.XLOOKUP($A123,'Raw Data'!$G:$G,'Raw Data'!$AH:$AH),"")</f>
        <v>12.316666666666668</v>
      </c>
      <c r="G123" s="131">
        <f>IFERROR(_xlfn.XLOOKUP($A123,'Raw Data'!$G:$G,'Raw Data'!$S:$S)/1000,"")</f>
        <v>0</v>
      </c>
      <c r="H123" s="131"/>
      <c r="I123" s="131">
        <f>IFERROR(_xlfn.XLOOKUP($A123,'Raw Data'!$G:$G,'Raw Data'!$AF:$AF)/1000,"")</f>
        <v>4.5529999999999999</v>
      </c>
      <c r="J123" s="131"/>
      <c r="K123" s="131">
        <f>IFERROR(_xlfn.XLOOKUP($A123,'Raw Data'!$G:$G,'Raw Data'!W:W),"")</f>
        <v>23</v>
      </c>
      <c r="L123" s="131">
        <f>IFERROR(_xlfn.XLOOKUP($A123,'Raw Data'!$G:$G,'Raw Data'!X:X),"")</f>
        <v>33</v>
      </c>
      <c r="M123" s="131">
        <f>IFERROR(_xlfn.XLOOKUP($A123,'Raw Data'!$G:$G,'Raw Data'!Y:Y),"")</f>
        <v>4</v>
      </c>
      <c r="N123" s="131">
        <f>IFERROR(_xlfn.XLOOKUP($A123,'Raw Data'!$G:$G,'Raw Data'!Z:Z),"")</f>
        <v>8</v>
      </c>
      <c r="O123" s="158">
        <f>IFERROR(1-SUMIF('Plant BD'!$H:$H,$A123,'Plant BD'!AC:AC)/$F123,"")</f>
        <v>1</v>
      </c>
      <c r="P123" s="158"/>
      <c r="Q123" s="159"/>
      <c r="R123" s="158">
        <f>IFERROR(1-SUMIF('Grid BD'!$H:$H,$A123,'Grid BD'!AB:AB)/$F123,"")</f>
        <v>1</v>
      </c>
      <c r="T123" s="159">
        <f>IFERROR(1-SUMIF(Tracker_BD!$H:$H,$A123,Tracker_BD!AI:AI)/$F123,"")</f>
        <v>0.98588493304092206</v>
      </c>
      <c r="U123" s="160">
        <f t="shared" si="5"/>
        <v>0.75184272605773439</v>
      </c>
      <c r="V123" s="160"/>
      <c r="W123" s="161">
        <f t="shared" si="6"/>
        <v>0.14263083048920266</v>
      </c>
      <c r="X123" s="156">
        <f>IFERROR(_xlfn.XLOOKUP($A123,'Raw Data'!$G:$G,'Raw Data'!$AB:$AB),"")</f>
        <v>40304</v>
      </c>
      <c r="Y123" s="156">
        <f>IFERROR(_xlfn.XLOOKUP($A123,'Raw Data'!$G:$G,'Raw Data'!AC:AC),"")</f>
        <v>40280.70000000298</v>
      </c>
      <c r="Z123" s="156">
        <f>IFERROR(_xlfn.XLOOKUP($A123,'Raw Data'!$G:$G,'Raw Data'!AD:AD),"")</f>
        <v>161.50000000004638</v>
      </c>
      <c r="AA123" s="156">
        <f>IFERROR(_xlfn.XLOOKUP($A123,'Raw Data'!$G:$G,'Raw Data'!AE:AE),"")</f>
        <v>40119.200000002937</v>
      </c>
      <c r="AB123" s="156">
        <f>IFERROR(_xlfn.XLOOKUP($A123,'Raw Data'!$G:$G,'Raw Data'!$H:$H),"")</f>
        <v>11.72</v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>
        <f>IFERROR(_xlfn.XLOOKUP($A124,'Raw Data'!$G:$G,'Raw Data'!$AH:$AH),"")</f>
        <v>12.216666666666665</v>
      </c>
      <c r="G124" s="131">
        <f>IFERROR(_xlfn.XLOOKUP($A124,'Raw Data'!$G:$G,'Raw Data'!$S:$S)/1000,"")</f>
        <v>0</v>
      </c>
      <c r="H124" s="131"/>
      <c r="I124" s="131">
        <f>IFERROR(_xlfn.XLOOKUP($A124,'Raw Data'!$G:$G,'Raw Data'!$AF:$AF)/1000,"")</f>
        <v>3.968</v>
      </c>
      <c r="J124" s="131"/>
      <c r="K124" s="131">
        <f>IFERROR(_xlfn.XLOOKUP($A124,'Raw Data'!$G:$G,'Raw Data'!W:W),"")</f>
        <v>23</v>
      </c>
      <c r="L124" s="131">
        <f>IFERROR(_xlfn.XLOOKUP($A124,'Raw Data'!$G:$G,'Raw Data'!X:X),"")</f>
        <v>32</v>
      </c>
      <c r="M124" s="131">
        <f>IFERROR(_xlfn.XLOOKUP($A124,'Raw Data'!$G:$G,'Raw Data'!Y:Y),"")</f>
        <v>4</v>
      </c>
      <c r="N124" s="131">
        <f>IFERROR(_xlfn.XLOOKUP($A124,'Raw Data'!$G:$G,'Raw Data'!Z:Z),"")</f>
        <v>8</v>
      </c>
      <c r="O124" s="158">
        <f>IFERROR(1-SUMIF('Plant BD'!$H:$H,$A124,'Plant BD'!AC:AC)/$F124,"")</f>
        <v>1</v>
      </c>
      <c r="P124" s="158"/>
      <c r="Q124" s="159"/>
      <c r="R124" s="158">
        <f>IFERROR(1-SUMIF('Grid BD'!$H:$H,$A124,'Grid BD'!AB:AB)/$F124,"")</f>
        <v>1</v>
      </c>
      <c r="T124" s="159">
        <f>IFERROR(1-SUMIF(Tracker_BD!$H:$H,$A124,Tracker_BD!AI:AI)/$F124,"")</f>
        <v>0.98574979222530612</v>
      </c>
      <c r="U124" s="160">
        <f t="shared" si="5"/>
        <v>0.79946741164768731</v>
      </c>
      <c r="V124" s="160"/>
      <c r="W124" s="161">
        <f t="shared" si="6"/>
        <v>0.13217861205908427</v>
      </c>
      <c r="X124" s="156">
        <f>IFERROR(_xlfn.XLOOKUP($A124,'Raw Data'!$G:$G,'Raw Data'!$AB:$AB),"")</f>
        <v>37389</v>
      </c>
      <c r="Y124" s="156">
        <f>IFERROR(_xlfn.XLOOKUP($A124,'Raw Data'!$G:$G,'Raw Data'!AC:AC),"")</f>
        <v>37347.599999979138</v>
      </c>
      <c r="Z124" s="156">
        <f>IFERROR(_xlfn.XLOOKUP($A124,'Raw Data'!$G:$G,'Raw Data'!AD:AD),"")</f>
        <v>168.39999999990596</v>
      </c>
      <c r="AA124" s="156">
        <f>IFERROR(_xlfn.XLOOKUP($A124,'Raw Data'!$G:$G,'Raw Data'!AE:AE),"")</f>
        <v>37179.199999979232</v>
      </c>
      <c r="AB124" s="156">
        <f>IFERROR(_xlfn.XLOOKUP($A124,'Raw Data'!$G:$G,'Raw Data'!$H:$H),"")</f>
        <v>11.72</v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>
        <f>IFERROR(_xlfn.XLOOKUP($A125,'Raw Data'!$G:$G,'Raw Data'!$AH:$AH),"")</f>
        <v>12.283333333333335</v>
      </c>
      <c r="G125" s="131">
        <f>IFERROR(_xlfn.XLOOKUP($A125,'Raw Data'!$G:$G,'Raw Data'!$S:$S)/1000,"")</f>
        <v>0</v>
      </c>
      <c r="H125" s="131"/>
      <c r="I125" s="131">
        <f>IFERROR(_xlfn.XLOOKUP($A125,'Raw Data'!$G:$G,'Raw Data'!$AF:$AF)/1000,"")</f>
        <v>3.298</v>
      </c>
      <c r="J125" s="131"/>
      <c r="K125" s="131">
        <f>IFERROR(_xlfn.XLOOKUP($A125,'Raw Data'!$G:$G,'Raw Data'!W:W),"")</f>
        <v>23</v>
      </c>
      <c r="L125" s="131">
        <f>IFERROR(_xlfn.XLOOKUP($A125,'Raw Data'!$G:$G,'Raw Data'!X:X),"")</f>
        <v>30</v>
      </c>
      <c r="M125" s="131">
        <f>IFERROR(_xlfn.XLOOKUP($A125,'Raw Data'!$G:$G,'Raw Data'!Y:Y),"")</f>
        <v>4</v>
      </c>
      <c r="N125" s="131">
        <f>IFERROR(_xlfn.XLOOKUP($A125,'Raw Data'!$G:$G,'Raw Data'!Z:Z),"")</f>
        <v>7</v>
      </c>
      <c r="O125" s="158">
        <f>IFERROR(1-SUMIF('Plant BD'!$H:$H,$A125,'Plant BD'!AC:AC)/$F125,"")</f>
        <v>1</v>
      </c>
      <c r="P125" s="158"/>
      <c r="Q125" s="159"/>
      <c r="R125" s="158">
        <f>IFERROR(1-SUMIF('Grid BD'!$H:$H,$A125,'Grid BD'!AB:AB)/$F125,"")</f>
        <v>0.93080054274084123</v>
      </c>
      <c r="T125" s="159">
        <f>IFERROR(1-SUMIF(Tracker_BD!$H:$H,$A125,Tracker_BD!AI:AI)/$F125,"")</f>
        <v>0.9858661239258254</v>
      </c>
      <c r="U125" s="160">
        <f t="shared" ref="U125:U188" si="9">IFERROR(AA125/I125/AB125/1000,"")</f>
        <v>0.77040175346730289</v>
      </c>
      <c r="V125" s="160"/>
      <c r="W125" s="161">
        <f t="shared" ref="W125:W188" si="10">IFERROR(AA125/(24*AR125*1000),"")</f>
        <v>0.10586604095563186</v>
      </c>
      <c r="X125" s="156">
        <f>IFERROR(_xlfn.XLOOKUP($A125,'Raw Data'!$G:$G,'Raw Data'!$AB:$AB),"")</f>
        <v>29980</v>
      </c>
      <c r="Y125" s="156">
        <f>IFERROR(_xlfn.XLOOKUP($A125,'Raw Data'!$G:$G,'Raw Data'!AC:AC),"")</f>
        <v>29961.40000000014</v>
      </c>
      <c r="Z125" s="156">
        <f>IFERROR(_xlfn.XLOOKUP($A125,'Raw Data'!$G:$G,'Raw Data'!AD:AD),"")</f>
        <v>183.400000000006</v>
      </c>
      <c r="AA125" s="156">
        <f>IFERROR(_xlfn.XLOOKUP($A125,'Raw Data'!$G:$G,'Raw Data'!AE:AE),"")</f>
        <v>29778.000000000135</v>
      </c>
      <c r="AB125" s="156">
        <f>IFERROR(_xlfn.XLOOKUP($A125,'Raw Data'!$G:$G,'Raw Data'!$H:$H),"")</f>
        <v>11.72</v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7"/>
  <sheetViews>
    <sheetView zoomScale="98" zoomScaleNormal="98" workbookViewId="0">
      <pane xSplit="7" ySplit="3" topLeftCell="S123" activePane="bottomRight" state="frozen"/>
      <selection pane="topRight" activeCell="H1" sqref="H1"/>
      <selection pane="bottomLeft" activeCell="A4" sqref="A4"/>
      <selection pane="bottomRight" activeCell="AC127" sqref="AC127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7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">
        <f>DAY(EOMONTH(Raw_Data[[#This Row],[Month Year]],0))</f>
        <v>31</v>
      </c>
      <c r="G123" s="63">
        <f t="shared" si="4"/>
        <v>45864</v>
      </c>
      <c r="H123" s="2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35">
        <f t="shared" ref="AH123" si="101">IFERROR((J123-I123)*24,"")</f>
        <v>11.983333333333334</v>
      </c>
      <c r="AI123" s="2"/>
    </row>
    <row r="124" spans="1:35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9">
        <v>45839</v>
      </c>
      <c r="F124" s="2">
        <f>DAY(EOMONTH(Raw_Data[[#This Row],[Month Year]],0))</f>
        <v>31</v>
      </c>
      <c r="G124" s="63">
        <f t="shared" si="4"/>
        <v>45865</v>
      </c>
      <c r="H124" s="2">
        <v>11.72</v>
      </c>
      <c r="I124" s="219">
        <v>0.2590277777777778</v>
      </c>
      <c r="J124" s="218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35">
        <f t="shared" ref="AH124" si="102">IFERROR((J124-I124)*24,"")</f>
        <v>12.599999999999998</v>
      </c>
      <c r="AI124" s="2"/>
    </row>
    <row r="125" spans="1:35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9">
        <v>45839</v>
      </c>
      <c r="F125" s="2">
        <f>DAY(EOMONTH(Raw_Data[[#This Row],[Month Year]],0))</f>
        <v>31</v>
      </c>
      <c r="G125" s="63">
        <f t="shared" si="4"/>
        <v>45866</v>
      </c>
      <c r="H125" s="2">
        <v>11.72</v>
      </c>
      <c r="I125" s="219">
        <v>0.25624999999999998</v>
      </c>
      <c r="J125" s="218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35">
        <f t="shared" ref="AH125" si="103">IFERROR((J125-I125)*24,"")</f>
        <v>12.316666666666668</v>
      </c>
      <c r="AI125" s="2"/>
    </row>
    <row r="126" spans="1:35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9">
        <v>45839</v>
      </c>
      <c r="F126" s="2">
        <f>DAY(EOMONTH(Raw_Data[[#This Row],[Month Year]],0))</f>
        <v>31</v>
      </c>
      <c r="G126" s="63">
        <f t="shared" si="4"/>
        <v>45867</v>
      </c>
      <c r="H126" s="2">
        <v>11.72</v>
      </c>
      <c r="I126" s="219">
        <v>0.25555555555555554</v>
      </c>
      <c r="J126" s="218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35">
        <f t="shared" ref="AH126" si="104">IFERROR((J126-I126)*24,"")</f>
        <v>12.216666666666665</v>
      </c>
      <c r="AI126" s="2"/>
    </row>
    <row r="127" spans="1:35">
      <c r="A127" s="2">
        <f>YEAR(Raw_Data[[#This Row],[Date]])+IF(MONTH(Raw_Data[[#This Row],[Date]])&gt;=4,1,0)</f>
        <v>2026</v>
      </c>
      <c r="B127" s="2">
        <f>YEAR(Raw_Data[[#This Row],[Date]])</f>
        <v>2025</v>
      </c>
      <c r="C127" s="2" t="s">
        <v>155</v>
      </c>
      <c r="D127" s="2" t="s">
        <v>155</v>
      </c>
      <c r="E127" s="39">
        <v>45839</v>
      </c>
      <c r="F127" s="233">
        <f>DAY(EOMONTH(Raw_Data[[#This Row],[Month Year]],0))</f>
        <v>31</v>
      </c>
      <c r="G127" s="63">
        <f t="shared" si="4"/>
        <v>45868</v>
      </c>
      <c r="H127" s="233">
        <v>11.72</v>
      </c>
      <c r="I127" s="219">
        <v>0.25694444444444442</v>
      </c>
      <c r="J127" s="218">
        <v>0.76875000000000004</v>
      </c>
      <c r="K127" s="2">
        <v>5119</v>
      </c>
      <c r="L127" s="2">
        <v>5161</v>
      </c>
      <c r="M127" s="2">
        <v>4485</v>
      </c>
      <c r="N127" s="2">
        <v>4797</v>
      </c>
      <c r="O127" s="2">
        <v>5154</v>
      </c>
      <c r="P127" s="2">
        <v>5264</v>
      </c>
      <c r="Q127" s="2">
        <v>132861.09479999999</v>
      </c>
      <c r="R127" s="2">
        <v>571.89599999999996</v>
      </c>
      <c r="S127" s="2">
        <v>0</v>
      </c>
      <c r="T127" s="2">
        <v>3298</v>
      </c>
      <c r="U127" s="2">
        <v>3298</v>
      </c>
      <c r="V127" s="2">
        <v>0</v>
      </c>
      <c r="W127" s="2">
        <v>23</v>
      </c>
      <c r="X127" s="2">
        <v>30</v>
      </c>
      <c r="Y127" s="2">
        <v>4</v>
      </c>
      <c r="Z127" s="2">
        <v>7</v>
      </c>
      <c r="AA127" s="2">
        <v>0</v>
      </c>
      <c r="AB127" s="233">
        <f>SUM(Raw_Data[[#This Row],[IC1_Inv1]:[IC2_Inv2]])</f>
        <v>29980</v>
      </c>
      <c r="AC127" s="233">
        <f>IF(Raw_Data[[#This Row],[33 kV Outgoinng Export Reading]]-Q126&gt;0,Raw_Data[[#This Row],[33 kV Outgoinng Export Reading]]-Q126,0)*1000</f>
        <v>29961.40000000014</v>
      </c>
      <c r="AD127" s="2">
        <f>IF(Raw_Data[[#This Row],[33 kV Outgoinng Import Reading]]-R126&gt;0,Raw_Data[[#This Row],[33 kV Outgoinng Import Reading]]-R126,0)*1000</f>
        <v>183.400000000006</v>
      </c>
      <c r="AE127" s="233">
        <f>Raw_Data[[#This Row],[Export  (kWh)]]-Raw_Data[[#This Row],[Import (kWh)]]</f>
        <v>29778.000000000135</v>
      </c>
      <c r="AF127" s="233">
        <f>IFERROR(AVERAGE(Raw_Data[[#This Row],[POA1(Wh/m2)]:[POA2(Wh/m2)]]),"")</f>
        <v>3298</v>
      </c>
      <c r="AG127" s="233">
        <f>IFERROR(Raw_Data[[#This Row],[Avg. POA without Exclusion (W/m2)2]]-Raw_Data[[#This Row],[Avg. POA Lost (W/m2)]],"")</f>
        <v>3298</v>
      </c>
      <c r="AH127" s="35">
        <f t="shared" ref="AH127" si="105">IFERROR((J127-I127)*24,"")</f>
        <v>12.283333333333335</v>
      </c>
      <c r="AI127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30</v>
      </c>
      <c r="R41" s="141">
        <f t="shared" si="42"/>
        <v>138.80799774193545</v>
      </c>
      <c r="S41" s="149">
        <f>SUMIF($F$2:F41,F41,$R$2:R41)</f>
        <v>772.84100374193542</v>
      </c>
      <c r="T41" s="140">
        <f t="shared" si="43"/>
        <v>40.702654142805535</v>
      </c>
      <c r="U41" s="141">
        <f t="shared" si="44"/>
        <v>1221.0796242841661</v>
      </c>
      <c r="V41" s="149">
        <f>SUMIF($F$2:F41,F41,$U$2:U41)</f>
        <v>6578.8405291692543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0.19329700969033101</v>
      </c>
      <c r="Z41" s="140">
        <f>IFERROR(AVERAGEIF('Daily KPI'!D:D,Table14[[#This Row],[Month]],'Daily KPI'!AB:AB),"")</f>
        <v>11.720000000000008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772.84100374193542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6578.8405291692543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0.19329700969033101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772.84100374193542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6578.8405291692543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0.19329700969033101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772.84100374193542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6578.8405291692543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0.19329700969033101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772.84100374193542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6578.8405291692543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0.19329700969033101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772.84100374193542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6578.8405291692543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0.19329700969033101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772.84100374193542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6578.8405291692543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0.19329700969033101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772.84100374193542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6578.8405291692543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0.19329700969033101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772.84100374193542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6578.8405291692543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0.19329700969033101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6"/>
  <sheetViews>
    <sheetView topLeftCell="A2" workbookViewId="0">
      <pane xSplit="1" ySplit="1" topLeftCell="C112" activePane="bottomRight" state="frozen"/>
      <selection pane="topRight" activeCell="B2" sqref="B2"/>
      <selection pane="bottomLeft" activeCell="A3" sqref="A3"/>
      <selection pane="bottomRight" activeCell="J127" sqref="J127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6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  <row r="123" spans="1:17">
      <c r="A123" s="214">
        <f t="shared" ref="A123" si="464">YEAR(H123)+IF(MONTH(H123)&gt;=4,1,0)</f>
        <v>2026</v>
      </c>
      <c r="B123" s="215">
        <f t="shared" ref="B123" si="465">YEAR(H123)</f>
        <v>2025</v>
      </c>
      <c r="C123" s="196">
        <f>YEAR(Table12[[#This Row],[Date]])</f>
        <v>2025</v>
      </c>
      <c r="D123" s="196" t="s">
        <v>155</v>
      </c>
      <c r="E123" s="196" t="s">
        <v>155</v>
      </c>
      <c r="F123" s="197">
        <v>45839</v>
      </c>
      <c r="G123" s="196">
        <f t="shared" ref="G123" si="466">DAY(EOMONTH(F123,0))</f>
        <v>31</v>
      </c>
      <c r="H123" s="198">
        <f t="shared" si="239"/>
        <v>45865</v>
      </c>
      <c r="I123" s="199">
        <f>'Modelling New'!$AQ$1</f>
        <v>11.72</v>
      </c>
      <c r="J123" s="30">
        <f>'Raw Data'!K124/J$1</f>
        <v>3.4054006464676956</v>
      </c>
      <c r="K123" s="30">
        <f>'Raw Data'!L124/K$1</f>
        <v>3.38124413833168</v>
      </c>
      <c r="L123" s="30">
        <f>'Raw Data'!M124/L$1</f>
        <v>3.3381672459981844</v>
      </c>
      <c r="M123" s="30">
        <f>'Raw Data'!N124/M$1</f>
        <v>3.4400791445879468</v>
      </c>
      <c r="N123" s="30">
        <f>'Raw Data'!O124/N$1</f>
        <v>3.3567562082168996</v>
      </c>
      <c r="O123" s="30">
        <f>'Raw Data'!P124/O$1</f>
        <v>3.4608910891089111</v>
      </c>
      <c r="P123" s="30">
        <f t="shared" ref="P123" si="467">IFERROR(AVERAGEIF(J123:O123,"&gt;"&amp;0,J123:O123),"")</f>
        <v>3.3970897454518867</v>
      </c>
      <c r="Q123" s="30">
        <f t="shared" ref="Q123" si="468">MAXA(J123:O123)</f>
        <v>3.4608910891089111</v>
      </c>
    </row>
    <row r="124" spans="1:17">
      <c r="A124" s="214">
        <f t="shared" ref="A124" si="469">YEAR(H124)+IF(MONTH(H124)&gt;=4,1,0)</f>
        <v>2026</v>
      </c>
      <c r="B124" s="215">
        <f t="shared" ref="B124" si="470">YEAR(H124)</f>
        <v>2025</v>
      </c>
      <c r="C124" s="196">
        <f>YEAR(Table12[[#This Row],[Date]])</f>
        <v>2025</v>
      </c>
      <c r="D124" s="196" t="s">
        <v>155</v>
      </c>
      <c r="E124" s="196" t="s">
        <v>155</v>
      </c>
      <c r="F124" s="197">
        <v>45839</v>
      </c>
      <c r="G124" s="196">
        <f t="shared" ref="G124" si="471">DAY(EOMONTH(F124,0))</f>
        <v>31</v>
      </c>
      <c r="H124" s="198">
        <f t="shared" si="239"/>
        <v>45866</v>
      </c>
      <c r="I124" s="199">
        <f>'Modelling New'!$AQ$1</f>
        <v>11.72</v>
      </c>
      <c r="J124" s="30">
        <f>'Raw Data'!K125/J$1</f>
        <v>3.3887987523425021</v>
      </c>
      <c r="K124" s="30">
        <f>'Raw Data'!L125/K$1</f>
        <v>3.413737165869521</v>
      </c>
      <c r="L124" s="30">
        <f>'Raw Data'!M125/L$1</f>
        <v>3.3558792924037459</v>
      </c>
      <c r="M124" s="30">
        <f>'Raw Data'!N125/M$1</f>
        <v>3.5322338017861741</v>
      </c>
      <c r="N124" s="30">
        <f>'Raw Data'!O125/N$1</f>
        <v>3.443880392355843</v>
      </c>
      <c r="O124" s="30">
        <f>'Raw Data'!P125/O$1</f>
        <v>3.5138613861386139</v>
      </c>
      <c r="P124" s="30">
        <f t="shared" ref="P124" si="472">IFERROR(AVERAGEIF(J124:O124,"&gt;"&amp;0,J124:O124),"")</f>
        <v>3.4413984651493998</v>
      </c>
      <c r="Q124" s="30">
        <f t="shared" ref="Q124" si="473">MAXA(J124:O124)</f>
        <v>3.5322338017861741</v>
      </c>
    </row>
    <row r="125" spans="1:17">
      <c r="A125" s="214">
        <f t="shared" ref="A125" si="474">YEAR(H125)+IF(MONTH(H125)&gt;=4,1,0)</f>
        <v>2026</v>
      </c>
      <c r="B125" s="215">
        <f t="shared" ref="B125" si="475">YEAR(H125)</f>
        <v>2025</v>
      </c>
      <c r="C125" s="196">
        <f>YEAR(Table12[[#This Row],[Date]])</f>
        <v>2025</v>
      </c>
      <c r="D125" s="196" t="s">
        <v>155</v>
      </c>
      <c r="E125" s="196" t="s">
        <v>155</v>
      </c>
      <c r="F125" s="197">
        <v>45839</v>
      </c>
      <c r="G125" s="196">
        <f t="shared" ref="G125" si="476">DAY(EOMONTH(F125,0))</f>
        <v>31</v>
      </c>
      <c r="H125" s="198">
        <f t="shared" si="239"/>
        <v>45867</v>
      </c>
      <c r="I125" s="199">
        <f>'Modelling New'!$AQ$1</f>
        <v>11.72</v>
      </c>
      <c r="J125" s="30">
        <f>'Raw Data'!K126/J$1</f>
        <v>3.1971223383516332</v>
      </c>
      <c r="K125" s="30">
        <f>'Raw Data'!L126/K$1</f>
        <v>3.20400944267073</v>
      </c>
      <c r="L125" s="30">
        <f>'Raw Data'!M126/L$1</f>
        <v>3.1571722717913522</v>
      </c>
      <c r="M125" s="30">
        <f>'Raw Data'!N126/M$1</f>
        <v>3.2411335022835384</v>
      </c>
      <c r="N125" s="30">
        <f>'Raw Data'!O126/N$1</f>
        <v>3.1166696780612888</v>
      </c>
      <c r="O125" s="30">
        <f>'Raw Data'!P126/O$1</f>
        <v>3.2410891089108911</v>
      </c>
      <c r="P125" s="30">
        <f t="shared" ref="P125" si="477">IFERROR(AVERAGEIF(J125:O125,"&gt;"&amp;0,J125:O125),"")</f>
        <v>3.1928660570115723</v>
      </c>
      <c r="Q125" s="30">
        <f t="shared" ref="Q125" si="478">MAXA(J125:O125)</f>
        <v>3.2411335022835384</v>
      </c>
    </row>
    <row r="126" spans="1:17">
      <c r="A126" s="214">
        <f t="shared" ref="A126" si="479">YEAR(H126)+IF(MONTH(H126)&gt;=4,1,0)</f>
        <v>2026</v>
      </c>
      <c r="B126" s="215">
        <f t="shared" ref="B126" si="480">YEAR(H126)</f>
        <v>2025</v>
      </c>
      <c r="C126" s="196">
        <f>YEAR(Table12[[#This Row],[Date]])</f>
        <v>2025</v>
      </c>
      <c r="D126" s="196" t="s">
        <v>155</v>
      </c>
      <c r="E126" s="196" t="s">
        <v>155</v>
      </c>
      <c r="F126" s="197">
        <v>45839</v>
      </c>
      <c r="G126" s="196">
        <f t="shared" ref="G126" si="481">DAY(EOMONTH(F126,0))</f>
        <v>31</v>
      </c>
      <c r="H126" s="198">
        <f t="shared" si="239"/>
        <v>45868</v>
      </c>
      <c r="I126" s="199">
        <f>'Modelling New'!$AQ$1</f>
        <v>11.72</v>
      </c>
      <c r="J126" s="30">
        <f>'Raw Data'!K127/J$1</f>
        <v>2.5753059402080267</v>
      </c>
      <c r="K126" s="30">
        <f>'Raw Data'!L127/K$1</f>
        <v>2.5408562897393421</v>
      </c>
      <c r="L126" s="30">
        <f>'Raw Data'!M127/L$1</f>
        <v>2.4824540040294907</v>
      </c>
      <c r="M126" s="30">
        <f>'Raw Data'!N127/M$1</f>
        <v>2.6003875916464514</v>
      </c>
      <c r="N126" s="30">
        <f>'Raw Data'!O127/N$1</f>
        <v>2.5513525287051912</v>
      </c>
      <c r="O126" s="30">
        <f>'Raw Data'!P127/O$1</f>
        <v>2.605940594059406</v>
      </c>
      <c r="P126" s="30">
        <f t="shared" ref="P126" si="482">IFERROR(AVERAGEIF(J126:O126,"&gt;"&amp;0,J126:O126),"")</f>
        <v>2.5593828247313182</v>
      </c>
      <c r="Q126" s="30">
        <f t="shared" ref="Q126" si="483">MAXA(J126:O126)</f>
        <v>2.605940594059406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5"/>
  <sheetViews>
    <sheetView zoomScale="106" zoomScaleNormal="106" workbookViewId="0">
      <pane xSplit="1" ySplit="1" topLeftCell="B110" activePane="bottomRight" state="frozen"/>
      <selection pane="topRight" activeCell="B1" sqref="B1"/>
      <selection pane="bottomLeft" activeCell="A2" sqref="A2"/>
      <selection pane="bottomRight" activeCell="A126" sqref="A126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5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16">
        <f t="shared" ref="A121" si="263">YEAR(H121)+IF(MONTH(H121)&gt;=4,1,0)</f>
        <v>2026</v>
      </c>
      <c r="B121" s="217">
        <f t="shared" ref="B121" si="264">YEAR(H121)</f>
        <v>2025</v>
      </c>
      <c r="C121" s="209" t="str">
        <f>TEXT(Table5[[#This Row],[Date]],"yyyy")</f>
        <v>2025</v>
      </c>
      <c r="D121" s="209" t="s">
        <v>224</v>
      </c>
      <c r="E121" s="209" t="s">
        <v>224</v>
      </c>
      <c r="F121" s="210" t="str">
        <f>TEXT(Table5[[#This Row],[Date]],"mmm-yy")</f>
        <v>Jul-25</v>
      </c>
      <c r="G121" s="209">
        <f t="shared" ref="G121" si="265">DAY(EOMONTH(F121,0))</f>
        <v>31</v>
      </c>
      <c r="H121" s="211">
        <f t="shared" si="243"/>
        <v>45864</v>
      </c>
      <c r="I121" s="209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  <row r="122" spans="1:21">
      <c r="A122" s="216">
        <f t="shared" ref="A122" si="266">YEAR(H122)+IF(MONTH(H122)&gt;=4,1,0)</f>
        <v>2026</v>
      </c>
      <c r="B122" s="217">
        <f t="shared" ref="B122" si="267">YEAR(H122)</f>
        <v>2025</v>
      </c>
      <c r="C122" s="209" t="str">
        <f>TEXT(Table5[[#This Row],[Date]],"yyyy")</f>
        <v>2025</v>
      </c>
      <c r="D122" s="209" t="s">
        <v>224</v>
      </c>
      <c r="E122" s="209" t="s">
        <v>224</v>
      </c>
      <c r="F122" s="210" t="str">
        <f>TEXT(Table5[[#This Row],[Date]],"mmm-yy")</f>
        <v>Jul-25</v>
      </c>
      <c r="G122" s="209">
        <f t="shared" ref="G122" si="268">DAY(EOMONTH(F122,0))</f>
        <v>31</v>
      </c>
      <c r="H122" s="211">
        <f t="shared" si="243"/>
        <v>45865</v>
      </c>
      <c r="I122" s="209">
        <v>11.72</v>
      </c>
      <c r="J122" s="212">
        <f>IFERROR(Inv_SY!J123/Inv_SY!$P123-1,"")</f>
        <v>2.4464767311300761E-3</v>
      </c>
      <c r="K122" s="212">
        <f>IFERROR(Inv_SY!K123/Inv_SY!$P123-1,"")</f>
        <v>-4.6644652651349761E-3</v>
      </c>
      <c r="L122" s="212">
        <f>IFERROR(Inv_SY!L123/Inv_SY!$P123-1,"")</f>
        <v>-1.7344993470540304E-2</v>
      </c>
      <c r="M122" s="212">
        <f>IFERROR(Inv_SY!M123/Inv_SY!$P123-1,"")</f>
        <v>1.2654772866573571E-2</v>
      </c>
      <c r="N122" s="212">
        <f>IFERROR(Inv_SY!N123/Inv_SY!$P123-1,"")</f>
        <v>-1.1872967821644043E-2</v>
      </c>
      <c r="O122" s="212">
        <f>IFERROR(Inv_SY!O123/Inv_SY!$P123-1,"")</f>
        <v>1.8781176959614676E-2</v>
      </c>
      <c r="P122" s="212">
        <f>IFERROR(Inv_SY!P123/Inv_SY!$P123-1,"")</f>
        <v>0</v>
      </c>
      <c r="Q122" s="212">
        <f>IFERROR(Inv_SY!Q123/Inv_SY!$P123-1,"")</f>
        <v>1.8781176959614676E-2</v>
      </c>
      <c r="R122" s="212">
        <f>IFERROR(Inv_SY!L123/Inv_SY!$Q123-1,"")</f>
        <v>-3.5460186394459692E-2</v>
      </c>
      <c r="S122" s="212">
        <f>IFERROR(Inv_SY!M123/Inv_SY!$Q123-1,"")</f>
        <v>-6.0134641585392057E-3</v>
      </c>
      <c r="T122" s="212">
        <f>IFERROR(Inv_SY!N123/Inv_SY!$Q123-1,"")</f>
        <v>-3.0089037248156703E-2</v>
      </c>
      <c r="U122" s="213">
        <f>IFERROR(Inv_SY!O123/Inv_SY!$Q123-1,"")</f>
        <v>0</v>
      </c>
    </row>
    <row r="123" spans="1:21">
      <c r="A123" s="216">
        <f t="shared" ref="A123" si="269">YEAR(H123)+IF(MONTH(H123)&gt;=4,1,0)</f>
        <v>2026</v>
      </c>
      <c r="B123" s="217">
        <f t="shared" ref="B123" si="270">YEAR(H123)</f>
        <v>2025</v>
      </c>
      <c r="C123" s="209" t="str">
        <f>TEXT(Table5[[#This Row],[Date]],"yyyy")</f>
        <v>2025</v>
      </c>
      <c r="D123" s="209" t="s">
        <v>224</v>
      </c>
      <c r="E123" s="209" t="s">
        <v>224</v>
      </c>
      <c r="F123" s="210" t="str">
        <f>TEXT(Table5[[#This Row],[Date]],"mmm-yy")</f>
        <v>Jul-25</v>
      </c>
      <c r="G123" s="209">
        <f t="shared" ref="G123" si="271">DAY(EOMONTH(F123,0))</f>
        <v>31</v>
      </c>
      <c r="H123" s="211">
        <f t="shared" si="243"/>
        <v>45866</v>
      </c>
      <c r="I123" s="209">
        <v>11.72</v>
      </c>
      <c r="J123" s="212">
        <f>IFERROR(Inv_SY!J124/Inv_SY!$P124-1,"")</f>
        <v>-1.5284400612009419E-2</v>
      </c>
      <c r="K123" s="212">
        <f>IFERROR(Inv_SY!K124/Inv_SY!$P124-1,"")</f>
        <v>-8.0378077575151696E-3</v>
      </c>
      <c r="L123" s="212">
        <f>IFERROR(Inv_SY!L124/Inv_SY!$P124-1,"")</f>
        <v>-2.4850122301063204E-2</v>
      </c>
      <c r="M123" s="212">
        <f>IFERROR(Inv_SY!M124/Inv_SY!$P124-1,"")</f>
        <v>2.6394890785432779E-2</v>
      </c>
      <c r="N123" s="212">
        <f>IFERROR(Inv_SY!N124/Inv_SY!$P124-1,"")</f>
        <v>7.2119727825104007E-4</v>
      </c>
      <c r="O123" s="212">
        <f>IFERROR(Inv_SY!O124/Inv_SY!$P124-1,"")</f>
        <v>2.1056242606904307E-2</v>
      </c>
      <c r="P123" s="212">
        <f>IFERROR(Inv_SY!P124/Inv_SY!$P124-1,"")</f>
        <v>0</v>
      </c>
      <c r="Q123" s="212">
        <f>IFERROR(Inv_SY!Q124/Inv_SY!$P124-1,"")</f>
        <v>2.6394890785432779E-2</v>
      </c>
      <c r="R123" s="212">
        <f>IFERROR(Inv_SY!L124/Inv_SY!$Q124-1,"")</f>
        <v>-4.9927190349984607E-2</v>
      </c>
      <c r="S123" s="212">
        <f>IFERROR(Inv_SY!M124/Inv_SY!$Q124-1,"")</f>
        <v>0</v>
      </c>
      <c r="T123" s="212">
        <f>IFERROR(Inv_SY!N124/Inv_SY!$Q124-1,"")</f>
        <v>-2.5013465808988222E-2</v>
      </c>
      <c r="U123" s="213">
        <f>IFERROR(Inv_SY!O124/Inv_SY!$Q124-1,"")</f>
        <v>-5.2013588789817655E-3</v>
      </c>
    </row>
    <row r="124" spans="1:21">
      <c r="A124" s="216">
        <f t="shared" ref="A124" si="272">YEAR(H124)+IF(MONTH(H124)&gt;=4,1,0)</f>
        <v>2026</v>
      </c>
      <c r="B124" s="217">
        <f t="shared" ref="B124" si="273">YEAR(H124)</f>
        <v>2025</v>
      </c>
      <c r="C124" s="209" t="str">
        <f>TEXT(Table5[[#This Row],[Date]],"yyyy")</f>
        <v>2025</v>
      </c>
      <c r="D124" s="209" t="s">
        <v>224</v>
      </c>
      <c r="E124" s="209" t="s">
        <v>224</v>
      </c>
      <c r="F124" s="210" t="str">
        <f>TEXT(Table5[[#This Row],[Date]],"mmm-yy")</f>
        <v>Jul-25</v>
      </c>
      <c r="G124" s="209">
        <f t="shared" ref="G124" si="274">DAY(EOMONTH(F124,0))</f>
        <v>31</v>
      </c>
      <c r="H124" s="211">
        <f t="shared" si="243"/>
        <v>45867</v>
      </c>
      <c r="I124" s="209">
        <v>11.72</v>
      </c>
      <c r="J124" s="212">
        <f>IFERROR(Inv_SY!J125/Inv_SY!$P125-1,"")</f>
        <v>1.3330597851777259E-3</v>
      </c>
      <c r="K124" s="212">
        <f>IFERROR(Inv_SY!K125/Inv_SY!$P125-1,"")</f>
        <v>3.490088672741809E-3</v>
      </c>
      <c r="L124" s="212">
        <f>IFERROR(Inv_SY!L125/Inv_SY!$P125-1,"")</f>
        <v>-1.117923037887425E-2</v>
      </c>
      <c r="M124" s="212">
        <f>IFERROR(Inv_SY!M125/Inv_SY!$P125-1,"")</f>
        <v>1.5117278460826888E-2</v>
      </c>
      <c r="N124" s="212">
        <f>IFERROR(Inv_SY!N125/Inv_SY!$P125-1,"")</f>
        <v>-2.3864571074929786E-2</v>
      </c>
      <c r="O124" s="212">
        <f>IFERROR(Inv_SY!O125/Inv_SY!$P125-1,"")</f>
        <v>1.5103374535057723E-2</v>
      </c>
      <c r="P124" s="212">
        <f>IFERROR(Inv_SY!P125/Inv_SY!$P125-1,"")</f>
        <v>0</v>
      </c>
      <c r="Q124" s="212">
        <f>IFERROR(Inv_SY!Q125/Inv_SY!$P125-1,"")</f>
        <v>1.5117278460826888E-2</v>
      </c>
      <c r="R124" s="212">
        <f>IFERROR(Inv_SY!L125/Inv_SY!$Q125-1,"")</f>
        <v>-2.5904897293811402E-2</v>
      </c>
      <c r="S124" s="212">
        <f>IFERROR(Inv_SY!M125/Inv_SY!$Q125-1,"")</f>
        <v>0</v>
      </c>
      <c r="T124" s="212">
        <f>IFERROR(Inv_SY!N125/Inv_SY!$Q125-1,"")</f>
        <v>-3.8401325997389102E-2</v>
      </c>
      <c r="U124" s="213">
        <f>IFERROR(Inv_SY!O125/Inv_SY!$Q125-1,"")</f>
        <v>-1.3696866425272347E-5</v>
      </c>
    </row>
    <row r="125" spans="1:21">
      <c r="A125" s="234">
        <f t="shared" ref="A125" si="275">YEAR(H125)+IF(MONTH(H125)&gt;=4,1,0)</f>
        <v>2026</v>
      </c>
      <c r="B125" s="235">
        <f t="shared" ref="B125" si="276">YEAR(H125)</f>
        <v>2025</v>
      </c>
      <c r="C125" s="236" t="str">
        <f>TEXT(Table5[[#This Row],[Date]],"yyyy")</f>
        <v>2025</v>
      </c>
      <c r="D125" s="236" t="s">
        <v>224</v>
      </c>
      <c r="E125" s="236" t="s">
        <v>224</v>
      </c>
      <c r="F125" s="237" t="str">
        <f>TEXT(Table5[[#This Row],[Date]],"mmm-yy")</f>
        <v>Jul-25</v>
      </c>
      <c r="G125" s="236">
        <f t="shared" ref="G125" si="277">DAY(EOMONTH(F125,0))</f>
        <v>31</v>
      </c>
      <c r="H125" s="238">
        <f t="shared" si="243"/>
        <v>45868</v>
      </c>
      <c r="I125" s="236">
        <v>11.72</v>
      </c>
      <c r="J125" s="212">
        <f>IFERROR(Inv_SY!J126/Inv_SY!$P126-1,"")</f>
        <v>6.2214668797662132E-3</v>
      </c>
      <c r="K125" s="212">
        <f>IFERROR(Inv_SY!K126/Inv_SY!$P126-1,"")</f>
        <v>-7.2386728600950523E-3</v>
      </c>
      <c r="L125" s="212">
        <f>IFERROR(Inv_SY!L126/Inv_SY!$P126-1,"")</f>
        <v>-3.0057566987816031E-2</v>
      </c>
      <c r="M125" s="212">
        <f>IFERROR(Inv_SY!M126/Inv_SY!$P126-1,"")</f>
        <v>1.6021349568694498E-2</v>
      </c>
      <c r="N125" s="212">
        <f>IFERROR(Inv_SY!N126/Inv_SY!$P126-1,"")</f>
        <v>-3.1375908084285697E-3</v>
      </c>
      <c r="O125" s="212">
        <f>IFERROR(Inv_SY!O126/Inv_SY!$P126-1,"")</f>
        <v>1.8191014207878498E-2</v>
      </c>
      <c r="P125" s="212">
        <f>IFERROR(Inv_SY!P126/Inv_SY!$P126-1,"")</f>
        <v>0</v>
      </c>
      <c r="Q125" s="212">
        <f>IFERROR(Inv_SY!Q126/Inv_SY!$P126-1,"")</f>
        <v>1.8191014207878498E-2</v>
      </c>
      <c r="R125" s="212">
        <f>IFERROR(Inv_SY!L126/Inv_SY!$Q126-1,"")</f>
        <v>-4.7386571402057154E-2</v>
      </c>
      <c r="S125" s="212">
        <f>IFERROR(Inv_SY!M126/Inv_SY!$Q126-1,"")</f>
        <v>-2.1309013818708866E-3</v>
      </c>
      <c r="T125" s="212">
        <f>IFERROR(Inv_SY!N126/Inv_SY!$Q126-1,"")</f>
        <v>-2.0947547875287631E-2</v>
      </c>
      <c r="U125" s="213">
        <f>IFERROR(Inv_SY!O126/Inv_SY!$Q126-1,"")</f>
        <v>0</v>
      </c>
    </row>
  </sheetData>
  <phoneticPr fontId="34" type="noConversion"/>
  <conditionalFormatting sqref="J2:Q12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19"/>
  <sheetViews>
    <sheetView workbookViewId="0">
      <pane xSplit="8" ySplit="3" topLeftCell="I1706" activePane="bottomRight" state="frozen"/>
      <selection pane="topRight" activeCell="I1" sqref="I1"/>
      <selection pane="bottomLeft" activeCell="A4" sqref="A4"/>
      <selection pane="bottomRight" activeCell="A1710" sqref="A1710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707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/>
      <c r="X1655" s="41"/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0</v>
      </c>
      <c r="AC1655" s="34">
        <f>(TA[[#This Row],[Work Completion time on fault]]-TA[[#This Row],[Fault Time]])*24</f>
        <v>0</v>
      </c>
      <c r="AD1655" s="35">
        <f>IFERROR((TA[[#This Row],[Work Completion time on fault]]-TA[[#This Row],[Fault Time]])*24,"")</f>
        <v>0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/>
      <c r="X1656" s="41"/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0</v>
      </c>
      <c r="AC1656" s="34">
        <f>(TA[[#This Row],[Work Completion time on fault]]-TA[[#This Row],[Fault Time]])*24</f>
        <v>0</v>
      </c>
      <c r="AD1656" s="35">
        <f>IFERROR((TA[[#This Row],[Work Completion time on fault]]-TA[[#This Row],[Fault Time]])*24,"")</f>
        <v>0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/>
      <c r="X1658" s="41"/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0</v>
      </c>
      <c r="AC1658" s="34">
        <f>(TA[[#This Row],[Work Completion time on fault]]-TA[[#This Row],[Fault Time]])*24</f>
        <v>0</v>
      </c>
      <c r="AD1658" s="35">
        <f>IFERROR((TA[[#This Row],[Work Completion time on fault]]-TA[[#This Row],[Fault Time]])*24,"")</f>
        <v>0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/>
      <c r="X1659" s="41"/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0</v>
      </c>
      <c r="AC1659" s="34">
        <f>(TA[[#This Row],[Work Completion time on fault]]-TA[[#This Row],[Fault Time]])*24</f>
        <v>0</v>
      </c>
      <c r="AD1659" s="35">
        <f>IFERROR((TA[[#This Row],[Work Completion time on fault]]-TA[[#This Row],[Fault Time]])*24,"")</f>
        <v>0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/>
      <c r="X1660" s="41"/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0</v>
      </c>
      <c r="AC1660" s="34">
        <f>(TA[[#This Row],[Work Completion time on fault]]-TA[[#This Row],[Fault Time]])*24</f>
        <v>0</v>
      </c>
      <c r="AD1660" s="35">
        <f>IFERROR((TA[[#This Row],[Work Completion time on fault]]-TA[[#This Row],[Fault Time]])*24,"")</f>
        <v>0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/>
      <c r="X1661" s="41"/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0</v>
      </c>
      <c r="AC1661" s="34">
        <f>(TA[[#This Row],[Work Completion time on fault]]-TA[[#This Row],[Fault Time]])*24</f>
        <v>0</v>
      </c>
      <c r="AD1661" s="35">
        <f>IFERROR((TA[[#This Row],[Work Completion time on fault]]-TA[[#This Row],[Fault Time]])*24,"")</f>
        <v>0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/>
      <c r="X1662" s="41"/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0</v>
      </c>
      <c r="AC1662" s="34">
        <f>(TA[[#This Row],[Work Completion time on fault]]-TA[[#This Row],[Fault Time]])*24</f>
        <v>0</v>
      </c>
      <c r="AD1662" s="35">
        <f>IFERROR((TA[[#This Row],[Work Completion time on fault]]-TA[[#This Row],[Fault Time]])*24,"")</f>
        <v>0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/>
      <c r="X1663" s="41"/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0</v>
      </c>
      <c r="AC1663" s="34">
        <f>(TA[[#This Row],[Work Completion time on fault]]-TA[[#This Row],[Fault Time]])*24</f>
        <v>0</v>
      </c>
      <c r="AD1663" s="35">
        <f>IFERROR((TA[[#This Row],[Work Completion time on fault]]-TA[[#This Row],[Fault Time]])*24,"")</f>
        <v>0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/>
      <c r="X1664" s="41"/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0</v>
      </c>
      <c r="AC1664" s="34">
        <f>(TA[[#This Row],[Work Completion time on fault]]-TA[[#This Row],[Fault Time]])*24</f>
        <v>0</v>
      </c>
      <c r="AD1664" s="35">
        <f>IFERROR((TA[[#This Row],[Work Completion time on fault]]-TA[[#This Row],[Fault Time]])*24,"")</f>
        <v>0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/>
      <c r="X1665" s="41"/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0</v>
      </c>
      <c r="AC1665" s="34">
        <f>(TA[[#This Row],[Work Completion time on fault]]-TA[[#This Row],[Fault Time]])*24</f>
        <v>0</v>
      </c>
      <c r="AD1665" s="35">
        <f>IFERROR((TA[[#This Row],[Work Completion time on fault]]-TA[[#This Row],[Fault Time]])*24,"")</f>
        <v>0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/>
      <c r="X1666" s="41"/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0</v>
      </c>
      <c r="AC1666" s="34">
        <f>(TA[[#This Row],[Work Completion time on fault]]-TA[[#This Row],[Fault Time]])*24</f>
        <v>0</v>
      </c>
      <c r="AD1666" s="35">
        <f>IFERROR((TA[[#This Row],[Work Completion time on fault]]-TA[[#This Row],[Fault Time]])*24,"")</f>
        <v>0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">
        <f>DAY(EOMONTH(TA[[#This Row],[Month Year]],0))</f>
        <v>31</v>
      </c>
      <c r="H1668" s="21">
        <v>45865</v>
      </c>
      <c r="I1668" s="41">
        <f>IFERROR(VLOOKUP(TA[[#This Row],[Date]],Raw_Data[[Date]:[Sunset Time (POA&lt;20 W/m2)]],3,0),"")</f>
        <v>0.2590277777777778</v>
      </c>
      <c r="J1668" s="41">
        <f>IFERROR(VLOOKUP(TA[[#This Row],[Date]],Raw_Data[[Date]:[Sunset Time (POA&lt;20 W/m2)]],4,0),"")</f>
        <v>0.78402777777777777</v>
      </c>
      <c r="K1668" s="35">
        <f>IFERROR((TA[[#This Row],[Sunset Time (POA&lt;20 W/m2)]]-TA[[#This Row],[Sunrise Time (POA&gt;20 W/m2)]])*24,"")</f>
        <v>12.599999999999998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">
        <f>DAY(EOMONTH(TA[[#This Row],[Month Year]],0))</f>
        <v>31</v>
      </c>
      <c r="H1669" s="21">
        <v>45865</v>
      </c>
      <c r="I1669" s="41">
        <f>IFERROR(VLOOKUP(TA[[#This Row],[Date]],Raw_Data[[Date]:[Sunset Time (POA&lt;20 W/m2)]],3,0),"")</f>
        <v>0.2590277777777778</v>
      </c>
      <c r="J1669" s="41">
        <f>IFERROR(VLOOKUP(TA[[#This Row],[Date]],Raw_Data[[Date]:[Sunset Time (POA&lt;20 W/m2)]],4,0),"")</f>
        <v>0.78402777777777777</v>
      </c>
      <c r="K1669" s="35">
        <f>IFERROR((TA[[#This Row],[Sunset Time (POA&lt;20 W/m2)]]-TA[[#This Row],[Sunrise Time (POA&gt;20 W/m2)]])*24,"")</f>
        <v>12.599999999999998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">
        <f>DAY(EOMONTH(TA[[#This Row],[Month Year]],0))</f>
        <v>31</v>
      </c>
      <c r="H1670" s="21">
        <v>45865</v>
      </c>
      <c r="I1670" s="41">
        <f>IFERROR(VLOOKUP(TA[[#This Row],[Date]],Raw_Data[[Date]:[Sunset Time (POA&lt;20 W/m2)]],3,0),"")</f>
        <v>0.2590277777777778</v>
      </c>
      <c r="J1670" s="41">
        <f>IFERROR(VLOOKUP(TA[[#This Row],[Date]],Raw_Data[[Date]:[Sunset Time (POA&lt;20 W/m2)]],4,0),"")</f>
        <v>0.78402777777777777</v>
      </c>
      <c r="K1670" s="35">
        <f>IFERROR((TA[[#This Row],[Sunset Time (POA&lt;20 W/m2)]]-TA[[#This Row],[Sunrise Time (POA&gt;20 W/m2)]])*24,"")</f>
        <v>12.599999999999998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0.2590277777777778</v>
      </c>
      <c r="X1670" s="41">
        <f>IFERROR(VLOOKUP(TA[[#This Row],[Date]],Raw_Data[[Date]:[Sunset Time (POA&lt;20 W/m2)]],3,0),"")</f>
        <v>0.2590277777777778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-6.2166666666666668</v>
      </c>
      <c r="AC1670" s="34">
        <f>(TA[[#This Row],[Work Completion time on fault]]-TA[[#This Row],[Fault Time]])*24</f>
        <v>12.033333333333333</v>
      </c>
      <c r="AD1670" s="35">
        <f>IFERROR((TA[[#This Row],[Work Completion time on fault]]-TA[[#This Row],[Fault Time]])*24,"")</f>
        <v>12.033333333333333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">
        <f>DAY(EOMONTH(TA[[#This Row],[Month Year]],0))</f>
        <v>31</v>
      </c>
      <c r="H1671" s="21">
        <v>45865</v>
      </c>
      <c r="I1671" s="41">
        <f>IFERROR(VLOOKUP(TA[[#This Row],[Date]],Raw_Data[[Date]:[Sunset Time (POA&lt;20 W/m2)]],3,0),"")</f>
        <v>0.2590277777777778</v>
      </c>
      <c r="J1671" s="41">
        <f>IFERROR(VLOOKUP(TA[[#This Row],[Date]],Raw_Data[[Date]:[Sunset Time (POA&lt;20 W/m2)]],4,0),"")</f>
        <v>0.78402777777777777</v>
      </c>
      <c r="K1671" s="35">
        <f>IFERROR((TA[[#This Row],[Sunset Time (POA&lt;20 W/m2)]]-TA[[#This Row],[Sunrise Time (POA&gt;20 W/m2)]])*24,"")</f>
        <v>12.599999999999998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">
        <f>DAY(EOMONTH(TA[[#This Row],[Month Year]],0))</f>
        <v>31</v>
      </c>
      <c r="H1672" s="21">
        <v>45865</v>
      </c>
      <c r="I1672" s="41">
        <f>IFERROR(VLOOKUP(TA[[#This Row],[Date]],Raw_Data[[Date]:[Sunset Time (POA&lt;20 W/m2)]],3,0),"")</f>
        <v>0.2590277777777778</v>
      </c>
      <c r="J1672" s="41">
        <f>IFERROR(VLOOKUP(TA[[#This Row],[Date]],Raw_Data[[Date]:[Sunset Time (POA&lt;20 W/m2)]],4,0),"")</f>
        <v>0.78402777777777777</v>
      </c>
      <c r="K1672" s="35">
        <f>IFERROR((TA[[#This Row],[Sunset Time (POA&lt;20 W/m2)]]-TA[[#This Row],[Sunrise Time (POA&gt;20 W/m2)]])*24,"")</f>
        <v>12.599999999999998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">
        <f>DAY(EOMONTH(TA[[#This Row],[Month Year]],0))</f>
        <v>31</v>
      </c>
      <c r="H1673" s="21">
        <v>45865</v>
      </c>
      <c r="I1673" s="41">
        <f>IFERROR(VLOOKUP(TA[[#This Row],[Date]],Raw_Data[[Date]:[Sunset Time (POA&lt;20 W/m2)]],3,0),"")</f>
        <v>0.2590277777777778</v>
      </c>
      <c r="J1673" s="41">
        <f>IFERROR(VLOOKUP(TA[[#This Row],[Date]],Raw_Data[[Date]:[Sunset Time (POA&lt;20 W/m2)]],4,0),"")</f>
        <v>0.78402777777777777</v>
      </c>
      <c r="K1673" s="35">
        <f>IFERROR((TA[[#This Row],[Sunset Time (POA&lt;20 W/m2)]]-TA[[#This Row],[Sunrise Time (POA&gt;20 W/m2)]])*24,"")</f>
        <v>12.599999999999998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">
        <f>DAY(EOMONTH(TA[[#This Row],[Month Year]],0))</f>
        <v>31</v>
      </c>
      <c r="H1674" s="21">
        <v>45865</v>
      </c>
      <c r="I1674" s="41">
        <f>IFERROR(VLOOKUP(TA[[#This Row],[Date]],Raw_Data[[Date]:[Sunset Time (POA&lt;20 W/m2)]],3,0),"")</f>
        <v>0.2590277777777778</v>
      </c>
      <c r="J1674" s="41">
        <f>IFERROR(VLOOKUP(TA[[#This Row],[Date]],Raw_Data[[Date]:[Sunset Time (POA&lt;20 W/m2)]],4,0),"")</f>
        <v>0.78402777777777777</v>
      </c>
      <c r="K1674" s="35">
        <f>IFERROR((TA[[#This Row],[Sunset Time (POA&lt;20 W/m2)]]-TA[[#This Row],[Sunrise Time (POA&gt;20 W/m2)]])*24,"")</f>
        <v>12.599999999999998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">
        <f>DAY(EOMONTH(TA[[#This Row],[Month Year]],0))</f>
        <v>31</v>
      </c>
      <c r="H1675" s="21">
        <v>45865</v>
      </c>
      <c r="I1675" s="41">
        <f>IFERROR(VLOOKUP(TA[[#This Row],[Date]],Raw_Data[[Date]:[Sunset Time (POA&lt;20 W/m2)]],3,0),"")</f>
        <v>0.2590277777777778</v>
      </c>
      <c r="J1675" s="41">
        <f>IFERROR(VLOOKUP(TA[[#This Row],[Date]],Raw_Data[[Date]:[Sunset Time (POA&lt;20 W/m2)]],4,0),"")</f>
        <v>0.78402777777777777</v>
      </c>
      <c r="K1675" s="35">
        <f>IFERROR((TA[[#This Row],[Sunset Time (POA&lt;20 W/m2)]]-TA[[#This Row],[Sunrise Time (POA&gt;20 W/m2)]])*24,"")</f>
        <v>12.599999999999998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">
        <f>DAY(EOMONTH(TA[[#This Row],[Month Year]],0))</f>
        <v>31</v>
      </c>
      <c r="H1676" s="21">
        <v>45865</v>
      </c>
      <c r="I1676" s="41">
        <f>IFERROR(VLOOKUP(TA[[#This Row],[Date]],Raw_Data[[Date]:[Sunset Time (POA&lt;20 W/m2)]],3,0),"")</f>
        <v>0.2590277777777778</v>
      </c>
      <c r="J1676" s="41">
        <f>IFERROR(VLOOKUP(TA[[#This Row],[Date]],Raw_Data[[Date]:[Sunset Time (POA&lt;20 W/m2)]],4,0),"")</f>
        <v>0.78402777777777777</v>
      </c>
      <c r="K1676" s="35">
        <f>IFERROR((TA[[#This Row],[Sunset Time (POA&lt;20 W/m2)]]-TA[[#This Row],[Sunrise Time (POA&gt;20 W/m2)]])*24,"")</f>
        <v>12.599999999999998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">
        <f>DAY(EOMONTH(TA[[#This Row],[Month Year]],0))</f>
        <v>31</v>
      </c>
      <c r="H1677" s="21">
        <v>45865</v>
      </c>
      <c r="I1677" s="41">
        <f>IFERROR(VLOOKUP(TA[[#This Row],[Date]],Raw_Data[[Date]:[Sunset Time (POA&lt;20 W/m2)]],3,0),"")</f>
        <v>0.2590277777777778</v>
      </c>
      <c r="J1677" s="41">
        <f>IFERROR(VLOOKUP(TA[[#This Row],[Date]],Raw_Data[[Date]:[Sunset Time (POA&lt;20 W/m2)]],4,0),"")</f>
        <v>0.78402777777777777</v>
      </c>
      <c r="K1677" s="35">
        <f>IFERROR((TA[[#This Row],[Sunset Time (POA&lt;20 W/m2)]]-TA[[#This Row],[Sunrise Time (POA&gt;20 W/m2)]])*24,"")</f>
        <v>12.599999999999998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">
        <f>DAY(EOMONTH(TA[[#This Row],[Month Year]],0))</f>
        <v>31</v>
      </c>
      <c r="H1678" s="21">
        <v>45865</v>
      </c>
      <c r="I1678" s="41">
        <f>IFERROR(VLOOKUP(TA[[#This Row],[Date]],Raw_Data[[Date]:[Sunset Time (POA&lt;20 W/m2)]],3,0),"")</f>
        <v>0.2590277777777778</v>
      </c>
      <c r="J1678" s="41">
        <f>IFERROR(VLOOKUP(TA[[#This Row],[Date]],Raw_Data[[Date]:[Sunset Time (POA&lt;20 W/m2)]],4,0),"")</f>
        <v>0.78402777777777777</v>
      </c>
      <c r="K1678" s="35">
        <f>IFERROR((TA[[#This Row],[Sunset Time (POA&lt;20 W/m2)]]-TA[[#This Row],[Sunrise Time (POA&gt;20 W/m2)]])*24,"")</f>
        <v>12.599999999999998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">
        <f>DAY(EOMONTH(TA[[#This Row],[Month Year]],0))</f>
        <v>31</v>
      </c>
      <c r="H1679" s="21">
        <v>45865</v>
      </c>
      <c r="I1679" s="41">
        <f>IFERROR(VLOOKUP(TA[[#This Row],[Date]],Raw_Data[[Date]:[Sunset Time (POA&lt;20 W/m2)]],3,0),"")</f>
        <v>0.2590277777777778</v>
      </c>
      <c r="J1679" s="41">
        <f>IFERROR(VLOOKUP(TA[[#This Row],[Date]],Raw_Data[[Date]:[Sunset Time (POA&lt;20 W/m2)]],4,0),"")</f>
        <v>0.78402777777777777</v>
      </c>
      <c r="K1679" s="35">
        <f>IFERROR((TA[[#This Row],[Sunset Time (POA&lt;20 W/m2)]]-TA[[#This Row],[Sunrise Time (POA&gt;20 W/m2)]])*24,"")</f>
        <v>12.599999999999998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">
        <f>DAY(EOMONTH(TA[[#This Row],[Month Year]],0))</f>
        <v>31</v>
      </c>
      <c r="H1680" s="21">
        <v>45865</v>
      </c>
      <c r="I1680" s="41">
        <f>IFERROR(VLOOKUP(TA[[#This Row],[Date]],Raw_Data[[Date]:[Sunset Time (POA&lt;20 W/m2)]],3,0),"")</f>
        <v>0.2590277777777778</v>
      </c>
      <c r="J1680" s="41">
        <f>IFERROR(VLOOKUP(TA[[#This Row],[Date]],Raw_Data[[Date]:[Sunset Time (POA&lt;20 W/m2)]],4,0),"")</f>
        <v>0.78402777777777777</v>
      </c>
      <c r="K1680" s="35">
        <f>IFERROR((TA[[#This Row],[Sunset Time (POA&lt;20 W/m2)]]-TA[[#This Row],[Sunrise Time (POA&gt;20 W/m2)]])*24,"")</f>
        <v>12.599999999999998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0.2590277777777778</v>
      </c>
      <c r="X1680" s="41">
        <f>IFERROR(VLOOKUP(TA[[#This Row],[Date]],Raw_Data[[Date]:[Sunset Time (POA&lt;20 W/m2)]],3,0),"")</f>
        <v>0.2590277777777778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-6.2166666666666668</v>
      </c>
      <c r="AC1680" s="34">
        <f>(TA[[#This Row],[Work Completion time on fault]]-TA[[#This Row],[Fault Time]])*24</f>
        <v>12.033333333333333</v>
      </c>
      <c r="AD1680" s="35">
        <f>IFERROR((TA[[#This Row],[Work Completion time on fault]]-TA[[#This Row],[Fault Time]])*24,"")</f>
        <v>12.033333333333333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56">
        <f t="shared" ref="B1681:B1693" si="212">YEAR(H1681)+IF(MONTH(H1681)&gt;=4,1,0)</f>
        <v>2026</v>
      </c>
      <c r="C1681" s="129">
        <f t="shared" ref="C1681:C1693" si="213">YEAR(H1681)</f>
        <v>2025</v>
      </c>
      <c r="D1681" s="2" t="s">
        <v>155</v>
      </c>
      <c r="E1681" s="2" t="s">
        <v>155</v>
      </c>
      <c r="F1681" s="39">
        <v>45839</v>
      </c>
      <c r="G1681" s="2">
        <f>DAY(EOMONTH(TA[[#This Row],[Month Year]],0))</f>
        <v>31</v>
      </c>
      <c r="H1681" s="21">
        <v>45866</v>
      </c>
      <c r="I1681" s="41">
        <f>IFERROR(VLOOKUP(TA[[#This Row],[Date]],Raw_Data[[Date]:[Sunset Time (POA&lt;20 W/m2)]],3,0),"")</f>
        <v>0.25624999999999998</v>
      </c>
      <c r="J1681" s="41">
        <f>IFERROR(VLOOKUP(TA[[#This Row],[Date]],Raw_Data[[Date]:[Sunset Time (POA&lt;20 W/m2)]],4,0),"")</f>
        <v>0.76944444444444449</v>
      </c>
      <c r="K1681" s="35">
        <f>IFERROR((TA[[#This Row],[Sunset Time (POA&lt;20 W/m2)]]-TA[[#This Row],[Sunrise Time (POA&gt;20 W/m2)]])*24,"")</f>
        <v>12.316666666666668</v>
      </c>
      <c r="L1681" s="2" t="s">
        <v>294</v>
      </c>
      <c r="M1681" s="42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27" t="s">
        <v>318</v>
      </c>
      <c r="Q1681" s="126" t="s">
        <v>318</v>
      </c>
      <c r="R1681">
        <v>131</v>
      </c>
      <c r="S1681" s="2">
        <v>38</v>
      </c>
      <c r="T1681" t="s">
        <v>295</v>
      </c>
      <c r="U1681" t="s">
        <v>300</v>
      </c>
      <c r="V1681" t="s">
        <v>298</v>
      </c>
      <c r="W1681" s="41"/>
      <c r="X1681" s="41"/>
      <c r="Y1681" s="34"/>
      <c r="Z1681" s="34"/>
      <c r="AA1681" s="35">
        <f>IF(TA[[#This Row],[Work Start time on Fault]]="NA","",(TA[[#This Row],[Fault Acknowledgement Time ]]-TA[[#This Row],[Fault Time]])*24)</f>
        <v>0</v>
      </c>
      <c r="AB1681" s="35">
        <f>(TA[[#This Row],[Work Start time on Fault]]-TA[[#This Row],[Fault Time]])*24</f>
        <v>0</v>
      </c>
      <c r="AC1681" s="34">
        <f>(TA[[#This Row],[Work Completion time on fault]]-TA[[#This Row],[Fault Time]])*24</f>
        <v>0</v>
      </c>
      <c r="AD1681" s="35">
        <f>IFERROR((TA[[#This Row],[Work Completion time on fault]]-TA[[#This Row],[Fault Time]])*24,"")</f>
        <v>0</v>
      </c>
      <c r="AE1681" t="s">
        <v>328</v>
      </c>
      <c r="AF1681" t="s">
        <v>256</v>
      </c>
      <c r="AG1681" s="2"/>
      <c r="AH1681" s="44">
        <f>1-COS(RADIANS(TA[[#This Row],[Avg. Target Angle during Fault Time (Radians)]]-TA[[#This Row],[Angle of affected equipment ]]))</f>
        <v>0.11705240714107301</v>
      </c>
      <c r="AI1681" s="35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56">
        <f t="shared" si="212"/>
        <v>2026</v>
      </c>
      <c r="C1682" s="129">
        <f t="shared" si="213"/>
        <v>2025</v>
      </c>
      <c r="D1682" s="2" t="s">
        <v>155</v>
      </c>
      <c r="E1682" s="2" t="s">
        <v>155</v>
      </c>
      <c r="F1682" s="39">
        <v>45839</v>
      </c>
      <c r="G1682" s="2">
        <f>DAY(EOMONTH(TA[[#This Row],[Month Year]],0))</f>
        <v>31</v>
      </c>
      <c r="H1682" s="21">
        <v>45866</v>
      </c>
      <c r="I1682" s="41">
        <f>IFERROR(VLOOKUP(TA[[#This Row],[Date]],Raw_Data[[Date]:[Sunset Time (POA&lt;20 W/m2)]],3,0),"")</f>
        <v>0.25624999999999998</v>
      </c>
      <c r="J1682" s="41">
        <f>IFERROR(VLOOKUP(TA[[#This Row],[Date]],Raw_Data[[Date]:[Sunset Time (POA&lt;20 W/m2)]],4,0),"")</f>
        <v>0.76944444444444449</v>
      </c>
      <c r="K1682" s="35">
        <f>IFERROR((TA[[#This Row],[Sunset Time (POA&lt;20 W/m2)]]-TA[[#This Row],[Sunrise Time (POA&gt;20 W/m2)]])*24,"")</f>
        <v>12.316666666666668</v>
      </c>
      <c r="L1682" s="2" t="s">
        <v>294</v>
      </c>
      <c r="M1682" s="42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27" t="s">
        <v>318</v>
      </c>
      <c r="Q1682" s="126" t="s">
        <v>318</v>
      </c>
      <c r="R1682">
        <v>131</v>
      </c>
      <c r="S1682" s="2">
        <v>39</v>
      </c>
      <c r="T1682" t="s">
        <v>295</v>
      </c>
      <c r="U1682" t="s">
        <v>300</v>
      </c>
      <c r="V1682" t="s">
        <v>298</v>
      </c>
      <c r="W1682" s="41"/>
      <c r="X1682" s="41"/>
      <c r="Y1682" s="34"/>
      <c r="Z1682" s="34"/>
      <c r="AA1682" s="35">
        <f>IF(TA[[#This Row],[Work Start time on Fault]]="NA","",(TA[[#This Row],[Fault Acknowledgement Time ]]-TA[[#This Row],[Fault Time]])*24)</f>
        <v>0</v>
      </c>
      <c r="AB1682" s="35">
        <f>(TA[[#This Row],[Work Start time on Fault]]-TA[[#This Row],[Fault Time]])*24</f>
        <v>0</v>
      </c>
      <c r="AC1682" s="34">
        <f>(TA[[#This Row],[Work Completion time on fault]]-TA[[#This Row],[Fault Time]])*24</f>
        <v>0</v>
      </c>
      <c r="AD1682" s="35">
        <f>IFERROR((TA[[#This Row],[Work Completion time on fault]]-TA[[#This Row],[Fault Time]])*24,"")</f>
        <v>0</v>
      </c>
      <c r="AE1682" t="s">
        <v>328</v>
      </c>
      <c r="AF1682" t="s">
        <v>256</v>
      </c>
      <c r="AG1682" s="2"/>
      <c r="AH1682" s="44">
        <f>1-COS(RADIANS(TA[[#This Row],[Avg. Target Angle during Fault Time (Radians)]]-TA[[#This Row],[Angle of affected equipment ]]))</f>
        <v>0.11705240714107301</v>
      </c>
      <c r="AI1682" s="35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56">
        <f t="shared" si="212"/>
        <v>2026</v>
      </c>
      <c r="C1683" s="129">
        <f t="shared" si="213"/>
        <v>2025</v>
      </c>
      <c r="D1683" s="2" t="s">
        <v>155</v>
      </c>
      <c r="E1683" s="2" t="s">
        <v>155</v>
      </c>
      <c r="F1683" s="39">
        <v>45839</v>
      </c>
      <c r="G1683" s="2">
        <f>DAY(EOMONTH(TA[[#This Row],[Month Year]],0))</f>
        <v>31</v>
      </c>
      <c r="H1683" s="21">
        <v>45866</v>
      </c>
      <c r="I1683" s="41">
        <f>IFERROR(VLOOKUP(TA[[#This Row],[Date]],Raw_Data[[Date]:[Sunset Time (POA&lt;20 W/m2)]],3,0),"")</f>
        <v>0.25624999999999998</v>
      </c>
      <c r="J1683" s="41">
        <f>IFERROR(VLOOKUP(TA[[#This Row],[Date]],Raw_Data[[Date]:[Sunset Time (POA&lt;20 W/m2)]],4,0),"")</f>
        <v>0.76944444444444449</v>
      </c>
      <c r="K1683" s="35">
        <f>IFERROR((TA[[#This Row],[Sunset Time (POA&lt;20 W/m2)]]-TA[[#This Row],[Sunrise Time (POA&gt;20 W/m2)]])*24,"")</f>
        <v>12.316666666666668</v>
      </c>
      <c r="L1683" s="2" t="s">
        <v>296</v>
      </c>
      <c r="M1683" s="42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27" t="s">
        <v>318</v>
      </c>
      <c r="Q1683" s="2" t="s">
        <v>321</v>
      </c>
      <c r="R1683">
        <v>133</v>
      </c>
      <c r="S1683" s="2">
        <v>26</v>
      </c>
      <c r="T1683" t="s">
        <v>297</v>
      </c>
      <c r="U1683" t="s">
        <v>300</v>
      </c>
      <c r="V1683" t="s">
        <v>314</v>
      </c>
      <c r="W1683" s="41">
        <f>IFERROR(VLOOKUP(TA[[#This Row],[Date]],Raw_Data[[Date]:[Sunset Time (POA&lt;20 W/m2)]],3,0),"")</f>
        <v>0.25624999999999998</v>
      </c>
      <c r="X1683" s="41">
        <f>IFERROR(VLOOKUP(TA[[#This Row],[Date]],Raw_Data[[Date]:[Sunset Time (POA&lt;20 W/m2)]],3,0),"")</f>
        <v>0.25624999999999998</v>
      </c>
      <c r="Y1683" s="34"/>
      <c r="Z1683" s="34">
        <v>0.76041666666666663</v>
      </c>
      <c r="AA1683" s="35">
        <f>IF(TA[[#This Row],[Work Start time on Fault]]="NA","",(TA[[#This Row],[Fault Acknowledgement Time ]]-TA[[#This Row],[Fault Time]])*24)</f>
        <v>0</v>
      </c>
      <c r="AB1683" s="35">
        <f>(TA[[#This Row],[Work Start time on Fault]]-TA[[#This Row],[Fault Time]])*24</f>
        <v>-6.1499999999999995</v>
      </c>
      <c r="AC1683" s="34">
        <f>(TA[[#This Row],[Work Completion time on fault]]-TA[[#This Row],[Fault Time]])*24</f>
        <v>12.1</v>
      </c>
      <c r="AD1683" s="35">
        <f>IFERROR((TA[[#This Row],[Work Completion time on fault]]-TA[[#This Row],[Fault Time]])*24,"")</f>
        <v>12.1</v>
      </c>
      <c r="AE1683" t="s">
        <v>328</v>
      </c>
      <c r="AF1683" t="s">
        <v>256</v>
      </c>
      <c r="AG1683" s="2"/>
      <c r="AH1683" s="44">
        <f>1-COS(RADIANS(TA[[#This Row],[Avg. Target Angle during Fault Time (Radians)]]-TA[[#This Row],[Angle of affected equipment ]]))</f>
        <v>0.11705240714107301</v>
      </c>
      <c r="AI1683" s="35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56">
        <f t="shared" si="212"/>
        <v>2026</v>
      </c>
      <c r="C1684" s="129">
        <f t="shared" si="213"/>
        <v>2025</v>
      </c>
      <c r="D1684" s="2" t="s">
        <v>155</v>
      </c>
      <c r="E1684" s="2" t="s">
        <v>155</v>
      </c>
      <c r="F1684" s="39">
        <v>45839</v>
      </c>
      <c r="G1684" s="2">
        <f>DAY(EOMONTH(TA[[#This Row],[Month Year]],0))</f>
        <v>31</v>
      </c>
      <c r="H1684" s="21">
        <v>45866</v>
      </c>
      <c r="I1684" s="41">
        <f>IFERROR(VLOOKUP(TA[[#This Row],[Date]],Raw_Data[[Date]:[Sunset Time (POA&lt;20 W/m2)]],3,0),"")</f>
        <v>0.25624999999999998</v>
      </c>
      <c r="J1684" s="41">
        <f>IFERROR(VLOOKUP(TA[[#This Row],[Date]],Raw_Data[[Date]:[Sunset Time (POA&lt;20 W/m2)]],4,0),"")</f>
        <v>0.76944444444444449</v>
      </c>
      <c r="K1684" s="35">
        <f>IFERROR((TA[[#This Row],[Sunset Time (POA&lt;20 W/m2)]]-TA[[#This Row],[Sunrise Time (POA&gt;20 W/m2)]])*24,"")</f>
        <v>12.316666666666668</v>
      </c>
      <c r="L1684" s="2" t="s">
        <v>294</v>
      </c>
      <c r="M1684" s="42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27" t="s">
        <v>316</v>
      </c>
      <c r="Q1684" s="126" t="s">
        <v>317</v>
      </c>
      <c r="R1684">
        <v>7</v>
      </c>
      <c r="S1684" s="2">
        <v>32</v>
      </c>
      <c r="T1684" t="s">
        <v>295</v>
      </c>
      <c r="U1684" t="s">
        <v>300</v>
      </c>
      <c r="V1684" t="s">
        <v>298</v>
      </c>
      <c r="W1684" s="41"/>
      <c r="X1684" s="41"/>
      <c r="Y1684" s="34"/>
      <c r="Z1684" s="34"/>
      <c r="AA1684" s="35">
        <f>IF(TA[[#This Row],[Work Start time on Fault]]="NA","",(TA[[#This Row],[Fault Acknowledgement Time ]]-TA[[#This Row],[Fault Time]])*24)</f>
        <v>0</v>
      </c>
      <c r="AB1684" s="35">
        <f>(TA[[#This Row],[Work Start time on Fault]]-TA[[#This Row],[Fault Time]])*24</f>
        <v>0</v>
      </c>
      <c r="AC1684" s="34">
        <f>(TA[[#This Row],[Work Completion time on fault]]-TA[[#This Row],[Fault Time]])*24</f>
        <v>0</v>
      </c>
      <c r="AD1684" s="35">
        <f>IFERROR((TA[[#This Row],[Work Completion time on fault]]-TA[[#This Row],[Fault Time]])*24,"")</f>
        <v>0</v>
      </c>
      <c r="AE1684" t="s">
        <v>328</v>
      </c>
      <c r="AF1684" t="s">
        <v>256</v>
      </c>
      <c r="AG1684" s="2"/>
      <c r="AH1684" s="44">
        <f>1-COS(RADIANS(TA[[#This Row],[Avg. Target Angle during Fault Time (Radians)]]-TA[[#This Row],[Angle of affected equipment ]]))</f>
        <v>0.11705240714107301</v>
      </c>
      <c r="AI1684" s="35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56">
        <f t="shared" si="212"/>
        <v>2026</v>
      </c>
      <c r="C1685" s="129">
        <f t="shared" si="213"/>
        <v>2025</v>
      </c>
      <c r="D1685" s="2" t="s">
        <v>155</v>
      </c>
      <c r="E1685" s="2" t="s">
        <v>155</v>
      </c>
      <c r="F1685" s="39">
        <v>45839</v>
      </c>
      <c r="G1685" s="2">
        <f>DAY(EOMONTH(TA[[#This Row],[Month Year]],0))</f>
        <v>31</v>
      </c>
      <c r="H1685" s="21">
        <v>45866</v>
      </c>
      <c r="I1685" s="41">
        <f>IFERROR(VLOOKUP(TA[[#This Row],[Date]],Raw_Data[[Date]:[Sunset Time (POA&lt;20 W/m2)]],3,0),"")</f>
        <v>0.25624999999999998</v>
      </c>
      <c r="J1685" s="41">
        <f>IFERROR(VLOOKUP(TA[[#This Row],[Date]],Raw_Data[[Date]:[Sunset Time (POA&lt;20 W/m2)]],4,0),"")</f>
        <v>0.76944444444444449</v>
      </c>
      <c r="K1685" s="35">
        <f>IFERROR((TA[[#This Row],[Sunset Time (POA&lt;20 W/m2)]]-TA[[#This Row],[Sunrise Time (POA&gt;20 W/m2)]])*24,"")</f>
        <v>12.316666666666668</v>
      </c>
      <c r="L1685" s="2" t="s">
        <v>294</v>
      </c>
      <c r="M1685" s="42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27" t="s">
        <v>315</v>
      </c>
      <c r="Q1685" s="126" t="s">
        <v>319</v>
      </c>
      <c r="R1685">
        <v>166</v>
      </c>
      <c r="S1685" s="2">
        <v>91</v>
      </c>
      <c r="T1685" t="s">
        <v>295</v>
      </c>
      <c r="U1685" t="s">
        <v>300</v>
      </c>
      <c r="V1685" t="s">
        <v>298</v>
      </c>
      <c r="W1685" s="41"/>
      <c r="X1685" s="41"/>
      <c r="Y1685" s="34"/>
      <c r="Z1685" s="34"/>
      <c r="AA1685" s="35">
        <f>IF(TA[[#This Row],[Work Start time on Fault]]="NA","",(TA[[#This Row],[Fault Acknowledgement Time ]]-TA[[#This Row],[Fault Time]])*24)</f>
        <v>0</v>
      </c>
      <c r="AB1685" s="35">
        <f>(TA[[#This Row],[Work Start time on Fault]]-TA[[#This Row],[Fault Time]])*24</f>
        <v>0</v>
      </c>
      <c r="AC1685" s="34">
        <f>(TA[[#This Row],[Work Completion time on fault]]-TA[[#This Row],[Fault Time]])*24</f>
        <v>0</v>
      </c>
      <c r="AD1685" s="35">
        <f>IFERROR((TA[[#This Row],[Work Completion time on fault]]-TA[[#This Row],[Fault Time]])*24,"")</f>
        <v>0</v>
      </c>
      <c r="AE1685" t="s">
        <v>328</v>
      </c>
      <c r="AF1685" t="s">
        <v>256</v>
      </c>
      <c r="AG1685" s="2"/>
      <c r="AH1685" s="44">
        <f>1-COS(RADIANS(TA[[#This Row],[Avg. Target Angle during Fault Time (Radians)]]-TA[[#This Row],[Angle of affected equipment ]]))</f>
        <v>0.11705240714107301</v>
      </c>
      <c r="AI1685" s="35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56">
        <f t="shared" si="212"/>
        <v>2026</v>
      </c>
      <c r="C1686" s="129">
        <f t="shared" si="213"/>
        <v>2025</v>
      </c>
      <c r="D1686" s="2" t="s">
        <v>155</v>
      </c>
      <c r="E1686" s="2" t="s">
        <v>155</v>
      </c>
      <c r="F1686" s="39">
        <v>45839</v>
      </c>
      <c r="G1686" s="2">
        <f>DAY(EOMONTH(TA[[#This Row],[Month Year]],0))</f>
        <v>31</v>
      </c>
      <c r="H1686" s="21">
        <v>45866</v>
      </c>
      <c r="I1686" s="41">
        <f>IFERROR(VLOOKUP(TA[[#This Row],[Date]],Raw_Data[[Date]:[Sunset Time (POA&lt;20 W/m2)]],3,0),"")</f>
        <v>0.25624999999999998</v>
      </c>
      <c r="J1686" s="41">
        <f>IFERROR(VLOOKUP(TA[[#This Row],[Date]],Raw_Data[[Date]:[Sunset Time (POA&lt;20 W/m2)]],4,0),"")</f>
        <v>0.76944444444444449</v>
      </c>
      <c r="K1686" s="35">
        <f>IFERROR((TA[[#This Row],[Sunset Time (POA&lt;20 W/m2)]]-TA[[#This Row],[Sunrise Time (POA&gt;20 W/m2)]])*24,"")</f>
        <v>12.316666666666668</v>
      </c>
      <c r="L1686" s="2" t="s">
        <v>294</v>
      </c>
      <c r="M1686" s="42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27" t="s">
        <v>316</v>
      </c>
      <c r="Q1686" s="126" t="s">
        <v>316</v>
      </c>
      <c r="R1686">
        <v>117</v>
      </c>
      <c r="S1686" s="2">
        <v>20</v>
      </c>
      <c r="T1686" t="s">
        <v>295</v>
      </c>
      <c r="U1686" t="s">
        <v>300</v>
      </c>
      <c r="V1686" t="s">
        <v>298</v>
      </c>
      <c r="W1686" s="41"/>
      <c r="X1686" s="41"/>
      <c r="Y1686" s="34"/>
      <c r="Z1686" s="34"/>
      <c r="AA1686" s="35">
        <f>IF(TA[[#This Row],[Work Start time on Fault]]="NA","",(TA[[#This Row],[Fault Acknowledgement Time ]]-TA[[#This Row],[Fault Time]])*24)</f>
        <v>0</v>
      </c>
      <c r="AB1686" s="35">
        <f>(TA[[#This Row],[Work Start time on Fault]]-TA[[#This Row],[Fault Time]])*24</f>
        <v>0</v>
      </c>
      <c r="AC1686" s="34">
        <f>(TA[[#This Row],[Work Completion time on fault]]-TA[[#This Row],[Fault Time]])*24</f>
        <v>0</v>
      </c>
      <c r="AD1686" s="35">
        <f>IFERROR((TA[[#This Row],[Work Completion time on fault]]-TA[[#This Row],[Fault Time]])*24,"")</f>
        <v>0</v>
      </c>
      <c r="AE1686" t="s">
        <v>328</v>
      </c>
      <c r="AF1686" t="s">
        <v>256</v>
      </c>
      <c r="AG1686" s="2"/>
      <c r="AH1686" s="44">
        <f>1-COS(RADIANS(TA[[#This Row],[Avg. Target Angle during Fault Time (Radians)]]-TA[[#This Row],[Angle of affected equipment ]]))</f>
        <v>0.11705240714107301</v>
      </c>
      <c r="AI1686" s="35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56">
        <f t="shared" si="212"/>
        <v>2026</v>
      </c>
      <c r="C1687" s="129">
        <f t="shared" si="213"/>
        <v>2025</v>
      </c>
      <c r="D1687" s="2" t="s">
        <v>155</v>
      </c>
      <c r="E1687" s="2" t="s">
        <v>155</v>
      </c>
      <c r="F1687" s="39">
        <v>45839</v>
      </c>
      <c r="G1687" s="2">
        <f>DAY(EOMONTH(TA[[#This Row],[Month Year]],0))</f>
        <v>31</v>
      </c>
      <c r="H1687" s="21">
        <v>45866</v>
      </c>
      <c r="I1687" s="41">
        <f>IFERROR(VLOOKUP(TA[[#This Row],[Date]],Raw_Data[[Date]:[Sunset Time (POA&lt;20 W/m2)]],3,0),"")</f>
        <v>0.25624999999999998</v>
      </c>
      <c r="J1687" s="41">
        <f>IFERROR(VLOOKUP(TA[[#This Row],[Date]],Raw_Data[[Date]:[Sunset Time (POA&lt;20 W/m2)]],4,0),"")</f>
        <v>0.76944444444444449</v>
      </c>
      <c r="K1687" s="35">
        <f>IFERROR((TA[[#This Row],[Sunset Time (POA&lt;20 W/m2)]]-TA[[#This Row],[Sunrise Time (POA&gt;20 W/m2)]])*24,"")</f>
        <v>12.316666666666668</v>
      </c>
      <c r="L1687" s="2" t="s">
        <v>294</v>
      </c>
      <c r="M1687" s="42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27" t="s">
        <v>316</v>
      </c>
      <c r="Q1687" s="126" t="s">
        <v>316</v>
      </c>
      <c r="R1687">
        <v>118</v>
      </c>
      <c r="S1687" s="2">
        <v>22</v>
      </c>
      <c r="T1687" t="s">
        <v>295</v>
      </c>
      <c r="U1687" t="s">
        <v>300</v>
      </c>
      <c r="V1687" t="s">
        <v>298</v>
      </c>
      <c r="W1687" s="41"/>
      <c r="X1687" s="41"/>
      <c r="Y1687" s="34"/>
      <c r="Z1687" s="34"/>
      <c r="AA1687" s="35">
        <f>IF(TA[[#This Row],[Work Start time on Fault]]="NA","",(TA[[#This Row],[Fault Acknowledgement Time ]]-TA[[#This Row],[Fault Time]])*24)</f>
        <v>0</v>
      </c>
      <c r="AB1687" s="35">
        <f>(TA[[#This Row],[Work Start time on Fault]]-TA[[#This Row],[Fault Time]])*24</f>
        <v>0</v>
      </c>
      <c r="AC1687" s="34">
        <f>(TA[[#This Row],[Work Completion time on fault]]-TA[[#This Row],[Fault Time]])*24</f>
        <v>0</v>
      </c>
      <c r="AD1687" s="35">
        <f>IFERROR((TA[[#This Row],[Work Completion time on fault]]-TA[[#This Row],[Fault Time]])*24,"")</f>
        <v>0</v>
      </c>
      <c r="AE1687" t="s">
        <v>328</v>
      </c>
      <c r="AF1687" t="s">
        <v>256</v>
      </c>
      <c r="AG1687" s="2"/>
      <c r="AH1687" s="44">
        <f>1-COS(RADIANS(TA[[#This Row],[Avg. Target Angle during Fault Time (Radians)]]-TA[[#This Row],[Angle of affected equipment ]]))</f>
        <v>0.11705240714107301</v>
      </c>
      <c r="AI1687" s="35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56">
        <f t="shared" si="212"/>
        <v>2026</v>
      </c>
      <c r="C1688" s="129">
        <f t="shared" si="213"/>
        <v>2025</v>
      </c>
      <c r="D1688" s="2" t="s">
        <v>155</v>
      </c>
      <c r="E1688" s="2" t="s">
        <v>155</v>
      </c>
      <c r="F1688" s="39">
        <v>45839</v>
      </c>
      <c r="G1688" s="2">
        <f>DAY(EOMONTH(TA[[#This Row],[Month Year]],0))</f>
        <v>31</v>
      </c>
      <c r="H1688" s="21">
        <v>45866</v>
      </c>
      <c r="I1688" s="41">
        <f>IFERROR(VLOOKUP(TA[[#This Row],[Date]],Raw_Data[[Date]:[Sunset Time (POA&lt;20 W/m2)]],3,0),"")</f>
        <v>0.25624999999999998</v>
      </c>
      <c r="J1688" s="41">
        <f>IFERROR(VLOOKUP(TA[[#This Row],[Date]],Raw_Data[[Date]:[Sunset Time (POA&lt;20 W/m2)]],4,0),"")</f>
        <v>0.76944444444444449</v>
      </c>
      <c r="K1688" s="35">
        <f>IFERROR((TA[[#This Row],[Sunset Time (POA&lt;20 W/m2)]]-TA[[#This Row],[Sunrise Time (POA&gt;20 W/m2)]])*24,"")</f>
        <v>12.316666666666668</v>
      </c>
      <c r="L1688" s="2" t="s">
        <v>296</v>
      </c>
      <c r="M1688" s="42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323</v>
      </c>
      <c r="Q1688" s="2" t="s">
        <v>329</v>
      </c>
      <c r="R1688">
        <v>45</v>
      </c>
      <c r="S1688" s="2">
        <v>8</v>
      </c>
      <c r="T1688" t="s">
        <v>297</v>
      </c>
      <c r="U1688" t="s">
        <v>300</v>
      </c>
      <c r="V1688" t="s">
        <v>301</v>
      </c>
      <c r="W1688" s="41"/>
      <c r="X1688" s="41"/>
      <c r="Y1688" s="34"/>
      <c r="Z1688" s="34"/>
      <c r="AA1688" s="35">
        <f>IF(TA[[#This Row],[Work Start time on Fault]]="NA","",(TA[[#This Row],[Fault Acknowledgement Time ]]-TA[[#This Row],[Fault Time]])*24)</f>
        <v>0</v>
      </c>
      <c r="AB1688" s="35">
        <f>(TA[[#This Row],[Work Start time on Fault]]-TA[[#This Row],[Fault Time]])*24</f>
        <v>0</v>
      </c>
      <c r="AC1688" s="34">
        <f>(TA[[#This Row],[Work Completion time on fault]]-TA[[#This Row],[Fault Time]])*24</f>
        <v>0</v>
      </c>
      <c r="AD1688" s="35">
        <f>IFERROR((TA[[#This Row],[Work Completion time on fault]]-TA[[#This Row],[Fault Time]])*24,"")</f>
        <v>0</v>
      </c>
      <c r="AE1688" t="s">
        <v>328</v>
      </c>
      <c r="AF1688" t="s">
        <v>256</v>
      </c>
      <c r="AG1688" s="2"/>
      <c r="AH1688" s="44">
        <f>1-COS(RADIANS(TA[[#This Row],[Avg. Target Angle during Fault Time (Radians)]]-TA[[#This Row],[Angle of affected equipment ]]))</f>
        <v>0.11705240714107301</v>
      </c>
      <c r="AI1688" s="35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56">
        <f t="shared" si="212"/>
        <v>2026</v>
      </c>
      <c r="C1689" s="129">
        <f t="shared" si="213"/>
        <v>2025</v>
      </c>
      <c r="D1689" s="2" t="s">
        <v>155</v>
      </c>
      <c r="E1689" s="2" t="s">
        <v>155</v>
      </c>
      <c r="F1689" s="39">
        <v>45839</v>
      </c>
      <c r="G1689" s="2">
        <f>DAY(EOMONTH(TA[[#This Row],[Month Year]],0))</f>
        <v>31</v>
      </c>
      <c r="H1689" s="21">
        <v>45866</v>
      </c>
      <c r="I1689" s="41">
        <f>IFERROR(VLOOKUP(TA[[#This Row],[Date]],Raw_Data[[Date]:[Sunset Time (POA&lt;20 W/m2)]],3,0),"")</f>
        <v>0.25624999999999998</v>
      </c>
      <c r="J1689" s="41">
        <f>IFERROR(VLOOKUP(TA[[#This Row],[Date]],Raw_Data[[Date]:[Sunset Time (POA&lt;20 W/m2)]],4,0),"")</f>
        <v>0.76944444444444449</v>
      </c>
      <c r="K1689" s="35">
        <f>IFERROR((TA[[#This Row],[Sunset Time (POA&lt;20 W/m2)]]-TA[[#This Row],[Sunrise Time (POA&gt;20 W/m2)]])*24,"")</f>
        <v>12.316666666666668</v>
      </c>
      <c r="L1689" s="2" t="s">
        <v>296</v>
      </c>
      <c r="M1689" s="42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323</v>
      </c>
      <c r="Q1689" s="2" t="s">
        <v>329</v>
      </c>
      <c r="R1689">
        <v>47</v>
      </c>
      <c r="S1689" s="2">
        <v>18</v>
      </c>
      <c r="T1689" t="s">
        <v>297</v>
      </c>
      <c r="U1689" t="s">
        <v>300</v>
      </c>
      <c r="V1689" t="s">
        <v>301</v>
      </c>
      <c r="W1689" s="41"/>
      <c r="X1689" s="41"/>
      <c r="Y1689" s="34"/>
      <c r="Z1689" s="34"/>
      <c r="AA1689" s="35">
        <f>IF(TA[[#This Row],[Work Start time on Fault]]="NA","",(TA[[#This Row],[Fault Acknowledgement Time ]]-TA[[#This Row],[Fault Time]])*24)</f>
        <v>0</v>
      </c>
      <c r="AB1689" s="35">
        <f>(TA[[#This Row],[Work Start time on Fault]]-TA[[#This Row],[Fault Time]])*24</f>
        <v>0</v>
      </c>
      <c r="AC1689" s="34">
        <f>(TA[[#This Row],[Work Completion time on fault]]-TA[[#This Row],[Fault Time]])*24</f>
        <v>0</v>
      </c>
      <c r="AD1689" s="35">
        <f>IFERROR((TA[[#This Row],[Work Completion time on fault]]-TA[[#This Row],[Fault Time]])*24,"")</f>
        <v>0</v>
      </c>
      <c r="AE1689" t="s">
        <v>328</v>
      </c>
      <c r="AF1689" t="s">
        <v>256</v>
      </c>
      <c r="AG1689" s="2"/>
      <c r="AH1689" s="44">
        <f>1-COS(RADIANS(TA[[#This Row],[Avg. Target Angle during Fault Time (Radians)]]-TA[[#This Row],[Angle of affected equipment ]]))</f>
        <v>0.11705240714107301</v>
      </c>
      <c r="AI1689" s="35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56">
        <f t="shared" si="212"/>
        <v>2026</v>
      </c>
      <c r="C1690" s="129">
        <f t="shared" si="213"/>
        <v>2025</v>
      </c>
      <c r="D1690" s="2" t="s">
        <v>155</v>
      </c>
      <c r="E1690" s="2" t="s">
        <v>155</v>
      </c>
      <c r="F1690" s="39">
        <v>45839</v>
      </c>
      <c r="G1690" s="2">
        <f>DAY(EOMONTH(TA[[#This Row],[Month Year]],0))</f>
        <v>31</v>
      </c>
      <c r="H1690" s="21">
        <v>45866</v>
      </c>
      <c r="I1690" s="41">
        <f>IFERROR(VLOOKUP(TA[[#This Row],[Date]],Raw_Data[[Date]:[Sunset Time (POA&lt;20 W/m2)]],3,0),"")</f>
        <v>0.25624999999999998</v>
      </c>
      <c r="J1690" s="41">
        <f>IFERROR(VLOOKUP(TA[[#This Row],[Date]],Raw_Data[[Date]:[Sunset Time (POA&lt;20 W/m2)]],4,0),"")</f>
        <v>0.76944444444444449</v>
      </c>
      <c r="K1690" s="35">
        <f>IFERROR((TA[[#This Row],[Sunset Time (POA&lt;20 W/m2)]]-TA[[#This Row],[Sunrise Time (POA&gt;20 W/m2)]])*24,"")</f>
        <v>12.316666666666668</v>
      </c>
      <c r="L1690" s="2" t="s">
        <v>296</v>
      </c>
      <c r="M1690" s="42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330</v>
      </c>
      <c r="Q1690" s="2" t="s">
        <v>323</v>
      </c>
      <c r="R1690">
        <v>30</v>
      </c>
      <c r="S1690" s="2">
        <v>57</v>
      </c>
      <c r="T1690" t="s">
        <v>297</v>
      </c>
      <c r="U1690" t="s">
        <v>300</v>
      </c>
      <c r="V1690" t="s">
        <v>301</v>
      </c>
      <c r="W1690" s="41"/>
      <c r="X1690" s="41"/>
      <c r="Y1690" s="34"/>
      <c r="Z1690" s="34"/>
      <c r="AA1690" s="35">
        <f>IF(TA[[#This Row],[Work Start time on Fault]]="NA","",(TA[[#This Row],[Fault Acknowledgement Time ]]-TA[[#This Row],[Fault Time]])*24)</f>
        <v>0</v>
      </c>
      <c r="AB1690" s="35">
        <f>(TA[[#This Row],[Work Start time on Fault]]-TA[[#This Row],[Fault Time]])*24</f>
        <v>0</v>
      </c>
      <c r="AC1690" s="34">
        <f>(TA[[#This Row],[Work Completion time on fault]]-TA[[#This Row],[Fault Time]])*24</f>
        <v>0</v>
      </c>
      <c r="AD1690" s="35">
        <f>IFERROR((TA[[#This Row],[Work Completion time on fault]]-TA[[#This Row],[Fault Time]])*24,"")</f>
        <v>0</v>
      </c>
      <c r="AE1690" t="s">
        <v>328</v>
      </c>
      <c r="AF1690" t="s">
        <v>256</v>
      </c>
      <c r="AG1690" s="2"/>
      <c r="AH1690" s="44">
        <f>1-COS(RADIANS(TA[[#This Row],[Avg. Target Angle during Fault Time (Radians)]]-TA[[#This Row],[Angle of affected equipment ]]))</f>
        <v>0.11705240714107301</v>
      </c>
      <c r="AI1690" s="35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56">
        <f t="shared" si="212"/>
        <v>2026</v>
      </c>
      <c r="C1691" s="129">
        <f t="shared" si="213"/>
        <v>2025</v>
      </c>
      <c r="D1691" s="2" t="s">
        <v>155</v>
      </c>
      <c r="E1691" s="2" t="s">
        <v>155</v>
      </c>
      <c r="F1691" s="39">
        <v>45839</v>
      </c>
      <c r="G1691" s="2">
        <f>DAY(EOMONTH(TA[[#This Row],[Month Year]],0))</f>
        <v>31</v>
      </c>
      <c r="H1691" s="21">
        <v>45866</v>
      </c>
      <c r="I1691" s="41">
        <f>IFERROR(VLOOKUP(TA[[#This Row],[Date]],Raw_Data[[Date]:[Sunset Time (POA&lt;20 W/m2)]],3,0),"")</f>
        <v>0.25624999999999998</v>
      </c>
      <c r="J1691" s="41">
        <f>IFERROR(VLOOKUP(TA[[#This Row],[Date]],Raw_Data[[Date]:[Sunset Time (POA&lt;20 W/m2)]],4,0),"")</f>
        <v>0.76944444444444449</v>
      </c>
      <c r="K1691" s="35">
        <f>IFERROR((TA[[#This Row],[Sunset Time (POA&lt;20 W/m2)]]-TA[[#This Row],[Sunrise Time (POA&gt;20 W/m2)]])*24,"")</f>
        <v>12.316666666666668</v>
      </c>
      <c r="L1691" s="2" t="s">
        <v>296</v>
      </c>
      <c r="M1691" s="42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330</v>
      </c>
      <c r="Q1691" s="2" t="s">
        <v>323</v>
      </c>
      <c r="R1691">
        <v>31</v>
      </c>
      <c r="S1691" s="2">
        <v>61</v>
      </c>
      <c r="T1691" t="s">
        <v>297</v>
      </c>
      <c r="U1691" t="s">
        <v>300</v>
      </c>
      <c r="V1691" t="s">
        <v>301</v>
      </c>
      <c r="W1691" s="41"/>
      <c r="X1691" s="41"/>
      <c r="Y1691" s="34"/>
      <c r="Z1691" s="34"/>
      <c r="AA1691" s="35">
        <f>IF(TA[[#This Row],[Work Start time on Fault]]="NA","",(TA[[#This Row],[Fault Acknowledgement Time ]]-TA[[#This Row],[Fault Time]])*24)</f>
        <v>0</v>
      </c>
      <c r="AB1691" s="35">
        <f>(TA[[#This Row],[Work Start time on Fault]]-TA[[#This Row],[Fault Time]])*24</f>
        <v>0</v>
      </c>
      <c r="AC1691" s="34">
        <f>(TA[[#This Row],[Work Completion time on fault]]-TA[[#This Row],[Fault Time]])*24</f>
        <v>0</v>
      </c>
      <c r="AD1691" s="35">
        <f>IFERROR((TA[[#This Row],[Work Completion time on fault]]-TA[[#This Row],[Fault Time]])*24,"")</f>
        <v>0</v>
      </c>
      <c r="AE1691" t="s">
        <v>328</v>
      </c>
      <c r="AF1691" t="s">
        <v>256</v>
      </c>
      <c r="AG1691" s="2"/>
      <c r="AH1691" s="44">
        <f>1-COS(RADIANS(TA[[#This Row],[Avg. Target Angle during Fault Time (Radians)]]-TA[[#This Row],[Angle of affected equipment ]]))</f>
        <v>0.11705240714107301</v>
      </c>
      <c r="AI1691" s="35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56">
        <f t="shared" si="212"/>
        <v>2026</v>
      </c>
      <c r="C1692" s="129">
        <f t="shared" si="213"/>
        <v>2025</v>
      </c>
      <c r="D1692" s="2" t="s">
        <v>155</v>
      </c>
      <c r="E1692" s="2" t="s">
        <v>155</v>
      </c>
      <c r="F1692" s="39">
        <v>45839</v>
      </c>
      <c r="G1692" s="2">
        <f>DAY(EOMONTH(TA[[#This Row],[Month Year]],0))</f>
        <v>31</v>
      </c>
      <c r="H1692" s="21">
        <v>45866</v>
      </c>
      <c r="I1692" s="41">
        <f>IFERROR(VLOOKUP(TA[[#This Row],[Date]],Raw_Data[[Date]:[Sunset Time (POA&lt;20 W/m2)]],3,0),"")</f>
        <v>0.25624999999999998</v>
      </c>
      <c r="J1692" s="41">
        <f>IFERROR(VLOOKUP(TA[[#This Row],[Date]],Raw_Data[[Date]:[Sunset Time (POA&lt;20 W/m2)]],4,0),"")</f>
        <v>0.76944444444444449</v>
      </c>
      <c r="K1692" s="35">
        <f>IFERROR((TA[[#This Row],[Sunset Time (POA&lt;20 W/m2)]]-TA[[#This Row],[Sunrise Time (POA&gt;20 W/m2)]])*24,"")</f>
        <v>12.316666666666668</v>
      </c>
      <c r="L1692" s="2" t="s">
        <v>312</v>
      </c>
      <c r="M1692" s="42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330</v>
      </c>
      <c r="Q1692" s="2" t="s">
        <v>323</v>
      </c>
      <c r="R1692">
        <v>26</v>
      </c>
      <c r="S1692" s="2">
        <v>37</v>
      </c>
      <c r="T1692" t="s">
        <v>297</v>
      </c>
      <c r="U1692" t="s">
        <v>300</v>
      </c>
      <c r="V1692" t="s">
        <v>301</v>
      </c>
      <c r="W1692" s="41"/>
      <c r="X1692" s="41"/>
      <c r="Y1692" s="34"/>
      <c r="Z1692" s="34"/>
      <c r="AA1692" s="35">
        <f>IF(TA[[#This Row],[Work Start time on Fault]]="NA","",(TA[[#This Row],[Fault Acknowledgement Time ]]-TA[[#This Row],[Fault Time]])*24)</f>
        <v>0</v>
      </c>
      <c r="AB1692" s="35">
        <f>(TA[[#This Row],[Work Start time on Fault]]-TA[[#This Row],[Fault Time]])*24</f>
        <v>0</v>
      </c>
      <c r="AC1692" s="34">
        <f>(TA[[#This Row],[Work Completion time on fault]]-TA[[#This Row],[Fault Time]])*24</f>
        <v>0</v>
      </c>
      <c r="AD1692" s="35">
        <f>IFERROR((TA[[#This Row],[Work Completion time on fault]]-TA[[#This Row],[Fault Time]])*24,"")</f>
        <v>0</v>
      </c>
      <c r="AE1692" t="s">
        <v>328</v>
      </c>
      <c r="AF1692" t="s">
        <v>256</v>
      </c>
      <c r="AG1692" s="2"/>
      <c r="AH1692" s="44">
        <f>1-COS(RADIANS(TA[[#This Row],[Avg. Target Angle during Fault Time (Radians)]]-TA[[#This Row],[Angle of affected equipment ]]))</f>
        <v>0.11705240714107301</v>
      </c>
      <c r="AI1692" s="35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56">
        <f t="shared" si="212"/>
        <v>2026</v>
      </c>
      <c r="C1693" s="129">
        <f t="shared" si="213"/>
        <v>2025</v>
      </c>
      <c r="D1693" s="2" t="s">
        <v>155</v>
      </c>
      <c r="E1693" s="2" t="s">
        <v>155</v>
      </c>
      <c r="F1693" s="39">
        <v>45839</v>
      </c>
      <c r="G1693" s="2">
        <f>DAY(EOMONTH(TA[[#This Row],[Month Year]],0))</f>
        <v>31</v>
      </c>
      <c r="H1693" s="21">
        <v>45866</v>
      </c>
      <c r="I1693" s="41">
        <f>IFERROR(VLOOKUP(TA[[#This Row],[Date]],Raw_Data[[Date]:[Sunset Time (POA&lt;20 W/m2)]],3,0),"")</f>
        <v>0.25624999999999998</v>
      </c>
      <c r="J1693" s="41">
        <f>IFERROR(VLOOKUP(TA[[#This Row],[Date]],Raw_Data[[Date]:[Sunset Time (POA&lt;20 W/m2)]],4,0),"")</f>
        <v>0.76944444444444449</v>
      </c>
      <c r="K1693" s="35">
        <f>IFERROR((TA[[#This Row],[Sunset Time (POA&lt;20 W/m2)]]-TA[[#This Row],[Sunrise Time (POA&gt;20 W/m2)]])*24,"")</f>
        <v>12.316666666666668</v>
      </c>
      <c r="L1693" s="2" t="s">
        <v>312</v>
      </c>
      <c r="M1693" s="42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330</v>
      </c>
      <c r="Q1693" s="2" t="s">
        <v>323</v>
      </c>
      <c r="R1693">
        <v>27</v>
      </c>
      <c r="S1693" s="2">
        <v>42</v>
      </c>
      <c r="T1693" t="s">
        <v>297</v>
      </c>
      <c r="U1693" t="s">
        <v>300</v>
      </c>
      <c r="V1693" t="s">
        <v>301</v>
      </c>
      <c r="W1693" s="41">
        <f>IFERROR(VLOOKUP(TA[[#This Row],[Date]],Raw_Data[[Date]:[Sunset Time (POA&lt;20 W/m2)]],3,0),"")</f>
        <v>0.25624999999999998</v>
      </c>
      <c r="X1693" s="41">
        <f>IFERROR(VLOOKUP(TA[[#This Row],[Date]],Raw_Data[[Date]:[Sunset Time (POA&lt;20 W/m2)]],3,0),"")</f>
        <v>0.25624999999999998</v>
      </c>
      <c r="Y1693" s="34"/>
      <c r="Z1693" s="34">
        <v>0.76041666666666663</v>
      </c>
      <c r="AA1693" s="35">
        <f>IF(TA[[#This Row],[Work Start time on Fault]]="NA","",(TA[[#This Row],[Fault Acknowledgement Time ]]-TA[[#This Row],[Fault Time]])*24)</f>
        <v>0</v>
      </c>
      <c r="AB1693" s="35">
        <f>(TA[[#This Row],[Work Start time on Fault]]-TA[[#This Row],[Fault Time]])*24</f>
        <v>-6.1499999999999995</v>
      </c>
      <c r="AC1693" s="34">
        <f>(TA[[#This Row],[Work Completion time on fault]]-TA[[#This Row],[Fault Time]])*24</f>
        <v>12.1</v>
      </c>
      <c r="AD1693" s="35">
        <f>IFERROR((TA[[#This Row],[Work Completion time on fault]]-TA[[#This Row],[Fault Time]])*24,"")</f>
        <v>12.1</v>
      </c>
      <c r="AE1693" t="s">
        <v>309</v>
      </c>
      <c r="AF1693" t="s">
        <v>256</v>
      </c>
      <c r="AG1693" s="2"/>
      <c r="AH1693" s="44">
        <f>1-COS(RADIANS(TA[[#This Row],[Avg. Target Angle during Fault Time (Radians)]]-TA[[#This Row],[Angle of affected equipment ]]))</f>
        <v>0.11705240714107301</v>
      </c>
      <c r="AI1693" s="35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56">
        <f t="shared" ref="B1694:B1706" si="214">YEAR(H1694)+IF(MONTH(H1694)&gt;=4,1,0)</f>
        <v>2026</v>
      </c>
      <c r="C1694" s="129">
        <f t="shared" ref="C1694:C1706" si="215">YEAR(H1694)</f>
        <v>2025</v>
      </c>
      <c r="D1694" s="2" t="s">
        <v>155</v>
      </c>
      <c r="E1694" s="2" t="s">
        <v>155</v>
      </c>
      <c r="F1694" s="39">
        <v>45839</v>
      </c>
      <c r="G1694" s="2">
        <f>DAY(EOMONTH(TA[[#This Row],[Month Year]],0))</f>
        <v>31</v>
      </c>
      <c r="H1694" s="21">
        <v>45867</v>
      </c>
      <c r="I1694" s="41">
        <f>IFERROR(VLOOKUP(TA[[#This Row],[Date]],Raw_Data[[Date]:[Sunset Time (POA&lt;20 W/m2)]],3,0),"")</f>
        <v>0.25555555555555554</v>
      </c>
      <c r="J1694" s="41">
        <f>IFERROR(VLOOKUP(TA[[#This Row],[Date]],Raw_Data[[Date]:[Sunset Time (POA&lt;20 W/m2)]],4,0),"")</f>
        <v>0.76458333333333328</v>
      </c>
      <c r="K1694" s="35">
        <f>IFERROR((TA[[#This Row],[Sunset Time (POA&lt;20 W/m2)]]-TA[[#This Row],[Sunrise Time (POA&gt;20 W/m2)]])*24,"")</f>
        <v>12.216666666666665</v>
      </c>
      <c r="L1694" s="2" t="s">
        <v>294</v>
      </c>
      <c r="M1694" s="42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27" t="s">
        <v>318</v>
      </c>
      <c r="Q1694" s="126" t="s">
        <v>318</v>
      </c>
      <c r="R1694">
        <v>131</v>
      </c>
      <c r="S1694" s="2">
        <v>38</v>
      </c>
      <c r="T1694" t="s">
        <v>295</v>
      </c>
      <c r="U1694" t="s">
        <v>300</v>
      </c>
      <c r="V1694" t="s">
        <v>298</v>
      </c>
      <c r="W1694" s="41"/>
      <c r="X1694" s="41"/>
      <c r="Y1694" s="34"/>
      <c r="Z1694" s="34"/>
      <c r="AA1694" s="35">
        <f>IF(TA[[#This Row],[Work Start time on Fault]]="NA","",(TA[[#This Row],[Fault Acknowledgement Time ]]-TA[[#This Row],[Fault Time]])*24)</f>
        <v>0</v>
      </c>
      <c r="AB1694" s="35">
        <f>(TA[[#This Row],[Work Start time on Fault]]-TA[[#This Row],[Fault Time]])*24</f>
        <v>0</v>
      </c>
      <c r="AC1694" s="34">
        <f>(TA[[#This Row],[Work Completion time on fault]]-TA[[#This Row],[Fault Time]])*24</f>
        <v>0</v>
      </c>
      <c r="AD1694" s="35">
        <f>IFERROR((TA[[#This Row],[Work Completion time on fault]]-TA[[#This Row],[Fault Time]])*24,"")</f>
        <v>0</v>
      </c>
      <c r="AE1694" t="s">
        <v>328</v>
      </c>
      <c r="AF1694" t="s">
        <v>256</v>
      </c>
      <c r="AG1694" s="2"/>
      <c r="AH1694" s="44">
        <f>1-COS(RADIANS(TA[[#This Row],[Avg. Target Angle during Fault Time (Radians)]]-TA[[#This Row],[Angle of affected equipment ]]))</f>
        <v>0.11705240714107301</v>
      </c>
      <c r="AI1694" s="35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56">
        <f t="shared" si="214"/>
        <v>2026</v>
      </c>
      <c r="C1695" s="129">
        <f t="shared" si="215"/>
        <v>2025</v>
      </c>
      <c r="D1695" s="2" t="s">
        <v>155</v>
      </c>
      <c r="E1695" s="2" t="s">
        <v>155</v>
      </c>
      <c r="F1695" s="39">
        <v>45839</v>
      </c>
      <c r="G1695" s="2">
        <f>DAY(EOMONTH(TA[[#This Row],[Month Year]],0))</f>
        <v>31</v>
      </c>
      <c r="H1695" s="21">
        <v>45867</v>
      </c>
      <c r="I1695" s="41">
        <f>IFERROR(VLOOKUP(TA[[#This Row],[Date]],Raw_Data[[Date]:[Sunset Time (POA&lt;20 W/m2)]],3,0),"")</f>
        <v>0.25555555555555554</v>
      </c>
      <c r="J1695" s="41">
        <f>IFERROR(VLOOKUP(TA[[#This Row],[Date]],Raw_Data[[Date]:[Sunset Time (POA&lt;20 W/m2)]],4,0),"")</f>
        <v>0.76458333333333328</v>
      </c>
      <c r="K1695" s="35">
        <f>IFERROR((TA[[#This Row],[Sunset Time (POA&lt;20 W/m2)]]-TA[[#This Row],[Sunrise Time (POA&gt;20 W/m2)]])*24,"")</f>
        <v>12.216666666666665</v>
      </c>
      <c r="L1695" s="2" t="s">
        <v>294</v>
      </c>
      <c r="M1695" s="42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27" t="s">
        <v>318</v>
      </c>
      <c r="Q1695" s="126" t="s">
        <v>318</v>
      </c>
      <c r="R1695">
        <v>131</v>
      </c>
      <c r="S1695" s="2">
        <v>39</v>
      </c>
      <c r="T1695" t="s">
        <v>295</v>
      </c>
      <c r="U1695" t="s">
        <v>300</v>
      </c>
      <c r="V1695" t="s">
        <v>298</v>
      </c>
      <c r="W1695" s="41"/>
      <c r="X1695" s="41"/>
      <c r="Y1695" s="34"/>
      <c r="Z1695" s="34"/>
      <c r="AA1695" s="35">
        <f>IF(TA[[#This Row],[Work Start time on Fault]]="NA","",(TA[[#This Row],[Fault Acknowledgement Time ]]-TA[[#This Row],[Fault Time]])*24)</f>
        <v>0</v>
      </c>
      <c r="AB1695" s="35">
        <f>(TA[[#This Row],[Work Start time on Fault]]-TA[[#This Row],[Fault Time]])*24</f>
        <v>0</v>
      </c>
      <c r="AC1695" s="34">
        <f>(TA[[#This Row],[Work Completion time on fault]]-TA[[#This Row],[Fault Time]])*24</f>
        <v>0</v>
      </c>
      <c r="AD1695" s="35">
        <f>IFERROR((TA[[#This Row],[Work Completion time on fault]]-TA[[#This Row],[Fault Time]])*24,"")</f>
        <v>0</v>
      </c>
      <c r="AE1695" t="s">
        <v>328</v>
      </c>
      <c r="AF1695" t="s">
        <v>256</v>
      </c>
      <c r="AG1695" s="2"/>
      <c r="AH1695" s="44">
        <f>1-COS(RADIANS(TA[[#This Row],[Avg. Target Angle during Fault Time (Radians)]]-TA[[#This Row],[Angle of affected equipment ]]))</f>
        <v>0.11705240714107301</v>
      </c>
      <c r="AI1695" s="35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56">
        <f t="shared" si="214"/>
        <v>2026</v>
      </c>
      <c r="C1696" s="129">
        <f t="shared" si="215"/>
        <v>2025</v>
      </c>
      <c r="D1696" s="2" t="s">
        <v>155</v>
      </c>
      <c r="E1696" s="2" t="s">
        <v>155</v>
      </c>
      <c r="F1696" s="39">
        <v>45839</v>
      </c>
      <c r="G1696" s="2">
        <f>DAY(EOMONTH(TA[[#This Row],[Month Year]],0))</f>
        <v>31</v>
      </c>
      <c r="H1696" s="21">
        <v>45867</v>
      </c>
      <c r="I1696" s="41">
        <f>IFERROR(VLOOKUP(TA[[#This Row],[Date]],Raw_Data[[Date]:[Sunset Time (POA&lt;20 W/m2)]],3,0),"")</f>
        <v>0.25555555555555554</v>
      </c>
      <c r="J1696" s="41">
        <f>IFERROR(VLOOKUP(TA[[#This Row],[Date]],Raw_Data[[Date]:[Sunset Time (POA&lt;20 W/m2)]],4,0),"")</f>
        <v>0.76458333333333328</v>
      </c>
      <c r="K1696" s="35">
        <f>IFERROR((TA[[#This Row],[Sunset Time (POA&lt;20 W/m2)]]-TA[[#This Row],[Sunrise Time (POA&gt;20 W/m2)]])*24,"")</f>
        <v>12.216666666666665</v>
      </c>
      <c r="L1696" s="2" t="s">
        <v>296</v>
      </c>
      <c r="M1696" s="42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27" t="s">
        <v>318</v>
      </c>
      <c r="Q1696" s="2" t="s">
        <v>321</v>
      </c>
      <c r="R1696">
        <v>133</v>
      </c>
      <c r="S1696" s="2">
        <v>26</v>
      </c>
      <c r="T1696" t="s">
        <v>297</v>
      </c>
      <c r="U1696" t="s">
        <v>300</v>
      </c>
      <c r="V1696" t="s">
        <v>314</v>
      </c>
      <c r="W1696" s="41">
        <f>IFERROR(VLOOKUP(TA[[#This Row],[Date]],Raw_Data[[Date]:[Sunset Time (POA&lt;20 W/m2)]],3,0),"")</f>
        <v>0.25555555555555554</v>
      </c>
      <c r="X1696" s="41">
        <f>IFERROR(VLOOKUP(TA[[#This Row],[Date]],Raw_Data[[Date]:[Sunset Time (POA&lt;20 W/m2)]],3,0),"")</f>
        <v>0.25555555555555554</v>
      </c>
      <c r="Y1696" s="34"/>
      <c r="Z1696" s="34">
        <v>0.76041666666666663</v>
      </c>
      <c r="AA1696" s="35">
        <f>IF(TA[[#This Row],[Work Start time on Fault]]="NA","",(TA[[#This Row],[Fault Acknowledgement Time ]]-TA[[#This Row],[Fault Time]])*24)</f>
        <v>0</v>
      </c>
      <c r="AB1696" s="35">
        <f>(TA[[#This Row],[Work Start time on Fault]]-TA[[#This Row],[Fault Time]])*24</f>
        <v>-6.1333333333333329</v>
      </c>
      <c r="AC1696" s="34">
        <f>(TA[[#This Row],[Work Completion time on fault]]-TA[[#This Row],[Fault Time]])*24</f>
        <v>12.116666666666667</v>
      </c>
      <c r="AD1696" s="35">
        <f>IFERROR((TA[[#This Row],[Work Completion time on fault]]-TA[[#This Row],[Fault Time]])*24,"")</f>
        <v>12.116666666666667</v>
      </c>
      <c r="AE1696" t="s">
        <v>328</v>
      </c>
      <c r="AF1696" t="s">
        <v>256</v>
      </c>
      <c r="AG1696" s="2"/>
      <c r="AH1696" s="44">
        <f>1-COS(RADIANS(TA[[#This Row],[Avg. Target Angle during Fault Time (Radians)]]-TA[[#This Row],[Angle of affected equipment ]]))</f>
        <v>0.11705240714107301</v>
      </c>
      <c r="AI1696" s="35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56">
        <f t="shared" si="214"/>
        <v>2026</v>
      </c>
      <c r="C1697" s="129">
        <f t="shared" si="215"/>
        <v>2025</v>
      </c>
      <c r="D1697" s="2" t="s">
        <v>155</v>
      </c>
      <c r="E1697" s="2" t="s">
        <v>155</v>
      </c>
      <c r="F1697" s="39">
        <v>45839</v>
      </c>
      <c r="G1697" s="2">
        <f>DAY(EOMONTH(TA[[#This Row],[Month Year]],0))</f>
        <v>31</v>
      </c>
      <c r="H1697" s="21">
        <v>45867</v>
      </c>
      <c r="I1697" s="41">
        <f>IFERROR(VLOOKUP(TA[[#This Row],[Date]],Raw_Data[[Date]:[Sunset Time (POA&lt;20 W/m2)]],3,0),"")</f>
        <v>0.25555555555555554</v>
      </c>
      <c r="J1697" s="41">
        <f>IFERROR(VLOOKUP(TA[[#This Row],[Date]],Raw_Data[[Date]:[Sunset Time (POA&lt;20 W/m2)]],4,0),"")</f>
        <v>0.76458333333333328</v>
      </c>
      <c r="K1697" s="35">
        <f>IFERROR((TA[[#This Row],[Sunset Time (POA&lt;20 W/m2)]]-TA[[#This Row],[Sunrise Time (POA&gt;20 W/m2)]])*24,"")</f>
        <v>12.216666666666665</v>
      </c>
      <c r="L1697" s="2" t="s">
        <v>294</v>
      </c>
      <c r="M1697" s="42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27" t="s">
        <v>316</v>
      </c>
      <c r="Q1697" s="126" t="s">
        <v>317</v>
      </c>
      <c r="R1697">
        <v>7</v>
      </c>
      <c r="S1697" s="2">
        <v>32</v>
      </c>
      <c r="T1697" t="s">
        <v>295</v>
      </c>
      <c r="U1697" t="s">
        <v>300</v>
      </c>
      <c r="V1697" t="s">
        <v>298</v>
      </c>
      <c r="W1697" s="41"/>
      <c r="X1697" s="41"/>
      <c r="Y1697" s="34"/>
      <c r="Z1697" s="34"/>
      <c r="AA1697" s="35">
        <f>IF(TA[[#This Row],[Work Start time on Fault]]="NA","",(TA[[#This Row],[Fault Acknowledgement Time ]]-TA[[#This Row],[Fault Time]])*24)</f>
        <v>0</v>
      </c>
      <c r="AB1697" s="35">
        <f>(TA[[#This Row],[Work Start time on Fault]]-TA[[#This Row],[Fault Time]])*24</f>
        <v>0</v>
      </c>
      <c r="AC1697" s="34">
        <f>(TA[[#This Row],[Work Completion time on fault]]-TA[[#This Row],[Fault Time]])*24</f>
        <v>0</v>
      </c>
      <c r="AD1697" s="35">
        <f>IFERROR((TA[[#This Row],[Work Completion time on fault]]-TA[[#This Row],[Fault Time]])*24,"")</f>
        <v>0</v>
      </c>
      <c r="AE1697" t="s">
        <v>328</v>
      </c>
      <c r="AF1697" t="s">
        <v>256</v>
      </c>
      <c r="AG1697" s="2"/>
      <c r="AH1697" s="44">
        <f>1-COS(RADIANS(TA[[#This Row],[Avg. Target Angle during Fault Time (Radians)]]-TA[[#This Row],[Angle of affected equipment ]]))</f>
        <v>0.11705240714107301</v>
      </c>
      <c r="AI1697" s="35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56">
        <f t="shared" si="214"/>
        <v>2026</v>
      </c>
      <c r="C1698" s="129">
        <f t="shared" si="215"/>
        <v>2025</v>
      </c>
      <c r="D1698" s="2" t="s">
        <v>155</v>
      </c>
      <c r="E1698" s="2" t="s">
        <v>155</v>
      </c>
      <c r="F1698" s="39">
        <v>45839</v>
      </c>
      <c r="G1698" s="2">
        <f>DAY(EOMONTH(TA[[#This Row],[Month Year]],0))</f>
        <v>31</v>
      </c>
      <c r="H1698" s="21">
        <v>45867</v>
      </c>
      <c r="I1698" s="41">
        <f>IFERROR(VLOOKUP(TA[[#This Row],[Date]],Raw_Data[[Date]:[Sunset Time (POA&lt;20 W/m2)]],3,0),"")</f>
        <v>0.25555555555555554</v>
      </c>
      <c r="J1698" s="41">
        <f>IFERROR(VLOOKUP(TA[[#This Row],[Date]],Raw_Data[[Date]:[Sunset Time (POA&lt;20 W/m2)]],4,0),"")</f>
        <v>0.76458333333333328</v>
      </c>
      <c r="K1698" s="35">
        <f>IFERROR((TA[[#This Row],[Sunset Time (POA&lt;20 W/m2)]]-TA[[#This Row],[Sunrise Time (POA&gt;20 W/m2)]])*24,"")</f>
        <v>12.216666666666665</v>
      </c>
      <c r="L1698" s="2" t="s">
        <v>294</v>
      </c>
      <c r="M1698" s="42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27" t="s">
        <v>315</v>
      </c>
      <c r="Q1698" s="126" t="s">
        <v>319</v>
      </c>
      <c r="R1698">
        <v>166</v>
      </c>
      <c r="S1698" s="2">
        <v>91</v>
      </c>
      <c r="T1698" t="s">
        <v>295</v>
      </c>
      <c r="U1698" t="s">
        <v>300</v>
      </c>
      <c r="V1698" t="s">
        <v>298</v>
      </c>
      <c r="W1698" s="41"/>
      <c r="X1698" s="41"/>
      <c r="Y1698" s="34"/>
      <c r="Z1698" s="34"/>
      <c r="AA1698" s="35">
        <f>IF(TA[[#This Row],[Work Start time on Fault]]="NA","",(TA[[#This Row],[Fault Acknowledgement Time ]]-TA[[#This Row],[Fault Time]])*24)</f>
        <v>0</v>
      </c>
      <c r="AB1698" s="35">
        <f>(TA[[#This Row],[Work Start time on Fault]]-TA[[#This Row],[Fault Time]])*24</f>
        <v>0</v>
      </c>
      <c r="AC1698" s="34">
        <f>(TA[[#This Row],[Work Completion time on fault]]-TA[[#This Row],[Fault Time]])*24</f>
        <v>0</v>
      </c>
      <c r="AD1698" s="35">
        <f>IFERROR((TA[[#This Row],[Work Completion time on fault]]-TA[[#This Row],[Fault Time]])*24,"")</f>
        <v>0</v>
      </c>
      <c r="AE1698" t="s">
        <v>328</v>
      </c>
      <c r="AF1698" t="s">
        <v>256</v>
      </c>
      <c r="AG1698" s="2"/>
      <c r="AH1698" s="44">
        <f>1-COS(RADIANS(TA[[#This Row],[Avg. Target Angle during Fault Time (Radians)]]-TA[[#This Row],[Angle of affected equipment ]]))</f>
        <v>0.11705240714107301</v>
      </c>
      <c r="AI1698" s="35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56">
        <f t="shared" si="214"/>
        <v>2026</v>
      </c>
      <c r="C1699" s="129">
        <f t="shared" si="215"/>
        <v>2025</v>
      </c>
      <c r="D1699" s="2" t="s">
        <v>155</v>
      </c>
      <c r="E1699" s="2" t="s">
        <v>155</v>
      </c>
      <c r="F1699" s="39">
        <v>45839</v>
      </c>
      <c r="G1699" s="2">
        <f>DAY(EOMONTH(TA[[#This Row],[Month Year]],0))</f>
        <v>31</v>
      </c>
      <c r="H1699" s="21">
        <v>45867</v>
      </c>
      <c r="I1699" s="41">
        <f>IFERROR(VLOOKUP(TA[[#This Row],[Date]],Raw_Data[[Date]:[Sunset Time (POA&lt;20 W/m2)]],3,0),"")</f>
        <v>0.25555555555555554</v>
      </c>
      <c r="J1699" s="41">
        <f>IFERROR(VLOOKUP(TA[[#This Row],[Date]],Raw_Data[[Date]:[Sunset Time (POA&lt;20 W/m2)]],4,0),"")</f>
        <v>0.76458333333333328</v>
      </c>
      <c r="K1699" s="35">
        <f>IFERROR((TA[[#This Row],[Sunset Time (POA&lt;20 W/m2)]]-TA[[#This Row],[Sunrise Time (POA&gt;20 W/m2)]])*24,"")</f>
        <v>12.216666666666665</v>
      </c>
      <c r="L1699" s="2" t="s">
        <v>294</v>
      </c>
      <c r="M1699" s="42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27" t="s">
        <v>316</v>
      </c>
      <c r="Q1699" s="126" t="s">
        <v>316</v>
      </c>
      <c r="R1699">
        <v>117</v>
      </c>
      <c r="S1699" s="2">
        <v>20</v>
      </c>
      <c r="T1699" t="s">
        <v>295</v>
      </c>
      <c r="U1699" t="s">
        <v>300</v>
      </c>
      <c r="V1699" t="s">
        <v>298</v>
      </c>
      <c r="W1699" s="41"/>
      <c r="X1699" s="41"/>
      <c r="Y1699" s="34"/>
      <c r="Z1699" s="34"/>
      <c r="AA1699" s="35">
        <f>IF(TA[[#This Row],[Work Start time on Fault]]="NA","",(TA[[#This Row],[Fault Acknowledgement Time ]]-TA[[#This Row],[Fault Time]])*24)</f>
        <v>0</v>
      </c>
      <c r="AB1699" s="35">
        <f>(TA[[#This Row],[Work Start time on Fault]]-TA[[#This Row],[Fault Time]])*24</f>
        <v>0</v>
      </c>
      <c r="AC1699" s="34">
        <f>(TA[[#This Row],[Work Completion time on fault]]-TA[[#This Row],[Fault Time]])*24</f>
        <v>0</v>
      </c>
      <c r="AD1699" s="35">
        <f>IFERROR((TA[[#This Row],[Work Completion time on fault]]-TA[[#This Row],[Fault Time]])*24,"")</f>
        <v>0</v>
      </c>
      <c r="AE1699" t="s">
        <v>328</v>
      </c>
      <c r="AF1699" t="s">
        <v>256</v>
      </c>
      <c r="AG1699" s="2"/>
      <c r="AH1699" s="44">
        <f>1-COS(RADIANS(TA[[#This Row],[Avg. Target Angle during Fault Time (Radians)]]-TA[[#This Row],[Angle of affected equipment ]]))</f>
        <v>0.11705240714107301</v>
      </c>
      <c r="AI1699" s="35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56">
        <f t="shared" si="214"/>
        <v>2026</v>
      </c>
      <c r="C1700" s="129">
        <f t="shared" si="215"/>
        <v>2025</v>
      </c>
      <c r="D1700" s="2" t="s">
        <v>155</v>
      </c>
      <c r="E1700" s="2" t="s">
        <v>155</v>
      </c>
      <c r="F1700" s="39">
        <v>45839</v>
      </c>
      <c r="G1700" s="2">
        <f>DAY(EOMONTH(TA[[#This Row],[Month Year]],0))</f>
        <v>31</v>
      </c>
      <c r="H1700" s="21">
        <v>45867</v>
      </c>
      <c r="I1700" s="41">
        <f>IFERROR(VLOOKUP(TA[[#This Row],[Date]],Raw_Data[[Date]:[Sunset Time (POA&lt;20 W/m2)]],3,0),"")</f>
        <v>0.25555555555555554</v>
      </c>
      <c r="J1700" s="41">
        <f>IFERROR(VLOOKUP(TA[[#This Row],[Date]],Raw_Data[[Date]:[Sunset Time (POA&lt;20 W/m2)]],4,0),"")</f>
        <v>0.76458333333333328</v>
      </c>
      <c r="K1700" s="35">
        <f>IFERROR((TA[[#This Row],[Sunset Time (POA&lt;20 W/m2)]]-TA[[#This Row],[Sunrise Time (POA&gt;20 W/m2)]])*24,"")</f>
        <v>12.216666666666665</v>
      </c>
      <c r="L1700" s="2" t="s">
        <v>294</v>
      </c>
      <c r="M1700" s="42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27" t="s">
        <v>316</v>
      </c>
      <c r="Q1700" s="126" t="s">
        <v>316</v>
      </c>
      <c r="R1700">
        <v>118</v>
      </c>
      <c r="S1700" s="2">
        <v>22</v>
      </c>
      <c r="T1700" t="s">
        <v>295</v>
      </c>
      <c r="U1700" t="s">
        <v>300</v>
      </c>
      <c r="V1700" t="s">
        <v>298</v>
      </c>
      <c r="W1700" s="41"/>
      <c r="X1700" s="41"/>
      <c r="Y1700" s="34"/>
      <c r="Z1700" s="34"/>
      <c r="AA1700" s="35">
        <f>IF(TA[[#This Row],[Work Start time on Fault]]="NA","",(TA[[#This Row],[Fault Acknowledgement Time ]]-TA[[#This Row],[Fault Time]])*24)</f>
        <v>0</v>
      </c>
      <c r="AB1700" s="35">
        <f>(TA[[#This Row],[Work Start time on Fault]]-TA[[#This Row],[Fault Time]])*24</f>
        <v>0</v>
      </c>
      <c r="AC1700" s="34">
        <f>(TA[[#This Row],[Work Completion time on fault]]-TA[[#This Row],[Fault Time]])*24</f>
        <v>0</v>
      </c>
      <c r="AD1700" s="35">
        <f>IFERROR((TA[[#This Row],[Work Completion time on fault]]-TA[[#This Row],[Fault Time]])*24,"")</f>
        <v>0</v>
      </c>
      <c r="AE1700" t="s">
        <v>328</v>
      </c>
      <c r="AF1700" t="s">
        <v>256</v>
      </c>
      <c r="AG1700" s="2"/>
      <c r="AH1700" s="44">
        <f>1-COS(RADIANS(TA[[#This Row],[Avg. Target Angle during Fault Time (Radians)]]-TA[[#This Row],[Angle of affected equipment ]]))</f>
        <v>0.11705240714107301</v>
      </c>
      <c r="AI1700" s="35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56">
        <f t="shared" si="214"/>
        <v>2026</v>
      </c>
      <c r="C1701" s="129">
        <f t="shared" si="215"/>
        <v>2025</v>
      </c>
      <c r="D1701" s="2" t="s">
        <v>155</v>
      </c>
      <c r="E1701" s="2" t="s">
        <v>155</v>
      </c>
      <c r="F1701" s="39">
        <v>45839</v>
      </c>
      <c r="G1701" s="2">
        <f>DAY(EOMONTH(TA[[#This Row],[Month Year]],0))</f>
        <v>31</v>
      </c>
      <c r="H1701" s="21">
        <v>45867</v>
      </c>
      <c r="I1701" s="41">
        <f>IFERROR(VLOOKUP(TA[[#This Row],[Date]],Raw_Data[[Date]:[Sunset Time (POA&lt;20 W/m2)]],3,0),"")</f>
        <v>0.25555555555555554</v>
      </c>
      <c r="J1701" s="41">
        <f>IFERROR(VLOOKUP(TA[[#This Row],[Date]],Raw_Data[[Date]:[Sunset Time (POA&lt;20 W/m2)]],4,0),"")</f>
        <v>0.76458333333333328</v>
      </c>
      <c r="K1701" s="35">
        <f>IFERROR((TA[[#This Row],[Sunset Time (POA&lt;20 W/m2)]]-TA[[#This Row],[Sunrise Time (POA&gt;20 W/m2)]])*24,"")</f>
        <v>12.216666666666665</v>
      </c>
      <c r="L1701" s="2" t="s">
        <v>296</v>
      </c>
      <c r="M1701" s="42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323</v>
      </c>
      <c r="Q1701" s="2" t="s">
        <v>329</v>
      </c>
      <c r="R1701">
        <v>45</v>
      </c>
      <c r="S1701" s="2">
        <v>8</v>
      </c>
      <c r="T1701" t="s">
        <v>297</v>
      </c>
      <c r="U1701" t="s">
        <v>300</v>
      </c>
      <c r="V1701" t="s">
        <v>301</v>
      </c>
      <c r="W1701" s="41"/>
      <c r="X1701" s="41"/>
      <c r="Y1701" s="34"/>
      <c r="Z1701" s="34"/>
      <c r="AA1701" s="35">
        <f>IF(TA[[#This Row],[Work Start time on Fault]]="NA","",(TA[[#This Row],[Fault Acknowledgement Time ]]-TA[[#This Row],[Fault Time]])*24)</f>
        <v>0</v>
      </c>
      <c r="AB1701" s="35">
        <f>(TA[[#This Row],[Work Start time on Fault]]-TA[[#This Row],[Fault Time]])*24</f>
        <v>0</v>
      </c>
      <c r="AC1701" s="34">
        <f>(TA[[#This Row],[Work Completion time on fault]]-TA[[#This Row],[Fault Time]])*24</f>
        <v>0</v>
      </c>
      <c r="AD1701" s="35">
        <f>IFERROR((TA[[#This Row],[Work Completion time on fault]]-TA[[#This Row],[Fault Time]])*24,"")</f>
        <v>0</v>
      </c>
      <c r="AE1701" t="s">
        <v>328</v>
      </c>
      <c r="AF1701" t="s">
        <v>256</v>
      </c>
      <c r="AG1701" s="2"/>
      <c r="AH1701" s="44">
        <f>1-COS(RADIANS(TA[[#This Row],[Avg. Target Angle during Fault Time (Radians)]]-TA[[#This Row],[Angle of affected equipment ]]))</f>
        <v>0.11705240714107301</v>
      </c>
      <c r="AI1701" s="35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56">
        <f t="shared" si="214"/>
        <v>2026</v>
      </c>
      <c r="C1702" s="129">
        <f t="shared" si="215"/>
        <v>2025</v>
      </c>
      <c r="D1702" s="2" t="s">
        <v>155</v>
      </c>
      <c r="E1702" s="2" t="s">
        <v>155</v>
      </c>
      <c r="F1702" s="39">
        <v>45839</v>
      </c>
      <c r="G1702" s="2">
        <f>DAY(EOMONTH(TA[[#This Row],[Month Year]],0))</f>
        <v>31</v>
      </c>
      <c r="H1702" s="21">
        <v>45867</v>
      </c>
      <c r="I1702" s="41">
        <f>IFERROR(VLOOKUP(TA[[#This Row],[Date]],Raw_Data[[Date]:[Sunset Time (POA&lt;20 W/m2)]],3,0),"")</f>
        <v>0.25555555555555554</v>
      </c>
      <c r="J1702" s="41">
        <f>IFERROR(VLOOKUP(TA[[#This Row],[Date]],Raw_Data[[Date]:[Sunset Time (POA&lt;20 W/m2)]],4,0),"")</f>
        <v>0.76458333333333328</v>
      </c>
      <c r="K1702" s="35">
        <f>IFERROR((TA[[#This Row],[Sunset Time (POA&lt;20 W/m2)]]-TA[[#This Row],[Sunrise Time (POA&gt;20 W/m2)]])*24,"")</f>
        <v>12.216666666666665</v>
      </c>
      <c r="L1702" s="2" t="s">
        <v>296</v>
      </c>
      <c r="M1702" s="42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323</v>
      </c>
      <c r="Q1702" s="2" t="s">
        <v>329</v>
      </c>
      <c r="R1702">
        <v>47</v>
      </c>
      <c r="S1702" s="2">
        <v>18</v>
      </c>
      <c r="T1702" t="s">
        <v>297</v>
      </c>
      <c r="U1702" t="s">
        <v>300</v>
      </c>
      <c r="V1702" t="s">
        <v>301</v>
      </c>
      <c r="W1702" s="41"/>
      <c r="X1702" s="41"/>
      <c r="Y1702" s="34"/>
      <c r="Z1702" s="34"/>
      <c r="AA1702" s="35">
        <f>IF(TA[[#This Row],[Work Start time on Fault]]="NA","",(TA[[#This Row],[Fault Acknowledgement Time ]]-TA[[#This Row],[Fault Time]])*24)</f>
        <v>0</v>
      </c>
      <c r="AB1702" s="35">
        <f>(TA[[#This Row],[Work Start time on Fault]]-TA[[#This Row],[Fault Time]])*24</f>
        <v>0</v>
      </c>
      <c r="AC1702" s="34">
        <f>(TA[[#This Row],[Work Completion time on fault]]-TA[[#This Row],[Fault Time]])*24</f>
        <v>0</v>
      </c>
      <c r="AD1702" s="35">
        <f>IFERROR((TA[[#This Row],[Work Completion time on fault]]-TA[[#This Row],[Fault Time]])*24,"")</f>
        <v>0</v>
      </c>
      <c r="AE1702" t="s">
        <v>328</v>
      </c>
      <c r="AF1702" t="s">
        <v>256</v>
      </c>
      <c r="AG1702" s="2"/>
      <c r="AH1702" s="44">
        <f>1-COS(RADIANS(TA[[#This Row],[Avg. Target Angle during Fault Time (Radians)]]-TA[[#This Row],[Angle of affected equipment ]]))</f>
        <v>0.11705240714107301</v>
      </c>
      <c r="AI1702" s="35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56">
        <f t="shared" si="214"/>
        <v>2026</v>
      </c>
      <c r="C1703" s="129">
        <f t="shared" si="215"/>
        <v>2025</v>
      </c>
      <c r="D1703" s="2" t="s">
        <v>155</v>
      </c>
      <c r="E1703" s="2" t="s">
        <v>155</v>
      </c>
      <c r="F1703" s="39">
        <v>45839</v>
      </c>
      <c r="G1703" s="2">
        <f>DAY(EOMONTH(TA[[#This Row],[Month Year]],0))</f>
        <v>31</v>
      </c>
      <c r="H1703" s="21">
        <v>45867</v>
      </c>
      <c r="I1703" s="41">
        <f>IFERROR(VLOOKUP(TA[[#This Row],[Date]],Raw_Data[[Date]:[Sunset Time (POA&lt;20 W/m2)]],3,0),"")</f>
        <v>0.25555555555555554</v>
      </c>
      <c r="J1703" s="41">
        <f>IFERROR(VLOOKUP(TA[[#This Row],[Date]],Raw_Data[[Date]:[Sunset Time (POA&lt;20 W/m2)]],4,0),"")</f>
        <v>0.76458333333333328</v>
      </c>
      <c r="K1703" s="35">
        <f>IFERROR((TA[[#This Row],[Sunset Time (POA&lt;20 W/m2)]]-TA[[#This Row],[Sunrise Time (POA&gt;20 W/m2)]])*24,"")</f>
        <v>12.216666666666665</v>
      </c>
      <c r="L1703" s="2" t="s">
        <v>296</v>
      </c>
      <c r="M1703" s="42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330</v>
      </c>
      <c r="Q1703" s="2" t="s">
        <v>323</v>
      </c>
      <c r="R1703">
        <v>30</v>
      </c>
      <c r="S1703" s="2">
        <v>57</v>
      </c>
      <c r="T1703" t="s">
        <v>297</v>
      </c>
      <c r="U1703" t="s">
        <v>300</v>
      </c>
      <c r="V1703" t="s">
        <v>301</v>
      </c>
      <c r="W1703" s="41"/>
      <c r="X1703" s="41"/>
      <c r="Y1703" s="34"/>
      <c r="Z1703" s="34"/>
      <c r="AA1703" s="35">
        <f>IF(TA[[#This Row],[Work Start time on Fault]]="NA","",(TA[[#This Row],[Fault Acknowledgement Time ]]-TA[[#This Row],[Fault Time]])*24)</f>
        <v>0</v>
      </c>
      <c r="AB1703" s="35">
        <f>(TA[[#This Row],[Work Start time on Fault]]-TA[[#This Row],[Fault Time]])*24</f>
        <v>0</v>
      </c>
      <c r="AC1703" s="34">
        <f>(TA[[#This Row],[Work Completion time on fault]]-TA[[#This Row],[Fault Time]])*24</f>
        <v>0</v>
      </c>
      <c r="AD1703" s="35">
        <f>IFERROR((TA[[#This Row],[Work Completion time on fault]]-TA[[#This Row],[Fault Time]])*24,"")</f>
        <v>0</v>
      </c>
      <c r="AE1703" t="s">
        <v>328</v>
      </c>
      <c r="AF1703" t="s">
        <v>256</v>
      </c>
      <c r="AG1703" s="2"/>
      <c r="AH1703" s="44">
        <f>1-COS(RADIANS(TA[[#This Row],[Avg. Target Angle during Fault Time (Radians)]]-TA[[#This Row],[Angle of affected equipment ]]))</f>
        <v>0.11705240714107301</v>
      </c>
      <c r="AI1703" s="35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56">
        <f t="shared" si="214"/>
        <v>2026</v>
      </c>
      <c r="C1704" s="129">
        <f t="shared" si="215"/>
        <v>2025</v>
      </c>
      <c r="D1704" s="2" t="s">
        <v>155</v>
      </c>
      <c r="E1704" s="2" t="s">
        <v>155</v>
      </c>
      <c r="F1704" s="39">
        <v>45839</v>
      </c>
      <c r="G1704" s="2">
        <f>DAY(EOMONTH(TA[[#This Row],[Month Year]],0))</f>
        <v>31</v>
      </c>
      <c r="H1704" s="21">
        <v>45867</v>
      </c>
      <c r="I1704" s="41">
        <f>IFERROR(VLOOKUP(TA[[#This Row],[Date]],Raw_Data[[Date]:[Sunset Time (POA&lt;20 W/m2)]],3,0),"")</f>
        <v>0.25555555555555554</v>
      </c>
      <c r="J1704" s="41">
        <f>IFERROR(VLOOKUP(TA[[#This Row],[Date]],Raw_Data[[Date]:[Sunset Time (POA&lt;20 W/m2)]],4,0),"")</f>
        <v>0.76458333333333328</v>
      </c>
      <c r="K1704" s="35">
        <f>IFERROR((TA[[#This Row],[Sunset Time (POA&lt;20 W/m2)]]-TA[[#This Row],[Sunrise Time (POA&gt;20 W/m2)]])*24,"")</f>
        <v>12.216666666666665</v>
      </c>
      <c r="L1704" s="2" t="s">
        <v>296</v>
      </c>
      <c r="M1704" s="42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330</v>
      </c>
      <c r="Q1704" s="2" t="s">
        <v>323</v>
      </c>
      <c r="R1704">
        <v>31</v>
      </c>
      <c r="S1704" s="2">
        <v>61</v>
      </c>
      <c r="T1704" t="s">
        <v>297</v>
      </c>
      <c r="U1704" t="s">
        <v>300</v>
      </c>
      <c r="V1704" t="s">
        <v>301</v>
      </c>
      <c r="W1704" s="41"/>
      <c r="X1704" s="41"/>
      <c r="Y1704" s="34"/>
      <c r="Z1704" s="34"/>
      <c r="AA1704" s="35">
        <f>IF(TA[[#This Row],[Work Start time on Fault]]="NA","",(TA[[#This Row],[Fault Acknowledgement Time ]]-TA[[#This Row],[Fault Time]])*24)</f>
        <v>0</v>
      </c>
      <c r="AB1704" s="35">
        <f>(TA[[#This Row],[Work Start time on Fault]]-TA[[#This Row],[Fault Time]])*24</f>
        <v>0</v>
      </c>
      <c r="AC1704" s="34">
        <f>(TA[[#This Row],[Work Completion time on fault]]-TA[[#This Row],[Fault Time]])*24</f>
        <v>0</v>
      </c>
      <c r="AD1704" s="35">
        <f>IFERROR((TA[[#This Row],[Work Completion time on fault]]-TA[[#This Row],[Fault Time]])*24,"")</f>
        <v>0</v>
      </c>
      <c r="AE1704" t="s">
        <v>328</v>
      </c>
      <c r="AF1704" t="s">
        <v>256</v>
      </c>
      <c r="AG1704" s="2"/>
      <c r="AH1704" s="44">
        <f>1-COS(RADIANS(TA[[#This Row],[Avg. Target Angle during Fault Time (Radians)]]-TA[[#This Row],[Angle of affected equipment ]]))</f>
        <v>0.11705240714107301</v>
      </c>
      <c r="AI1704" s="35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56">
        <f t="shared" si="214"/>
        <v>2026</v>
      </c>
      <c r="C1705" s="129">
        <f t="shared" si="215"/>
        <v>2025</v>
      </c>
      <c r="D1705" s="2" t="s">
        <v>155</v>
      </c>
      <c r="E1705" s="2" t="s">
        <v>155</v>
      </c>
      <c r="F1705" s="39">
        <v>45839</v>
      </c>
      <c r="G1705" s="2">
        <f>DAY(EOMONTH(TA[[#This Row],[Month Year]],0))</f>
        <v>31</v>
      </c>
      <c r="H1705" s="21">
        <v>45867</v>
      </c>
      <c r="I1705" s="41">
        <f>IFERROR(VLOOKUP(TA[[#This Row],[Date]],Raw_Data[[Date]:[Sunset Time (POA&lt;20 W/m2)]],3,0),"")</f>
        <v>0.25555555555555554</v>
      </c>
      <c r="J1705" s="41">
        <f>IFERROR(VLOOKUP(TA[[#This Row],[Date]],Raw_Data[[Date]:[Sunset Time (POA&lt;20 W/m2)]],4,0),"")</f>
        <v>0.76458333333333328</v>
      </c>
      <c r="K1705" s="35">
        <f>IFERROR((TA[[#This Row],[Sunset Time (POA&lt;20 W/m2)]]-TA[[#This Row],[Sunrise Time (POA&gt;20 W/m2)]])*24,"")</f>
        <v>12.216666666666665</v>
      </c>
      <c r="L1705" s="2" t="s">
        <v>312</v>
      </c>
      <c r="M1705" s="42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330</v>
      </c>
      <c r="Q1705" s="2" t="s">
        <v>323</v>
      </c>
      <c r="R1705">
        <v>26</v>
      </c>
      <c r="S1705" s="2">
        <v>37</v>
      </c>
      <c r="T1705" t="s">
        <v>297</v>
      </c>
      <c r="U1705" t="s">
        <v>300</v>
      </c>
      <c r="V1705" t="s">
        <v>301</v>
      </c>
      <c r="W1705" s="41"/>
      <c r="X1705" s="41"/>
      <c r="Y1705" s="34"/>
      <c r="Z1705" s="34"/>
      <c r="AA1705" s="35">
        <f>IF(TA[[#This Row],[Work Start time on Fault]]="NA","",(TA[[#This Row],[Fault Acknowledgement Time ]]-TA[[#This Row],[Fault Time]])*24)</f>
        <v>0</v>
      </c>
      <c r="AB1705" s="35">
        <f>(TA[[#This Row],[Work Start time on Fault]]-TA[[#This Row],[Fault Time]])*24</f>
        <v>0</v>
      </c>
      <c r="AC1705" s="34">
        <f>(TA[[#This Row],[Work Completion time on fault]]-TA[[#This Row],[Fault Time]])*24</f>
        <v>0</v>
      </c>
      <c r="AD1705" s="35">
        <f>IFERROR((TA[[#This Row],[Work Completion time on fault]]-TA[[#This Row],[Fault Time]])*24,"")</f>
        <v>0</v>
      </c>
      <c r="AE1705" t="s">
        <v>328</v>
      </c>
      <c r="AF1705" t="s">
        <v>256</v>
      </c>
      <c r="AG1705" s="2"/>
      <c r="AH1705" s="44">
        <f>1-COS(RADIANS(TA[[#This Row],[Avg. Target Angle during Fault Time (Radians)]]-TA[[#This Row],[Angle of affected equipment ]]))</f>
        <v>0.11705240714107301</v>
      </c>
      <c r="AI1705" s="35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56">
        <f t="shared" si="214"/>
        <v>2026</v>
      </c>
      <c r="C1706" s="129">
        <f t="shared" si="215"/>
        <v>2025</v>
      </c>
      <c r="D1706" s="2" t="s">
        <v>155</v>
      </c>
      <c r="E1706" s="2" t="s">
        <v>155</v>
      </c>
      <c r="F1706" s="39">
        <v>45839</v>
      </c>
      <c r="G1706" s="2">
        <f>DAY(EOMONTH(TA[[#This Row],[Month Year]],0))</f>
        <v>31</v>
      </c>
      <c r="H1706" s="21">
        <v>45867</v>
      </c>
      <c r="I1706" s="41">
        <f>IFERROR(VLOOKUP(TA[[#This Row],[Date]],Raw_Data[[Date]:[Sunset Time (POA&lt;20 W/m2)]],3,0),"")</f>
        <v>0.25555555555555554</v>
      </c>
      <c r="J1706" s="41">
        <f>IFERROR(VLOOKUP(TA[[#This Row],[Date]],Raw_Data[[Date]:[Sunset Time (POA&lt;20 W/m2)]],4,0),"")</f>
        <v>0.76458333333333328</v>
      </c>
      <c r="K1706" s="35">
        <f>IFERROR((TA[[#This Row],[Sunset Time (POA&lt;20 W/m2)]]-TA[[#This Row],[Sunrise Time (POA&gt;20 W/m2)]])*24,"")</f>
        <v>12.216666666666665</v>
      </c>
      <c r="L1706" s="2" t="s">
        <v>312</v>
      </c>
      <c r="M1706" s="42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330</v>
      </c>
      <c r="Q1706" s="2" t="s">
        <v>323</v>
      </c>
      <c r="R1706">
        <v>27</v>
      </c>
      <c r="S1706" s="2">
        <v>42</v>
      </c>
      <c r="T1706" t="s">
        <v>297</v>
      </c>
      <c r="U1706" t="s">
        <v>300</v>
      </c>
      <c r="V1706" t="s">
        <v>301</v>
      </c>
      <c r="W1706" s="41">
        <f>IFERROR(VLOOKUP(TA[[#This Row],[Date]],Raw_Data[[Date]:[Sunset Time (POA&lt;20 W/m2)]],3,0),"")</f>
        <v>0.25555555555555554</v>
      </c>
      <c r="X1706" s="41">
        <f>IFERROR(VLOOKUP(TA[[#This Row],[Date]],Raw_Data[[Date]:[Sunset Time (POA&lt;20 W/m2)]],3,0),"")</f>
        <v>0.25555555555555554</v>
      </c>
      <c r="Y1706" s="34"/>
      <c r="Z1706" s="34">
        <v>0.76041666666666663</v>
      </c>
      <c r="AA1706" s="35">
        <f>IF(TA[[#This Row],[Work Start time on Fault]]="NA","",(TA[[#This Row],[Fault Acknowledgement Time ]]-TA[[#This Row],[Fault Time]])*24)</f>
        <v>0</v>
      </c>
      <c r="AB1706" s="35">
        <f>(TA[[#This Row],[Work Start time on Fault]]-TA[[#This Row],[Fault Time]])*24</f>
        <v>-6.1333333333333329</v>
      </c>
      <c r="AC1706" s="34">
        <f>(TA[[#This Row],[Work Completion time on fault]]-TA[[#This Row],[Fault Time]])*24</f>
        <v>12.116666666666667</v>
      </c>
      <c r="AD1706" s="35">
        <f>IFERROR((TA[[#This Row],[Work Completion time on fault]]-TA[[#This Row],[Fault Time]])*24,"")</f>
        <v>12.116666666666667</v>
      </c>
      <c r="AE1706" t="s">
        <v>309</v>
      </c>
      <c r="AF1706" t="s">
        <v>256</v>
      </c>
      <c r="AG1706" s="2"/>
      <c r="AH1706" s="44">
        <f>1-COS(RADIANS(TA[[#This Row],[Avg. Target Angle during Fault Time (Radians)]]-TA[[#This Row],[Angle of affected equipment ]]))</f>
        <v>0.11705240714107301</v>
      </c>
      <c r="AI1706" s="35">
        <f>IFERROR(TA[[#This Row],[Breakdown Time]]*TA[[#This Row],[Plant Equivalent Weightage]],"")</f>
        <v>6.9636015325670514E-2</v>
      </c>
    </row>
    <row r="1707" spans="1:35">
      <c r="A1707" s="2">
        <f t="shared" si="209"/>
        <v>1704</v>
      </c>
      <c r="B1707" s="156">
        <f t="shared" ref="B1707:B1719" si="216">YEAR(H1707)+IF(MONTH(H1707)&gt;=4,1,0)</f>
        <v>2026</v>
      </c>
      <c r="C1707" s="129">
        <f t="shared" ref="C1707:C1719" si="217">YEAR(H1707)</f>
        <v>2025</v>
      </c>
      <c r="D1707" s="2" t="s">
        <v>155</v>
      </c>
      <c r="E1707" s="2" t="s">
        <v>155</v>
      </c>
      <c r="F1707" s="39">
        <v>45839</v>
      </c>
      <c r="G1707" s="233">
        <f>DAY(EOMONTH(TA[[#This Row],[Month Year]],0))</f>
        <v>31</v>
      </c>
      <c r="H1707" s="21">
        <v>45868</v>
      </c>
      <c r="I1707" s="41">
        <f>IFERROR(VLOOKUP(TA[[#This Row],[Date]],Raw_Data[[Date]:[Sunset Time (POA&lt;20 W/m2)]],3,0),"")</f>
        <v>0.25694444444444442</v>
      </c>
      <c r="J1707" s="41">
        <f>IFERROR(VLOOKUP(TA[[#This Row],[Date]],Raw_Data[[Date]:[Sunset Time (POA&lt;20 W/m2)]],4,0),"")</f>
        <v>0.76875000000000004</v>
      </c>
      <c r="K1707" s="35">
        <f>IFERROR((TA[[#This Row],[Sunset Time (POA&lt;20 W/m2)]]-TA[[#This Row],[Sunrise Time (POA&gt;20 W/m2)]])*24,"")</f>
        <v>12.283333333333335</v>
      </c>
      <c r="L1707" s="2" t="s">
        <v>294</v>
      </c>
      <c r="M1707" s="42">
        <f>IFERROR(VLOOKUP(TA[[#This Row],[Affected Equipment]],'Basic Data'!$I$2:$K$40,3,0),"")</f>
        <v>1.7241379310344799E-3</v>
      </c>
      <c r="N1707">
        <v>-28</v>
      </c>
      <c r="O1707" t="s">
        <v>135</v>
      </c>
      <c r="P1707" s="127" t="s">
        <v>318</v>
      </c>
      <c r="Q1707" s="126" t="s">
        <v>318</v>
      </c>
      <c r="R1707">
        <v>131</v>
      </c>
      <c r="S1707" s="2">
        <v>38</v>
      </c>
      <c r="T1707" t="s">
        <v>295</v>
      </c>
      <c r="U1707" t="s">
        <v>300</v>
      </c>
      <c r="V1707" t="s">
        <v>298</v>
      </c>
      <c r="W1707" s="41"/>
      <c r="X1707" s="41"/>
      <c r="Y1707" s="34"/>
      <c r="Z1707" s="34"/>
      <c r="AA1707" s="35">
        <f>IF(TA[[#This Row],[Work Start time on Fault]]="NA","",(TA[[#This Row],[Fault Acknowledgement Time ]]-TA[[#This Row],[Fault Time]])*24)</f>
        <v>0</v>
      </c>
      <c r="AB1707" s="35">
        <f>(TA[[#This Row],[Work Start time on Fault]]-TA[[#This Row],[Fault Time]])*24</f>
        <v>0</v>
      </c>
      <c r="AC1707" s="34">
        <f>(TA[[#This Row],[Work Completion time on fault]]-TA[[#This Row],[Fault Time]])*24</f>
        <v>0</v>
      </c>
      <c r="AD1707" s="35">
        <f>IFERROR((TA[[#This Row],[Work Completion time on fault]]-TA[[#This Row],[Fault Time]])*24,"")</f>
        <v>0</v>
      </c>
      <c r="AE1707" t="s">
        <v>328</v>
      </c>
      <c r="AF1707" t="s">
        <v>256</v>
      </c>
      <c r="AG1707" s="2"/>
      <c r="AH1707" s="44">
        <f>1-COS(RADIANS(TA[[#This Row],[Avg. Target Angle during Fault Time (Radians)]]-TA[[#This Row],[Angle of affected equipment ]]))</f>
        <v>0.11705240714107301</v>
      </c>
      <c r="AI1707" s="35">
        <f>IFERROR(TA[[#This Row],[Breakdown Time]]*TA[[#This Row],[Plant Equivalent Weightage]],"")</f>
        <v>0</v>
      </c>
    </row>
    <row r="1708" spans="1:35">
      <c r="A1708" s="2">
        <f t="shared" ref="A1708:A1719" si="218">A1707+1</f>
        <v>1705</v>
      </c>
      <c r="B1708" s="156">
        <f t="shared" si="216"/>
        <v>2026</v>
      </c>
      <c r="C1708" s="129">
        <f t="shared" si="217"/>
        <v>2025</v>
      </c>
      <c r="D1708" s="2" t="s">
        <v>155</v>
      </c>
      <c r="E1708" s="2" t="s">
        <v>155</v>
      </c>
      <c r="F1708" s="39">
        <v>45839</v>
      </c>
      <c r="G1708" s="233">
        <f>DAY(EOMONTH(TA[[#This Row],[Month Year]],0))</f>
        <v>31</v>
      </c>
      <c r="H1708" s="21">
        <v>45868</v>
      </c>
      <c r="I1708" s="41">
        <f>IFERROR(VLOOKUP(TA[[#This Row],[Date]],Raw_Data[[Date]:[Sunset Time (POA&lt;20 W/m2)]],3,0),"")</f>
        <v>0.25694444444444442</v>
      </c>
      <c r="J1708" s="41">
        <f>IFERROR(VLOOKUP(TA[[#This Row],[Date]],Raw_Data[[Date]:[Sunset Time (POA&lt;20 W/m2)]],4,0),"")</f>
        <v>0.76875000000000004</v>
      </c>
      <c r="K1708" s="35">
        <f>IFERROR((TA[[#This Row],[Sunset Time (POA&lt;20 W/m2)]]-TA[[#This Row],[Sunrise Time (POA&gt;20 W/m2)]])*24,"")</f>
        <v>12.283333333333335</v>
      </c>
      <c r="L1708" s="2" t="s">
        <v>294</v>
      </c>
      <c r="M1708" s="42">
        <f>IFERROR(VLOOKUP(TA[[#This Row],[Affected Equipment]],'Basic Data'!$I$2:$K$40,3,0),"")</f>
        <v>1.7241379310344799E-3</v>
      </c>
      <c r="N1708">
        <v>-28</v>
      </c>
      <c r="O1708" t="s">
        <v>135</v>
      </c>
      <c r="P1708" s="127" t="s">
        <v>318</v>
      </c>
      <c r="Q1708" s="126" t="s">
        <v>318</v>
      </c>
      <c r="R1708">
        <v>131</v>
      </c>
      <c r="S1708" s="2">
        <v>39</v>
      </c>
      <c r="T1708" t="s">
        <v>295</v>
      </c>
      <c r="U1708" t="s">
        <v>300</v>
      </c>
      <c r="V1708" t="s">
        <v>298</v>
      </c>
      <c r="W1708" s="41"/>
      <c r="X1708" s="41"/>
      <c r="Y1708" s="34"/>
      <c r="Z1708" s="34"/>
      <c r="AA1708" s="35">
        <f>IF(TA[[#This Row],[Work Start time on Fault]]="NA","",(TA[[#This Row],[Fault Acknowledgement Time ]]-TA[[#This Row],[Fault Time]])*24)</f>
        <v>0</v>
      </c>
      <c r="AB1708" s="35">
        <f>(TA[[#This Row],[Work Start time on Fault]]-TA[[#This Row],[Fault Time]])*24</f>
        <v>0</v>
      </c>
      <c r="AC1708" s="34">
        <f>(TA[[#This Row],[Work Completion time on fault]]-TA[[#This Row],[Fault Time]])*24</f>
        <v>0</v>
      </c>
      <c r="AD1708" s="35">
        <f>IFERROR((TA[[#This Row],[Work Completion time on fault]]-TA[[#This Row],[Fault Time]])*24,"")</f>
        <v>0</v>
      </c>
      <c r="AE1708" t="s">
        <v>328</v>
      </c>
      <c r="AF1708" t="s">
        <v>256</v>
      </c>
      <c r="AG1708" s="2"/>
      <c r="AH1708" s="44">
        <f>1-COS(RADIANS(TA[[#This Row],[Avg. Target Angle during Fault Time (Radians)]]-TA[[#This Row],[Angle of affected equipment ]]))</f>
        <v>0.11705240714107301</v>
      </c>
      <c r="AI1708" s="35">
        <f>IFERROR(TA[[#This Row],[Breakdown Time]]*TA[[#This Row],[Plant Equivalent Weightage]],"")</f>
        <v>0</v>
      </c>
    </row>
    <row r="1709" spans="1:35">
      <c r="A1709" s="2">
        <f t="shared" si="218"/>
        <v>1706</v>
      </c>
      <c r="B1709" s="156">
        <f t="shared" si="216"/>
        <v>2026</v>
      </c>
      <c r="C1709" s="129">
        <f t="shared" si="217"/>
        <v>2025</v>
      </c>
      <c r="D1709" s="2" t="s">
        <v>155</v>
      </c>
      <c r="E1709" s="2" t="s">
        <v>155</v>
      </c>
      <c r="F1709" s="39">
        <v>45839</v>
      </c>
      <c r="G1709" s="233">
        <f>DAY(EOMONTH(TA[[#This Row],[Month Year]],0))</f>
        <v>31</v>
      </c>
      <c r="H1709" s="21">
        <v>45868</v>
      </c>
      <c r="I1709" s="41">
        <f>IFERROR(VLOOKUP(TA[[#This Row],[Date]],Raw_Data[[Date]:[Sunset Time (POA&lt;20 W/m2)]],3,0),"")</f>
        <v>0.25694444444444442</v>
      </c>
      <c r="J1709" s="41">
        <f>IFERROR(VLOOKUP(TA[[#This Row],[Date]],Raw_Data[[Date]:[Sunset Time (POA&lt;20 W/m2)]],4,0),"")</f>
        <v>0.76875000000000004</v>
      </c>
      <c r="K1709" s="35">
        <f>IFERROR((TA[[#This Row],[Sunset Time (POA&lt;20 W/m2)]]-TA[[#This Row],[Sunrise Time (POA&gt;20 W/m2)]])*24,"")</f>
        <v>12.283333333333335</v>
      </c>
      <c r="L1709" s="2" t="s">
        <v>296</v>
      </c>
      <c r="M1709" s="42">
        <f>IFERROR(VLOOKUP(TA[[#This Row],[Affected Equipment]],'Basic Data'!$I$2:$K$40,3,0),"")</f>
        <v>8.6206896551724102E-3</v>
      </c>
      <c r="N1709">
        <v>-28</v>
      </c>
      <c r="O1709" t="s">
        <v>135</v>
      </c>
      <c r="P1709" s="127" t="s">
        <v>318</v>
      </c>
      <c r="Q1709" s="2" t="s">
        <v>321</v>
      </c>
      <c r="R1709">
        <v>133</v>
      </c>
      <c r="S1709" s="2">
        <v>26</v>
      </c>
      <c r="T1709" t="s">
        <v>297</v>
      </c>
      <c r="U1709" t="s">
        <v>300</v>
      </c>
      <c r="V1709" t="s">
        <v>314</v>
      </c>
      <c r="W1709" s="41">
        <f>IFERROR(VLOOKUP(TA[[#This Row],[Date]],Raw_Data[[Date]:[Sunset Time (POA&lt;20 W/m2)]],3,0),"")</f>
        <v>0.25694444444444442</v>
      </c>
      <c r="X1709" s="41">
        <f>IFERROR(VLOOKUP(TA[[#This Row],[Date]],Raw_Data[[Date]:[Sunset Time (POA&lt;20 W/m2)]],3,0),"")</f>
        <v>0.25694444444444442</v>
      </c>
      <c r="Y1709" s="34"/>
      <c r="Z1709" s="34">
        <v>0.76041666666666663</v>
      </c>
      <c r="AA1709" s="35">
        <f>IF(TA[[#This Row],[Work Start time on Fault]]="NA","",(TA[[#This Row],[Fault Acknowledgement Time ]]-TA[[#This Row],[Fault Time]])*24)</f>
        <v>0</v>
      </c>
      <c r="AB1709" s="35">
        <f>(TA[[#This Row],[Work Start time on Fault]]-TA[[#This Row],[Fault Time]])*24</f>
        <v>-6.1666666666666661</v>
      </c>
      <c r="AC1709" s="34">
        <f>(TA[[#This Row],[Work Completion time on fault]]-TA[[#This Row],[Fault Time]])*24</f>
        <v>12.083333333333332</v>
      </c>
      <c r="AD1709" s="35">
        <f>IFERROR((TA[[#This Row],[Work Completion time on fault]]-TA[[#This Row],[Fault Time]])*24,"")</f>
        <v>12.083333333333332</v>
      </c>
      <c r="AE1709" t="s">
        <v>328</v>
      </c>
      <c r="AF1709" t="s">
        <v>256</v>
      </c>
      <c r="AG1709" s="2"/>
      <c r="AH1709" s="44">
        <f>1-COS(RADIANS(TA[[#This Row],[Avg. Target Angle during Fault Time (Radians)]]-TA[[#This Row],[Angle of affected equipment ]]))</f>
        <v>0.11705240714107301</v>
      </c>
      <c r="AI1709" s="35">
        <f>IFERROR(TA[[#This Row],[Breakdown Time]]*TA[[#This Row],[Plant Equivalent Weightage]],"")</f>
        <v>0.10416666666666662</v>
      </c>
    </row>
    <row r="1710" spans="1:35">
      <c r="A1710" s="2">
        <f t="shared" si="218"/>
        <v>1707</v>
      </c>
      <c r="B1710" s="156">
        <f t="shared" si="216"/>
        <v>2026</v>
      </c>
      <c r="C1710" s="129">
        <f t="shared" si="217"/>
        <v>2025</v>
      </c>
      <c r="D1710" s="2" t="s">
        <v>155</v>
      </c>
      <c r="E1710" s="2" t="s">
        <v>155</v>
      </c>
      <c r="F1710" s="39">
        <v>45839</v>
      </c>
      <c r="G1710" s="233">
        <f>DAY(EOMONTH(TA[[#This Row],[Month Year]],0))</f>
        <v>31</v>
      </c>
      <c r="H1710" s="21">
        <v>45868</v>
      </c>
      <c r="I1710" s="41">
        <f>IFERROR(VLOOKUP(TA[[#This Row],[Date]],Raw_Data[[Date]:[Sunset Time (POA&lt;20 W/m2)]],3,0),"")</f>
        <v>0.25694444444444442</v>
      </c>
      <c r="J1710" s="41">
        <f>IFERROR(VLOOKUP(TA[[#This Row],[Date]],Raw_Data[[Date]:[Sunset Time (POA&lt;20 W/m2)]],4,0),"")</f>
        <v>0.76875000000000004</v>
      </c>
      <c r="K1710" s="35">
        <f>IFERROR((TA[[#This Row],[Sunset Time (POA&lt;20 W/m2)]]-TA[[#This Row],[Sunrise Time (POA&gt;20 W/m2)]])*24,"")</f>
        <v>12.283333333333335</v>
      </c>
      <c r="L1710" s="2" t="s">
        <v>294</v>
      </c>
      <c r="M1710" s="42">
        <f>IFERROR(VLOOKUP(TA[[#This Row],[Affected Equipment]],'Basic Data'!$I$2:$K$40,3,0),"")</f>
        <v>1.7241379310344799E-3</v>
      </c>
      <c r="N1710">
        <v>-28</v>
      </c>
      <c r="O1710" t="s">
        <v>133</v>
      </c>
      <c r="P1710" s="127" t="s">
        <v>316</v>
      </c>
      <c r="Q1710" s="126" t="s">
        <v>317</v>
      </c>
      <c r="R1710">
        <v>7</v>
      </c>
      <c r="S1710" s="2">
        <v>32</v>
      </c>
      <c r="T1710" t="s">
        <v>295</v>
      </c>
      <c r="U1710" t="s">
        <v>300</v>
      </c>
      <c r="V1710" t="s">
        <v>298</v>
      </c>
      <c r="W1710" s="41"/>
      <c r="X1710" s="41"/>
      <c r="Y1710" s="34"/>
      <c r="Z1710" s="34"/>
      <c r="AA1710" s="35">
        <f>IF(TA[[#This Row],[Work Start time on Fault]]="NA","",(TA[[#This Row],[Fault Acknowledgement Time ]]-TA[[#This Row],[Fault Time]])*24)</f>
        <v>0</v>
      </c>
      <c r="AB1710" s="35">
        <f>(TA[[#This Row],[Work Start time on Fault]]-TA[[#This Row],[Fault Time]])*24</f>
        <v>0</v>
      </c>
      <c r="AC1710" s="34">
        <f>(TA[[#This Row],[Work Completion time on fault]]-TA[[#This Row],[Fault Time]])*24</f>
        <v>0</v>
      </c>
      <c r="AD1710" s="35">
        <f>IFERROR((TA[[#This Row],[Work Completion time on fault]]-TA[[#This Row],[Fault Time]])*24,"")</f>
        <v>0</v>
      </c>
      <c r="AE1710" t="s">
        <v>328</v>
      </c>
      <c r="AF1710" t="s">
        <v>256</v>
      </c>
      <c r="AG1710" s="2"/>
      <c r="AH1710" s="44">
        <f>1-COS(RADIANS(TA[[#This Row],[Avg. Target Angle during Fault Time (Radians)]]-TA[[#This Row],[Angle of affected equipment ]]))</f>
        <v>0.11705240714107301</v>
      </c>
      <c r="AI1710" s="35">
        <f>IFERROR(TA[[#This Row],[Breakdown Time]]*TA[[#This Row],[Plant Equivalent Weightage]],"")</f>
        <v>0</v>
      </c>
    </row>
    <row r="1711" spans="1:35">
      <c r="A1711" s="2">
        <f t="shared" si="218"/>
        <v>1708</v>
      </c>
      <c r="B1711" s="156">
        <f t="shared" si="216"/>
        <v>2026</v>
      </c>
      <c r="C1711" s="129">
        <f t="shared" si="217"/>
        <v>2025</v>
      </c>
      <c r="D1711" s="2" t="s">
        <v>155</v>
      </c>
      <c r="E1711" s="2" t="s">
        <v>155</v>
      </c>
      <c r="F1711" s="39">
        <v>45839</v>
      </c>
      <c r="G1711" s="233">
        <f>DAY(EOMONTH(TA[[#This Row],[Month Year]],0))</f>
        <v>31</v>
      </c>
      <c r="H1711" s="21">
        <v>45868</v>
      </c>
      <c r="I1711" s="41">
        <f>IFERROR(VLOOKUP(TA[[#This Row],[Date]],Raw_Data[[Date]:[Sunset Time (POA&lt;20 W/m2)]],3,0),"")</f>
        <v>0.25694444444444442</v>
      </c>
      <c r="J1711" s="41">
        <f>IFERROR(VLOOKUP(TA[[#This Row],[Date]],Raw_Data[[Date]:[Sunset Time (POA&lt;20 W/m2)]],4,0),"")</f>
        <v>0.76875000000000004</v>
      </c>
      <c r="K1711" s="35">
        <f>IFERROR((TA[[#This Row],[Sunset Time (POA&lt;20 W/m2)]]-TA[[#This Row],[Sunrise Time (POA&gt;20 W/m2)]])*24,"")</f>
        <v>12.283333333333335</v>
      </c>
      <c r="L1711" s="2" t="s">
        <v>294</v>
      </c>
      <c r="M1711" s="42">
        <f>IFERROR(VLOOKUP(TA[[#This Row],[Affected Equipment]],'Basic Data'!$I$2:$K$40,3,0),"")</f>
        <v>1.7241379310344799E-3</v>
      </c>
      <c r="N1711">
        <v>-28</v>
      </c>
      <c r="O1711" t="s">
        <v>137</v>
      </c>
      <c r="P1711" s="127" t="s">
        <v>315</v>
      </c>
      <c r="Q1711" s="126" t="s">
        <v>319</v>
      </c>
      <c r="R1711">
        <v>166</v>
      </c>
      <c r="S1711" s="2">
        <v>91</v>
      </c>
      <c r="T1711" t="s">
        <v>295</v>
      </c>
      <c r="U1711" t="s">
        <v>300</v>
      </c>
      <c r="V1711" t="s">
        <v>298</v>
      </c>
      <c r="W1711" s="41"/>
      <c r="X1711" s="41"/>
      <c r="Y1711" s="34"/>
      <c r="Z1711" s="34"/>
      <c r="AA1711" s="35">
        <f>IF(TA[[#This Row],[Work Start time on Fault]]="NA","",(TA[[#This Row],[Fault Acknowledgement Time ]]-TA[[#This Row],[Fault Time]])*24)</f>
        <v>0</v>
      </c>
      <c r="AB1711" s="35">
        <f>(TA[[#This Row],[Work Start time on Fault]]-TA[[#This Row],[Fault Time]])*24</f>
        <v>0</v>
      </c>
      <c r="AC1711" s="34">
        <f>(TA[[#This Row],[Work Completion time on fault]]-TA[[#This Row],[Fault Time]])*24</f>
        <v>0</v>
      </c>
      <c r="AD1711" s="35">
        <f>IFERROR((TA[[#This Row],[Work Completion time on fault]]-TA[[#This Row],[Fault Time]])*24,"")</f>
        <v>0</v>
      </c>
      <c r="AE1711" t="s">
        <v>328</v>
      </c>
      <c r="AF1711" t="s">
        <v>256</v>
      </c>
      <c r="AG1711" s="2"/>
      <c r="AH1711" s="44">
        <f>1-COS(RADIANS(TA[[#This Row],[Avg. Target Angle during Fault Time (Radians)]]-TA[[#This Row],[Angle of affected equipment ]]))</f>
        <v>0.11705240714107301</v>
      </c>
      <c r="AI1711" s="35">
        <f>IFERROR(TA[[#This Row],[Breakdown Time]]*TA[[#This Row],[Plant Equivalent Weightage]],"")</f>
        <v>0</v>
      </c>
    </row>
    <row r="1712" spans="1:35">
      <c r="A1712" s="2">
        <f t="shared" si="218"/>
        <v>1709</v>
      </c>
      <c r="B1712" s="156">
        <f t="shared" si="216"/>
        <v>2026</v>
      </c>
      <c r="C1712" s="129">
        <f t="shared" si="217"/>
        <v>2025</v>
      </c>
      <c r="D1712" s="2" t="s">
        <v>155</v>
      </c>
      <c r="E1712" s="2" t="s">
        <v>155</v>
      </c>
      <c r="F1712" s="39">
        <v>45839</v>
      </c>
      <c r="G1712" s="233">
        <f>DAY(EOMONTH(TA[[#This Row],[Month Year]],0))</f>
        <v>31</v>
      </c>
      <c r="H1712" s="21">
        <v>45868</v>
      </c>
      <c r="I1712" s="41">
        <f>IFERROR(VLOOKUP(TA[[#This Row],[Date]],Raw_Data[[Date]:[Sunset Time (POA&lt;20 W/m2)]],3,0),"")</f>
        <v>0.25694444444444442</v>
      </c>
      <c r="J1712" s="41">
        <f>IFERROR(VLOOKUP(TA[[#This Row],[Date]],Raw_Data[[Date]:[Sunset Time (POA&lt;20 W/m2)]],4,0),"")</f>
        <v>0.76875000000000004</v>
      </c>
      <c r="K1712" s="35">
        <f>IFERROR((TA[[#This Row],[Sunset Time (POA&lt;20 W/m2)]]-TA[[#This Row],[Sunrise Time (POA&gt;20 W/m2)]])*24,"")</f>
        <v>12.283333333333335</v>
      </c>
      <c r="L1712" s="2" t="s">
        <v>294</v>
      </c>
      <c r="M1712" s="42">
        <f>IFERROR(VLOOKUP(TA[[#This Row],[Affected Equipment]],'Basic Data'!$I$2:$K$40,3,0),"")</f>
        <v>1.7241379310344799E-3</v>
      </c>
      <c r="N1712">
        <v>-28</v>
      </c>
      <c r="O1712" t="s">
        <v>133</v>
      </c>
      <c r="P1712" s="127" t="s">
        <v>316</v>
      </c>
      <c r="Q1712" s="126" t="s">
        <v>316</v>
      </c>
      <c r="R1712">
        <v>117</v>
      </c>
      <c r="S1712" s="2">
        <v>20</v>
      </c>
      <c r="T1712" t="s">
        <v>295</v>
      </c>
      <c r="U1712" t="s">
        <v>300</v>
      </c>
      <c r="V1712" t="s">
        <v>298</v>
      </c>
      <c r="W1712" s="41"/>
      <c r="X1712" s="41"/>
      <c r="Y1712" s="34"/>
      <c r="Z1712" s="34"/>
      <c r="AA1712" s="35">
        <f>IF(TA[[#This Row],[Work Start time on Fault]]="NA","",(TA[[#This Row],[Fault Acknowledgement Time ]]-TA[[#This Row],[Fault Time]])*24)</f>
        <v>0</v>
      </c>
      <c r="AB1712" s="35">
        <f>(TA[[#This Row],[Work Start time on Fault]]-TA[[#This Row],[Fault Time]])*24</f>
        <v>0</v>
      </c>
      <c r="AC1712" s="34">
        <f>(TA[[#This Row],[Work Completion time on fault]]-TA[[#This Row],[Fault Time]])*24</f>
        <v>0</v>
      </c>
      <c r="AD1712" s="35">
        <f>IFERROR((TA[[#This Row],[Work Completion time on fault]]-TA[[#This Row],[Fault Time]])*24,"")</f>
        <v>0</v>
      </c>
      <c r="AE1712" t="s">
        <v>328</v>
      </c>
      <c r="AF1712" t="s">
        <v>256</v>
      </c>
      <c r="AG1712" s="2"/>
      <c r="AH1712" s="44">
        <f>1-COS(RADIANS(TA[[#This Row],[Avg. Target Angle during Fault Time (Radians)]]-TA[[#This Row],[Angle of affected equipment ]]))</f>
        <v>0.11705240714107301</v>
      </c>
      <c r="AI1712" s="35">
        <f>IFERROR(TA[[#This Row],[Breakdown Time]]*TA[[#This Row],[Plant Equivalent Weightage]],"")</f>
        <v>0</v>
      </c>
    </row>
    <row r="1713" spans="1:35">
      <c r="A1713" s="2">
        <f t="shared" si="218"/>
        <v>1710</v>
      </c>
      <c r="B1713" s="156">
        <f t="shared" si="216"/>
        <v>2026</v>
      </c>
      <c r="C1713" s="129">
        <f t="shared" si="217"/>
        <v>2025</v>
      </c>
      <c r="D1713" s="2" t="s">
        <v>155</v>
      </c>
      <c r="E1713" s="2" t="s">
        <v>155</v>
      </c>
      <c r="F1713" s="39">
        <v>45839</v>
      </c>
      <c r="G1713" s="233">
        <f>DAY(EOMONTH(TA[[#This Row],[Month Year]],0))</f>
        <v>31</v>
      </c>
      <c r="H1713" s="21">
        <v>45868</v>
      </c>
      <c r="I1713" s="41">
        <f>IFERROR(VLOOKUP(TA[[#This Row],[Date]],Raw_Data[[Date]:[Sunset Time (POA&lt;20 W/m2)]],3,0),"")</f>
        <v>0.25694444444444442</v>
      </c>
      <c r="J1713" s="41">
        <f>IFERROR(VLOOKUP(TA[[#This Row],[Date]],Raw_Data[[Date]:[Sunset Time (POA&lt;20 W/m2)]],4,0),"")</f>
        <v>0.76875000000000004</v>
      </c>
      <c r="K1713" s="35">
        <f>IFERROR((TA[[#This Row],[Sunset Time (POA&lt;20 W/m2)]]-TA[[#This Row],[Sunrise Time (POA&gt;20 W/m2)]])*24,"")</f>
        <v>12.283333333333335</v>
      </c>
      <c r="L1713" s="2" t="s">
        <v>294</v>
      </c>
      <c r="M1713" s="42">
        <f>IFERROR(VLOOKUP(TA[[#This Row],[Affected Equipment]],'Basic Data'!$I$2:$K$40,3,0),"")</f>
        <v>1.7241379310344799E-3</v>
      </c>
      <c r="N1713">
        <v>-28</v>
      </c>
      <c r="O1713" t="s">
        <v>133</v>
      </c>
      <c r="P1713" s="127" t="s">
        <v>316</v>
      </c>
      <c r="Q1713" s="126" t="s">
        <v>316</v>
      </c>
      <c r="R1713">
        <v>118</v>
      </c>
      <c r="S1713" s="2">
        <v>22</v>
      </c>
      <c r="T1713" t="s">
        <v>295</v>
      </c>
      <c r="U1713" t="s">
        <v>300</v>
      </c>
      <c r="V1713" t="s">
        <v>298</v>
      </c>
      <c r="W1713" s="41"/>
      <c r="X1713" s="41"/>
      <c r="Y1713" s="34"/>
      <c r="Z1713" s="34"/>
      <c r="AA1713" s="35">
        <f>IF(TA[[#This Row],[Work Start time on Fault]]="NA","",(TA[[#This Row],[Fault Acknowledgement Time ]]-TA[[#This Row],[Fault Time]])*24)</f>
        <v>0</v>
      </c>
      <c r="AB1713" s="35">
        <f>(TA[[#This Row],[Work Start time on Fault]]-TA[[#This Row],[Fault Time]])*24</f>
        <v>0</v>
      </c>
      <c r="AC1713" s="34">
        <f>(TA[[#This Row],[Work Completion time on fault]]-TA[[#This Row],[Fault Time]])*24</f>
        <v>0</v>
      </c>
      <c r="AD1713" s="35">
        <f>IFERROR((TA[[#This Row],[Work Completion time on fault]]-TA[[#This Row],[Fault Time]])*24,"")</f>
        <v>0</v>
      </c>
      <c r="AE1713" t="s">
        <v>328</v>
      </c>
      <c r="AF1713" t="s">
        <v>256</v>
      </c>
      <c r="AG1713" s="2"/>
      <c r="AH1713" s="44">
        <f>1-COS(RADIANS(TA[[#This Row],[Avg. Target Angle during Fault Time (Radians)]]-TA[[#This Row],[Angle of affected equipment ]]))</f>
        <v>0.11705240714107301</v>
      </c>
      <c r="AI1713" s="35">
        <f>IFERROR(TA[[#This Row],[Breakdown Time]]*TA[[#This Row],[Plant Equivalent Weightage]],"")</f>
        <v>0</v>
      </c>
    </row>
    <row r="1714" spans="1:35">
      <c r="A1714" s="2">
        <f t="shared" si="218"/>
        <v>1711</v>
      </c>
      <c r="B1714" s="156">
        <f t="shared" si="216"/>
        <v>2026</v>
      </c>
      <c r="C1714" s="129">
        <f t="shared" si="217"/>
        <v>2025</v>
      </c>
      <c r="D1714" s="2" t="s">
        <v>155</v>
      </c>
      <c r="E1714" s="2" t="s">
        <v>155</v>
      </c>
      <c r="F1714" s="39">
        <v>45839</v>
      </c>
      <c r="G1714" s="233">
        <f>DAY(EOMONTH(TA[[#This Row],[Month Year]],0))</f>
        <v>31</v>
      </c>
      <c r="H1714" s="21">
        <v>45868</v>
      </c>
      <c r="I1714" s="41">
        <f>IFERROR(VLOOKUP(TA[[#This Row],[Date]],Raw_Data[[Date]:[Sunset Time (POA&lt;20 W/m2)]],3,0),"")</f>
        <v>0.25694444444444442</v>
      </c>
      <c r="J1714" s="41">
        <f>IFERROR(VLOOKUP(TA[[#This Row],[Date]],Raw_Data[[Date]:[Sunset Time (POA&lt;20 W/m2)]],4,0),"")</f>
        <v>0.76875000000000004</v>
      </c>
      <c r="K1714" s="35">
        <f>IFERROR((TA[[#This Row],[Sunset Time (POA&lt;20 W/m2)]]-TA[[#This Row],[Sunrise Time (POA&gt;20 W/m2)]])*24,"")</f>
        <v>12.283333333333335</v>
      </c>
      <c r="L1714" s="2" t="s">
        <v>296</v>
      </c>
      <c r="M1714" s="42">
        <f>IFERROR(VLOOKUP(TA[[#This Row],[Affected Equipment]],'Basic Data'!$I$2:$K$40,3,0),"")</f>
        <v>8.6206896551724102E-3</v>
      </c>
      <c r="N1714">
        <v>-28</v>
      </c>
      <c r="O1714" t="s">
        <v>135</v>
      </c>
      <c r="P1714" s="22" t="s">
        <v>323</v>
      </c>
      <c r="Q1714" s="2" t="s">
        <v>329</v>
      </c>
      <c r="R1714">
        <v>45</v>
      </c>
      <c r="S1714" s="2">
        <v>8</v>
      </c>
      <c r="T1714" t="s">
        <v>297</v>
      </c>
      <c r="U1714" t="s">
        <v>300</v>
      </c>
      <c r="V1714" t="s">
        <v>301</v>
      </c>
      <c r="W1714" s="41"/>
      <c r="X1714" s="41"/>
      <c r="Y1714" s="34"/>
      <c r="Z1714" s="34"/>
      <c r="AA1714" s="35">
        <f>IF(TA[[#This Row],[Work Start time on Fault]]="NA","",(TA[[#This Row],[Fault Acknowledgement Time ]]-TA[[#This Row],[Fault Time]])*24)</f>
        <v>0</v>
      </c>
      <c r="AB1714" s="35">
        <f>(TA[[#This Row],[Work Start time on Fault]]-TA[[#This Row],[Fault Time]])*24</f>
        <v>0</v>
      </c>
      <c r="AC1714" s="34">
        <f>(TA[[#This Row],[Work Completion time on fault]]-TA[[#This Row],[Fault Time]])*24</f>
        <v>0</v>
      </c>
      <c r="AD1714" s="35">
        <f>IFERROR((TA[[#This Row],[Work Completion time on fault]]-TA[[#This Row],[Fault Time]])*24,"")</f>
        <v>0</v>
      </c>
      <c r="AE1714" t="s">
        <v>328</v>
      </c>
      <c r="AF1714" t="s">
        <v>256</v>
      </c>
      <c r="AG1714" s="2"/>
      <c r="AH1714" s="44">
        <f>1-COS(RADIANS(TA[[#This Row],[Avg. Target Angle during Fault Time (Radians)]]-TA[[#This Row],[Angle of affected equipment ]]))</f>
        <v>0.11705240714107301</v>
      </c>
      <c r="AI1714" s="35">
        <f>IFERROR(TA[[#This Row],[Breakdown Time]]*TA[[#This Row],[Plant Equivalent Weightage]],"")</f>
        <v>0</v>
      </c>
    </row>
    <row r="1715" spans="1:35">
      <c r="A1715" s="2">
        <f t="shared" si="218"/>
        <v>1712</v>
      </c>
      <c r="B1715" s="156">
        <f t="shared" si="216"/>
        <v>2026</v>
      </c>
      <c r="C1715" s="129">
        <f t="shared" si="217"/>
        <v>2025</v>
      </c>
      <c r="D1715" s="2" t="s">
        <v>155</v>
      </c>
      <c r="E1715" s="2" t="s">
        <v>155</v>
      </c>
      <c r="F1715" s="39">
        <v>45839</v>
      </c>
      <c r="G1715" s="233">
        <f>DAY(EOMONTH(TA[[#This Row],[Month Year]],0))</f>
        <v>31</v>
      </c>
      <c r="H1715" s="21">
        <v>45868</v>
      </c>
      <c r="I1715" s="41">
        <f>IFERROR(VLOOKUP(TA[[#This Row],[Date]],Raw_Data[[Date]:[Sunset Time (POA&lt;20 W/m2)]],3,0),"")</f>
        <v>0.25694444444444442</v>
      </c>
      <c r="J1715" s="41">
        <f>IFERROR(VLOOKUP(TA[[#This Row],[Date]],Raw_Data[[Date]:[Sunset Time (POA&lt;20 W/m2)]],4,0),"")</f>
        <v>0.76875000000000004</v>
      </c>
      <c r="K1715" s="35">
        <f>IFERROR((TA[[#This Row],[Sunset Time (POA&lt;20 W/m2)]]-TA[[#This Row],[Sunrise Time (POA&gt;20 W/m2)]])*24,"")</f>
        <v>12.283333333333335</v>
      </c>
      <c r="L1715" s="2" t="s">
        <v>296</v>
      </c>
      <c r="M1715" s="42">
        <f>IFERROR(VLOOKUP(TA[[#This Row],[Affected Equipment]],'Basic Data'!$I$2:$K$40,3,0),"")</f>
        <v>8.6206896551724102E-3</v>
      </c>
      <c r="N1715">
        <v>-28</v>
      </c>
      <c r="O1715" t="s">
        <v>135</v>
      </c>
      <c r="P1715" s="22" t="s">
        <v>323</v>
      </c>
      <c r="Q1715" s="2" t="s">
        <v>329</v>
      </c>
      <c r="R1715">
        <v>47</v>
      </c>
      <c r="S1715" s="2">
        <v>18</v>
      </c>
      <c r="T1715" t="s">
        <v>297</v>
      </c>
      <c r="U1715" t="s">
        <v>300</v>
      </c>
      <c r="V1715" t="s">
        <v>301</v>
      </c>
      <c r="W1715" s="41"/>
      <c r="X1715" s="41"/>
      <c r="Y1715" s="34"/>
      <c r="Z1715" s="34"/>
      <c r="AA1715" s="35">
        <f>IF(TA[[#This Row],[Work Start time on Fault]]="NA","",(TA[[#This Row],[Fault Acknowledgement Time ]]-TA[[#This Row],[Fault Time]])*24)</f>
        <v>0</v>
      </c>
      <c r="AB1715" s="35">
        <f>(TA[[#This Row],[Work Start time on Fault]]-TA[[#This Row],[Fault Time]])*24</f>
        <v>0</v>
      </c>
      <c r="AC1715" s="34">
        <f>(TA[[#This Row],[Work Completion time on fault]]-TA[[#This Row],[Fault Time]])*24</f>
        <v>0</v>
      </c>
      <c r="AD1715" s="35">
        <f>IFERROR((TA[[#This Row],[Work Completion time on fault]]-TA[[#This Row],[Fault Time]])*24,"")</f>
        <v>0</v>
      </c>
      <c r="AE1715" t="s">
        <v>328</v>
      </c>
      <c r="AF1715" t="s">
        <v>256</v>
      </c>
      <c r="AG1715" s="2"/>
      <c r="AH1715" s="44">
        <f>1-COS(RADIANS(TA[[#This Row],[Avg. Target Angle during Fault Time (Radians)]]-TA[[#This Row],[Angle of affected equipment ]]))</f>
        <v>0.11705240714107301</v>
      </c>
      <c r="AI1715" s="35">
        <f>IFERROR(TA[[#This Row],[Breakdown Time]]*TA[[#This Row],[Plant Equivalent Weightage]],"")</f>
        <v>0</v>
      </c>
    </row>
    <row r="1716" spans="1:35">
      <c r="A1716" s="2">
        <f t="shared" si="218"/>
        <v>1713</v>
      </c>
      <c r="B1716" s="156">
        <f t="shared" si="216"/>
        <v>2026</v>
      </c>
      <c r="C1716" s="129">
        <f t="shared" si="217"/>
        <v>2025</v>
      </c>
      <c r="D1716" s="2" t="s">
        <v>155</v>
      </c>
      <c r="E1716" s="2" t="s">
        <v>155</v>
      </c>
      <c r="F1716" s="39">
        <v>45839</v>
      </c>
      <c r="G1716" s="233">
        <f>DAY(EOMONTH(TA[[#This Row],[Month Year]],0))</f>
        <v>31</v>
      </c>
      <c r="H1716" s="21">
        <v>45868</v>
      </c>
      <c r="I1716" s="41">
        <f>IFERROR(VLOOKUP(TA[[#This Row],[Date]],Raw_Data[[Date]:[Sunset Time (POA&lt;20 W/m2)]],3,0),"")</f>
        <v>0.25694444444444442</v>
      </c>
      <c r="J1716" s="41">
        <f>IFERROR(VLOOKUP(TA[[#This Row],[Date]],Raw_Data[[Date]:[Sunset Time (POA&lt;20 W/m2)]],4,0),"")</f>
        <v>0.76875000000000004</v>
      </c>
      <c r="K1716" s="35">
        <f>IFERROR((TA[[#This Row],[Sunset Time (POA&lt;20 W/m2)]]-TA[[#This Row],[Sunrise Time (POA&gt;20 W/m2)]])*24,"")</f>
        <v>12.283333333333335</v>
      </c>
      <c r="L1716" s="2" t="s">
        <v>296</v>
      </c>
      <c r="M1716" s="42">
        <f>IFERROR(VLOOKUP(TA[[#This Row],[Affected Equipment]],'Basic Data'!$I$2:$K$40,3,0),"")</f>
        <v>8.6206896551724102E-3</v>
      </c>
      <c r="N1716">
        <v>-28</v>
      </c>
      <c r="O1716" t="s">
        <v>134</v>
      </c>
      <c r="P1716" s="22" t="s">
        <v>330</v>
      </c>
      <c r="Q1716" s="2" t="s">
        <v>323</v>
      </c>
      <c r="R1716">
        <v>30</v>
      </c>
      <c r="S1716" s="2">
        <v>57</v>
      </c>
      <c r="T1716" t="s">
        <v>297</v>
      </c>
      <c r="U1716" t="s">
        <v>300</v>
      </c>
      <c r="V1716" t="s">
        <v>301</v>
      </c>
      <c r="W1716" s="41"/>
      <c r="X1716" s="41"/>
      <c r="Y1716" s="34"/>
      <c r="Z1716" s="34"/>
      <c r="AA1716" s="35">
        <f>IF(TA[[#This Row],[Work Start time on Fault]]="NA","",(TA[[#This Row],[Fault Acknowledgement Time ]]-TA[[#This Row],[Fault Time]])*24)</f>
        <v>0</v>
      </c>
      <c r="AB1716" s="35">
        <f>(TA[[#This Row],[Work Start time on Fault]]-TA[[#This Row],[Fault Time]])*24</f>
        <v>0</v>
      </c>
      <c r="AC1716" s="34">
        <f>(TA[[#This Row],[Work Completion time on fault]]-TA[[#This Row],[Fault Time]])*24</f>
        <v>0</v>
      </c>
      <c r="AD1716" s="35">
        <f>IFERROR((TA[[#This Row],[Work Completion time on fault]]-TA[[#This Row],[Fault Time]])*24,"")</f>
        <v>0</v>
      </c>
      <c r="AE1716" t="s">
        <v>328</v>
      </c>
      <c r="AF1716" t="s">
        <v>256</v>
      </c>
      <c r="AG1716" s="2"/>
      <c r="AH1716" s="44">
        <f>1-COS(RADIANS(TA[[#This Row],[Avg. Target Angle during Fault Time (Radians)]]-TA[[#This Row],[Angle of affected equipment ]]))</f>
        <v>0.11705240714107301</v>
      </c>
      <c r="AI1716" s="35">
        <f>IFERROR(TA[[#This Row],[Breakdown Time]]*TA[[#This Row],[Plant Equivalent Weightage]],"")</f>
        <v>0</v>
      </c>
    </row>
    <row r="1717" spans="1:35">
      <c r="A1717" s="2">
        <f t="shared" si="218"/>
        <v>1714</v>
      </c>
      <c r="B1717" s="156">
        <f t="shared" si="216"/>
        <v>2026</v>
      </c>
      <c r="C1717" s="129">
        <f t="shared" si="217"/>
        <v>2025</v>
      </c>
      <c r="D1717" s="2" t="s">
        <v>155</v>
      </c>
      <c r="E1717" s="2" t="s">
        <v>155</v>
      </c>
      <c r="F1717" s="39">
        <v>45839</v>
      </c>
      <c r="G1717" s="233">
        <f>DAY(EOMONTH(TA[[#This Row],[Month Year]],0))</f>
        <v>31</v>
      </c>
      <c r="H1717" s="21">
        <v>45868</v>
      </c>
      <c r="I1717" s="41">
        <f>IFERROR(VLOOKUP(TA[[#This Row],[Date]],Raw_Data[[Date]:[Sunset Time (POA&lt;20 W/m2)]],3,0),"")</f>
        <v>0.25694444444444442</v>
      </c>
      <c r="J1717" s="41">
        <f>IFERROR(VLOOKUP(TA[[#This Row],[Date]],Raw_Data[[Date]:[Sunset Time (POA&lt;20 W/m2)]],4,0),"")</f>
        <v>0.76875000000000004</v>
      </c>
      <c r="K1717" s="35">
        <f>IFERROR((TA[[#This Row],[Sunset Time (POA&lt;20 W/m2)]]-TA[[#This Row],[Sunrise Time (POA&gt;20 W/m2)]])*24,"")</f>
        <v>12.283333333333335</v>
      </c>
      <c r="L1717" s="2" t="s">
        <v>296</v>
      </c>
      <c r="M1717" s="42">
        <f>IFERROR(VLOOKUP(TA[[#This Row],[Affected Equipment]],'Basic Data'!$I$2:$K$40,3,0),"")</f>
        <v>8.6206896551724102E-3</v>
      </c>
      <c r="N1717">
        <v>-28</v>
      </c>
      <c r="O1717" t="s">
        <v>134</v>
      </c>
      <c r="P1717" s="22" t="s">
        <v>330</v>
      </c>
      <c r="Q1717" s="2" t="s">
        <v>323</v>
      </c>
      <c r="R1717">
        <v>31</v>
      </c>
      <c r="S1717" s="2">
        <v>61</v>
      </c>
      <c r="T1717" t="s">
        <v>297</v>
      </c>
      <c r="U1717" t="s">
        <v>300</v>
      </c>
      <c r="V1717" t="s">
        <v>301</v>
      </c>
      <c r="W1717" s="41"/>
      <c r="X1717" s="41"/>
      <c r="Y1717" s="34"/>
      <c r="Z1717" s="34"/>
      <c r="AA1717" s="35">
        <f>IF(TA[[#This Row],[Work Start time on Fault]]="NA","",(TA[[#This Row],[Fault Acknowledgement Time ]]-TA[[#This Row],[Fault Time]])*24)</f>
        <v>0</v>
      </c>
      <c r="AB1717" s="35">
        <f>(TA[[#This Row],[Work Start time on Fault]]-TA[[#This Row],[Fault Time]])*24</f>
        <v>0</v>
      </c>
      <c r="AC1717" s="34">
        <f>(TA[[#This Row],[Work Completion time on fault]]-TA[[#This Row],[Fault Time]])*24</f>
        <v>0</v>
      </c>
      <c r="AD1717" s="35">
        <f>IFERROR((TA[[#This Row],[Work Completion time on fault]]-TA[[#This Row],[Fault Time]])*24,"")</f>
        <v>0</v>
      </c>
      <c r="AE1717" t="s">
        <v>328</v>
      </c>
      <c r="AF1717" t="s">
        <v>256</v>
      </c>
      <c r="AG1717" s="2"/>
      <c r="AH1717" s="44">
        <f>1-COS(RADIANS(TA[[#This Row],[Avg. Target Angle during Fault Time (Radians)]]-TA[[#This Row],[Angle of affected equipment ]]))</f>
        <v>0.11705240714107301</v>
      </c>
      <c r="AI1717" s="35">
        <f>IFERROR(TA[[#This Row],[Breakdown Time]]*TA[[#This Row],[Plant Equivalent Weightage]],"")</f>
        <v>0</v>
      </c>
    </row>
    <row r="1718" spans="1:35">
      <c r="A1718" s="2">
        <f t="shared" si="218"/>
        <v>1715</v>
      </c>
      <c r="B1718" s="156">
        <f t="shared" si="216"/>
        <v>2026</v>
      </c>
      <c r="C1718" s="129">
        <f t="shared" si="217"/>
        <v>2025</v>
      </c>
      <c r="D1718" s="2" t="s">
        <v>155</v>
      </c>
      <c r="E1718" s="2" t="s">
        <v>155</v>
      </c>
      <c r="F1718" s="39">
        <v>45839</v>
      </c>
      <c r="G1718" s="233">
        <f>DAY(EOMONTH(TA[[#This Row],[Month Year]],0))</f>
        <v>31</v>
      </c>
      <c r="H1718" s="21">
        <v>45868</v>
      </c>
      <c r="I1718" s="41">
        <f>IFERROR(VLOOKUP(TA[[#This Row],[Date]],Raw_Data[[Date]:[Sunset Time (POA&lt;20 W/m2)]],3,0),"")</f>
        <v>0.25694444444444442</v>
      </c>
      <c r="J1718" s="41">
        <f>IFERROR(VLOOKUP(TA[[#This Row],[Date]],Raw_Data[[Date]:[Sunset Time (POA&lt;20 W/m2)]],4,0),"")</f>
        <v>0.76875000000000004</v>
      </c>
      <c r="K1718" s="35">
        <f>IFERROR((TA[[#This Row],[Sunset Time (POA&lt;20 W/m2)]]-TA[[#This Row],[Sunrise Time (POA&gt;20 W/m2)]])*24,"")</f>
        <v>12.283333333333335</v>
      </c>
      <c r="L1718" s="2" t="s">
        <v>312</v>
      </c>
      <c r="M1718" s="42">
        <f>IFERROR(VLOOKUP(TA[[#This Row],[Affected Equipment]],'Basic Data'!$I$2:$K$40,3,0),"")</f>
        <v>5.74712643678161E-3</v>
      </c>
      <c r="N1718">
        <v>-28</v>
      </c>
      <c r="O1718" t="s">
        <v>133</v>
      </c>
      <c r="P1718" s="22" t="s">
        <v>330</v>
      </c>
      <c r="Q1718" s="2" t="s">
        <v>323</v>
      </c>
      <c r="R1718">
        <v>26</v>
      </c>
      <c r="S1718" s="2">
        <v>37</v>
      </c>
      <c r="T1718" t="s">
        <v>297</v>
      </c>
      <c r="U1718" t="s">
        <v>300</v>
      </c>
      <c r="V1718" t="s">
        <v>301</v>
      </c>
      <c r="W1718" s="41"/>
      <c r="X1718" s="41"/>
      <c r="Y1718" s="34"/>
      <c r="Z1718" s="34"/>
      <c r="AA1718" s="35">
        <f>IF(TA[[#This Row],[Work Start time on Fault]]="NA","",(TA[[#This Row],[Fault Acknowledgement Time ]]-TA[[#This Row],[Fault Time]])*24)</f>
        <v>0</v>
      </c>
      <c r="AB1718" s="35">
        <f>(TA[[#This Row],[Work Start time on Fault]]-TA[[#This Row],[Fault Time]])*24</f>
        <v>0</v>
      </c>
      <c r="AC1718" s="34">
        <f>(TA[[#This Row],[Work Completion time on fault]]-TA[[#This Row],[Fault Time]])*24</f>
        <v>0</v>
      </c>
      <c r="AD1718" s="35">
        <f>IFERROR((TA[[#This Row],[Work Completion time on fault]]-TA[[#This Row],[Fault Time]])*24,"")</f>
        <v>0</v>
      </c>
      <c r="AE1718" t="s">
        <v>328</v>
      </c>
      <c r="AF1718" t="s">
        <v>256</v>
      </c>
      <c r="AG1718" s="2"/>
      <c r="AH1718" s="44">
        <f>1-COS(RADIANS(TA[[#This Row],[Avg. Target Angle during Fault Time (Radians)]]-TA[[#This Row],[Angle of affected equipment ]]))</f>
        <v>0.11705240714107301</v>
      </c>
      <c r="AI1718" s="35">
        <f>IFERROR(TA[[#This Row],[Breakdown Time]]*TA[[#This Row],[Plant Equivalent Weightage]],"")</f>
        <v>0</v>
      </c>
    </row>
    <row r="1719" spans="1:35">
      <c r="A1719" s="2">
        <f t="shared" si="218"/>
        <v>1716</v>
      </c>
      <c r="B1719" s="156">
        <f t="shared" si="216"/>
        <v>2026</v>
      </c>
      <c r="C1719" s="129">
        <f t="shared" si="217"/>
        <v>2025</v>
      </c>
      <c r="D1719" s="2" t="s">
        <v>155</v>
      </c>
      <c r="E1719" s="2" t="s">
        <v>155</v>
      </c>
      <c r="F1719" s="39">
        <v>45839</v>
      </c>
      <c r="G1719" s="233">
        <f>DAY(EOMONTH(TA[[#This Row],[Month Year]],0))</f>
        <v>31</v>
      </c>
      <c r="H1719" s="21">
        <v>45868</v>
      </c>
      <c r="I1719" s="41">
        <f>IFERROR(VLOOKUP(TA[[#This Row],[Date]],Raw_Data[[Date]:[Sunset Time (POA&lt;20 W/m2)]],3,0),"")</f>
        <v>0.25694444444444442</v>
      </c>
      <c r="J1719" s="41">
        <f>IFERROR(VLOOKUP(TA[[#This Row],[Date]],Raw_Data[[Date]:[Sunset Time (POA&lt;20 W/m2)]],4,0),"")</f>
        <v>0.76875000000000004</v>
      </c>
      <c r="K1719" s="35">
        <f>IFERROR((TA[[#This Row],[Sunset Time (POA&lt;20 W/m2)]]-TA[[#This Row],[Sunrise Time (POA&gt;20 W/m2)]])*24,"")</f>
        <v>12.283333333333335</v>
      </c>
      <c r="L1719" s="2" t="s">
        <v>312</v>
      </c>
      <c r="M1719" s="42">
        <f>IFERROR(VLOOKUP(TA[[#This Row],[Affected Equipment]],'Basic Data'!$I$2:$K$40,3,0),"")</f>
        <v>5.74712643678161E-3</v>
      </c>
      <c r="N1719">
        <v>-28</v>
      </c>
      <c r="O1719" t="s">
        <v>133</v>
      </c>
      <c r="P1719" s="22" t="s">
        <v>330</v>
      </c>
      <c r="Q1719" s="2" t="s">
        <v>323</v>
      </c>
      <c r="R1719">
        <v>27</v>
      </c>
      <c r="S1719" s="2">
        <v>42</v>
      </c>
      <c r="T1719" t="s">
        <v>297</v>
      </c>
      <c r="U1719" t="s">
        <v>300</v>
      </c>
      <c r="V1719" t="s">
        <v>301</v>
      </c>
      <c r="W1719" s="41">
        <f>IFERROR(VLOOKUP(TA[[#This Row],[Date]],Raw_Data[[Date]:[Sunset Time (POA&lt;20 W/m2)]],3,0),"")</f>
        <v>0.25694444444444442</v>
      </c>
      <c r="X1719" s="41">
        <f>IFERROR(VLOOKUP(TA[[#This Row],[Date]],Raw_Data[[Date]:[Sunset Time (POA&lt;20 W/m2)]],3,0),"")</f>
        <v>0.25694444444444442</v>
      </c>
      <c r="Y1719" s="34"/>
      <c r="Z1719" s="34">
        <v>0.76041666666666663</v>
      </c>
      <c r="AA1719" s="35">
        <f>IF(TA[[#This Row],[Work Start time on Fault]]="NA","",(TA[[#This Row],[Fault Acknowledgement Time ]]-TA[[#This Row],[Fault Time]])*24)</f>
        <v>0</v>
      </c>
      <c r="AB1719" s="35">
        <f>(TA[[#This Row],[Work Start time on Fault]]-TA[[#This Row],[Fault Time]])*24</f>
        <v>-6.1666666666666661</v>
      </c>
      <c r="AC1719" s="34">
        <f>(TA[[#This Row],[Work Completion time on fault]]-TA[[#This Row],[Fault Time]])*24</f>
        <v>12.083333333333332</v>
      </c>
      <c r="AD1719" s="35">
        <f>IFERROR((TA[[#This Row],[Work Completion time on fault]]-TA[[#This Row],[Fault Time]])*24,"")</f>
        <v>12.083333333333332</v>
      </c>
      <c r="AE1719" t="s">
        <v>309</v>
      </c>
      <c r="AF1719" t="s">
        <v>256</v>
      </c>
      <c r="AG1719" s="2"/>
      <c r="AH1719" s="44">
        <f>1-COS(RADIANS(TA[[#This Row],[Avg. Target Angle during Fault Time (Radians)]]-TA[[#This Row],[Angle of affected equipment ]]))</f>
        <v>0.11705240714107301</v>
      </c>
      <c r="AI1719" s="35">
        <f>IFERROR(TA[[#This Row],[Breakdown Time]]*TA[[#This Row],[Plant Equivalent Weightage]],"")</f>
        <v>6.9444444444444448E-2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 L1707:L1713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 T1707:T1713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 O1707:O1713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Q35" activePane="bottomRight" state="frozen"/>
      <selection pane="topRight" activeCell="I2" sqref="I2"/>
      <selection pane="bottomLeft" activeCell="A3" sqref="A3"/>
      <selection pane="bottomRight" activeCell="R47" sqref="R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2026</v>
      </c>
      <c r="C47" s="129">
        <f t="shared" si="2"/>
        <v>2025</v>
      </c>
      <c r="D47" t="s">
        <v>155</v>
      </c>
      <c r="E47" s="17" t="s">
        <v>155</v>
      </c>
      <c r="F47" s="25">
        <v>45810</v>
      </c>
      <c r="G47" s="17">
        <f>DAY(EOMONTH(GA[[#This Row],[Month Year]],0))</f>
        <v>30</v>
      </c>
      <c r="H47" s="26">
        <v>45868</v>
      </c>
      <c r="I47" s="31">
        <f>IFERROR(VLOOKUP(GA[[#This Row],[Date]],Raw_Data[[#All],[Date]:[Sunset Time (POA&lt;20 W/m2)]],3,0),"")</f>
        <v>0.25694444444444442</v>
      </c>
      <c r="J47" s="31">
        <f>IFERROR(VLOOKUP(GA[[#This Row],[Date]],Raw_Data[[#All],[Date]:[Sunset Time (POA&lt;20 W/m2)]],4,0),"")</f>
        <v>0.76875000000000004</v>
      </c>
      <c r="K47" s="30">
        <f>IFERROR((GA[[#This Row],[Sunset Time (POA&lt;20 W/m2)]]-GA[[#This Row],[Sunrise Time (POA&gt;20 W/m2)]])*24,"")</f>
        <v>12.283333333333335</v>
      </c>
      <c r="L47" s="17" t="s">
        <v>334</v>
      </c>
      <c r="M47" s="17">
        <f>IFERROR(VLOOKUP(GA[[#This Row],[Affceted Equipment]],'Basic Data'!$A$1:$B$113,2,0),"")</f>
        <v>11710.44</v>
      </c>
      <c r="N47" s="17" t="s">
        <v>335</v>
      </c>
      <c r="O47" s="1" t="s">
        <v>277</v>
      </c>
      <c r="P47" s="28">
        <f>IFERROR(VLOOKUP(GA[[#This Row],[Affceted Equipment]],'Basic Data'!$A$2:$C$118,3,0),"")</f>
        <v>1</v>
      </c>
      <c r="Q47" s="17" t="s">
        <v>258</v>
      </c>
      <c r="R47" t="s">
        <v>492</v>
      </c>
      <c r="S47" s="24">
        <v>0.67291666666666672</v>
      </c>
      <c r="T47" s="24">
        <v>0.67291666666666672</v>
      </c>
      <c r="U47" s="24">
        <v>0.68402777777777779</v>
      </c>
      <c r="V47" s="24">
        <v>0.70833333333333337</v>
      </c>
      <c r="W47" s="34">
        <f>(GA[[#This Row],[Acknowledgemnet Time ]]-GA[[#This Row],[Fault Time]])*24</f>
        <v>0</v>
      </c>
      <c r="X47" s="35">
        <f>(GA[[#This Row],[Work Start time on Fault]]-GA[[#This Row],[Fault Time]])*24</f>
        <v>0.26666666666666572</v>
      </c>
      <c r="Y47" s="35">
        <f>(GA[[#This Row],[Work Completiuon time on fualt]]-GA[[#This Row],[Fault Time]])*24</f>
        <v>0.84999999999999964</v>
      </c>
      <c r="Z47" s="2" t="s">
        <v>337</v>
      </c>
      <c r="AA47" s="2" t="s">
        <v>249</v>
      </c>
      <c r="AB47" s="2">
        <f>IFERROR(GA[[#This Row],[Plant Equivalent Weightage]]*GA[[#This Row],[Resolution Time]],"")</f>
        <v>0.84999999999999964</v>
      </c>
      <c r="AC47" s="2">
        <v>85</v>
      </c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I126" sqref="I12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N115" activePane="bottomRight" state="frozen"/>
      <selection pane="topRight" activeCell="I2" sqref="I2"/>
      <selection pane="bottomLeft" activeCell="A3" sqref="A3"/>
      <selection pane="bottomRight" activeCell="R123" sqref="R12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O126">
        <v>32</v>
      </c>
      <c r="Q126" s="2">
        <f>SUM(GC[[#This Row],[IC1_Inv1_GC]:[IC2_Inv2_GC]])</f>
        <v>32</v>
      </c>
      <c r="R126" t="s">
        <v>524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2025-07-31T03:26:51Z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